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h\Dropbox\GNW Thabazimbi\Production\August 2023\Crusher CCR Reports\"/>
    </mc:Choice>
  </mc:AlternateContent>
  <xr:revisionPtr revIDLastSave="0" documentId="13_ncr:1_{980B7EE6-3A4A-4ECA-AD60-434618DA39CC}" xr6:coauthVersionLast="47" xr6:coauthVersionMax="47" xr10:uidLastSave="{00000000-0000-0000-0000-000000000000}"/>
  <bookViews>
    <workbookView xWindow="-120" yWindow="-120" windowWidth="20730" windowHeight="11160" firstSheet="15" activeTab="15" xr2:uid="{691336BE-3815-42EE-8F87-AF63F0BE244C}"/>
  </bookViews>
  <sheets>
    <sheet name="26 Jul 23" sheetId="66" r:id="rId1"/>
    <sheet name="27 Jul 23" sheetId="24" r:id="rId2"/>
    <sheet name="28 Jul 23" sheetId="25" r:id="rId3"/>
    <sheet name="29 Jul 23" sheetId="48" r:id="rId4"/>
    <sheet name="30 Jul 23" sheetId="27" r:id="rId5"/>
    <sheet name="31 Jul 23" sheetId="49" r:id="rId6"/>
    <sheet name="01 Aug 23" sheetId="50" r:id="rId7"/>
    <sheet name="02 Aug 23" sheetId="51" r:id="rId8"/>
    <sheet name="03 Aug 23" sheetId="52" r:id="rId9"/>
    <sheet name="04 Aug 23" sheetId="56" r:id="rId10"/>
    <sheet name="05 Aug 23" sheetId="57" r:id="rId11"/>
    <sheet name="l" sheetId="54" state="hidden" r:id="rId12"/>
    <sheet name="06 Aug 23" sheetId="55" r:id="rId13"/>
    <sheet name="07 Aug 23" sheetId="58" r:id="rId14"/>
    <sheet name="08 Aug 23" sheetId="59" r:id="rId15"/>
    <sheet name="09 Aug 23" sheetId="60" r:id="rId16"/>
    <sheet name="10 Aug 23" sheetId="61" r:id="rId17"/>
    <sheet name="11 Aug 23" sheetId="62" r:id="rId18"/>
    <sheet name="12 Aug 23" sheetId="31" r:id="rId19"/>
    <sheet name="13 Aug 23" sheetId="64" r:id="rId20"/>
    <sheet name="14 Aug 23" sheetId="65" r:id="rId21"/>
    <sheet name="15 Aug 23" sheetId="67" r:id="rId22"/>
    <sheet name="16 Aug 23" sheetId="68" r:id="rId23"/>
    <sheet name="Plant Start-up" sheetId="3" r:id="rId24"/>
    <sheet name="Production" sheetId="69" r:id="rId25"/>
  </sheets>
  <definedNames>
    <definedName name="_10_Jul_23" localSheetId="10">'05 Aug 23'!$B$1</definedName>
    <definedName name="_10_Jul_23">'04 Aug 23'!$B$1</definedName>
    <definedName name="CONSUMABLES" localSheetId="6">'01 Aug 23'!#REF!</definedName>
    <definedName name="CONSUMABLES" localSheetId="7">'02 Aug 23'!#REF!</definedName>
    <definedName name="CONSUMABLES" localSheetId="8">'03 Aug 23'!#REF!</definedName>
    <definedName name="CONSUMABLES" localSheetId="9">'04 Aug 23'!#REF!</definedName>
    <definedName name="CONSUMABLES" localSheetId="10">'05 Aug 23'!#REF!</definedName>
    <definedName name="CONSUMABLES" localSheetId="12">'06 Aug 23'!#REF!</definedName>
    <definedName name="CONSUMABLES" localSheetId="13">'07 Aug 23'!#REF!</definedName>
    <definedName name="CONSUMABLES" localSheetId="14">'08 Aug 23'!#REF!</definedName>
    <definedName name="CONSUMABLES" localSheetId="15">'09 Aug 23'!#REF!</definedName>
    <definedName name="CONSUMABLES" localSheetId="16">'10 Aug 23'!#REF!</definedName>
    <definedName name="CONSUMABLES" localSheetId="17">'11 Aug 23'!#REF!</definedName>
    <definedName name="CONSUMABLES" localSheetId="1">'27 Jul 23'!#REF!</definedName>
    <definedName name="CONSUMABLES" localSheetId="2">'28 Jul 23'!#REF!</definedName>
    <definedName name="CONSUMABLES" localSheetId="3">'29 Jul 23'!#REF!</definedName>
    <definedName name="CONSUMABLES" localSheetId="4">'30 Jul 23'!#REF!</definedName>
    <definedName name="CONSUMABLES" localSheetId="5">'31 Jul 23'!#REF!</definedName>
    <definedName name="CONSUMABLES" localSheetId="11">l!#REF!</definedName>
    <definedName name="CONSUMABLES">#REF!</definedName>
    <definedName name="Day" localSheetId="6">'01 Aug 23'!$B$36:$H$38</definedName>
    <definedName name="Day" localSheetId="7">'02 Aug 23'!$B$36:$H$38</definedName>
    <definedName name="Day" localSheetId="8">'03 Aug 23'!$B$36:$H$38</definedName>
    <definedName name="Day" localSheetId="9">'04 Aug 23'!$B$36:$H$38</definedName>
    <definedName name="Day" localSheetId="10">'05 Aug 23'!$B$36:$H$38</definedName>
    <definedName name="Day" localSheetId="12">'06 Aug 23'!$B$36:$H$38</definedName>
    <definedName name="Day" localSheetId="13">'07 Aug 23'!$B$36:$H$38</definedName>
    <definedName name="Day" localSheetId="14">'08 Aug 23'!$B$36:$H$38</definedName>
    <definedName name="Day" localSheetId="15">'09 Aug 23'!$B$36:$H$38</definedName>
    <definedName name="Day" localSheetId="16">'10 Aug 23'!$B$36:$H$38</definedName>
    <definedName name="Day" localSheetId="17">'11 Aug 23'!$B$36:$H$38</definedName>
    <definedName name="Day" localSheetId="1">'27 Jul 23'!$B$36:$H$38</definedName>
    <definedName name="Day" localSheetId="2">'28 Jul 23'!$B$36:$H$38</definedName>
    <definedName name="Day" localSheetId="3">'29 Jul 23'!$B$36:$H$38</definedName>
    <definedName name="Day" localSheetId="4">'30 Jul 23'!$B$36:$H$38</definedName>
    <definedName name="Day" localSheetId="5">'31 Jul 23'!$B$36:$H$38</definedName>
    <definedName name="Day" localSheetId="11">l!$B$36:$H$38</definedName>
    <definedName name="Day">#REF!</definedName>
    <definedName name="downtime" localSheetId="6">'01 Aug 23'!$BA$1:$BA$33</definedName>
    <definedName name="downtime" localSheetId="7">'02 Aug 23'!$BA$1:$BA$33</definedName>
    <definedName name="downtime" localSheetId="8">'03 Aug 23'!$BA$1:$BA$33</definedName>
    <definedName name="downtime" localSheetId="9">'04 Aug 23'!$BA$1:$BA$33</definedName>
    <definedName name="downtime" localSheetId="10">'05 Aug 23'!$BA$1:$BA$33</definedName>
    <definedName name="downtime" localSheetId="12">'06 Aug 23'!$BA$1:$BA$33</definedName>
    <definedName name="downtime" localSheetId="13">'07 Aug 23'!$BA$1:$BA$33</definedName>
    <definedName name="downtime" localSheetId="14">'08 Aug 23'!$BA$1:$BA$33</definedName>
    <definedName name="downtime" localSheetId="15">'09 Aug 23'!$BA$1:$BA$33</definedName>
    <definedName name="downtime" localSheetId="16">'10 Aug 23'!$BA$1:$BA$33</definedName>
    <definedName name="downtime" localSheetId="17">'11 Aug 23'!$BA$1:$BA$33</definedName>
    <definedName name="downtime" localSheetId="1">'27 Jul 23'!$AX$1:$AX$33</definedName>
    <definedName name="downtime" localSheetId="2">'28 Jul 23'!$BA$1:$BA$33</definedName>
    <definedName name="downtime" localSheetId="3">'29 Jul 23'!$BA$1:$BA$33</definedName>
    <definedName name="downtime" localSheetId="4">'30 Jul 23'!$BA$1:$BA$33</definedName>
    <definedName name="downtime" localSheetId="5">'31 Jul 23'!$BA$1:$BA$33</definedName>
    <definedName name="downtime" localSheetId="11">l!$BA$1:$BA$33</definedName>
    <definedName name="downtime">#REF!</definedName>
    <definedName name="Hourly" localSheetId="6">'01 Aug 23'!$B$1:$F$35</definedName>
    <definedName name="Hourly" localSheetId="7">'02 Aug 23'!$B$1:$F$35</definedName>
    <definedName name="Hourly" localSheetId="8">'03 Aug 23'!$B$1:$F$35</definedName>
    <definedName name="Hourly" localSheetId="9">'04 Aug 23'!$B$1:$F$35</definedName>
    <definedName name="Hourly" localSheetId="10">'05 Aug 23'!$B$1:$F$35</definedName>
    <definedName name="Hourly" localSheetId="12">'06 Aug 23'!$B$1:$F$35</definedName>
    <definedName name="Hourly" localSheetId="13">'07 Aug 23'!$B$1:$F$35</definedName>
    <definedName name="Hourly" localSheetId="14">'08 Aug 23'!$B$1:$F$35</definedName>
    <definedName name="Hourly" localSheetId="15">'09 Aug 23'!$B$1:$F$35</definedName>
    <definedName name="Hourly" localSheetId="16">'10 Aug 23'!$B$1:$F$35</definedName>
    <definedName name="Hourly" localSheetId="17">'11 Aug 23'!$B$1:$F$35</definedName>
    <definedName name="Hourly" localSheetId="1">'27 Jul 23'!$B$1:$F$35</definedName>
    <definedName name="Hourly" localSheetId="2">'28 Jul 23'!$B$1:$F$35</definedName>
    <definedName name="Hourly" localSheetId="3">'29 Jul 23'!$B$1:$F$35</definedName>
    <definedName name="Hourly" localSheetId="4">'30 Jul 23'!$B$1:$F$35</definedName>
    <definedName name="Hourly" localSheetId="5">'31 Jul 23'!$B$1:$F$35</definedName>
    <definedName name="Hourly" localSheetId="11">l!$B$1:$F$35</definedName>
    <definedName name="Hourly">#REF!</definedName>
    <definedName name="NW" localSheetId="6">'01 Aug 23'!$AZ$1</definedName>
    <definedName name="NW" localSheetId="7">'02 Aug 23'!$AZ$1</definedName>
    <definedName name="NW" localSheetId="8">'03 Aug 23'!$AZ$1</definedName>
    <definedName name="NW" localSheetId="9">'04 Aug 23'!$AZ$1</definedName>
    <definedName name="NW" localSheetId="10">'05 Aug 23'!$AZ$1</definedName>
    <definedName name="NW" localSheetId="12">'06 Aug 23'!$AZ$1</definedName>
    <definedName name="NW" localSheetId="13">'07 Aug 23'!$AZ$1</definedName>
    <definedName name="NW" localSheetId="14">'08 Aug 23'!$AZ$1</definedName>
    <definedName name="NW" localSheetId="15">'09 Aug 23'!$AZ$1</definedName>
    <definedName name="NW" localSheetId="16">'10 Aug 23'!$AZ$1</definedName>
    <definedName name="NW" localSheetId="17">'11 Aug 23'!$AZ$1</definedName>
    <definedName name="NW" localSheetId="1">'27 Jul 23'!$AW$1</definedName>
    <definedName name="NW" localSheetId="2">'28 Jul 23'!$AZ$1</definedName>
    <definedName name="NW" localSheetId="3">'29 Jul 23'!$AZ$1</definedName>
    <definedName name="NW" localSheetId="4">'30 Jul 23'!$AZ$1</definedName>
    <definedName name="NW" localSheetId="5">'31 Jul 23'!$AZ$1</definedName>
    <definedName name="NW" localSheetId="11">l!$AZ$1</definedName>
    <definedName name="NW">#REF!</definedName>
    <definedName name="Phoenix" localSheetId="6">'01 Aug 23'!$A$42:$O$43</definedName>
    <definedName name="Phoenix" localSheetId="7">'02 Aug 23'!$A$45:$O$46</definedName>
    <definedName name="Phoenix" localSheetId="8">'03 Aug 23'!$A$42:$O$43</definedName>
    <definedName name="Phoenix" localSheetId="9">'04 Aug 23'!$A$45:$O$46</definedName>
    <definedName name="Phoenix" localSheetId="10">'05 Aug 23'!$A$45:$O$46</definedName>
    <definedName name="Phoenix" localSheetId="12">'06 Aug 23'!$A$42:$O$43</definedName>
    <definedName name="Phoenix" localSheetId="13">'07 Aug 23'!$A$42:$O$43</definedName>
    <definedName name="Phoenix" localSheetId="14">'08 Aug 23'!$A$42:$O$43</definedName>
    <definedName name="Phoenix" localSheetId="15">'09 Aug 23'!$A$42:$O$43</definedName>
    <definedName name="Phoenix" localSheetId="16">'10 Aug 23'!$A$42:$O$43</definedName>
    <definedName name="Phoenix" localSheetId="17">'11 Aug 23'!$A$42:$O$43</definedName>
    <definedName name="Phoenix" localSheetId="1">'27 Jul 23'!$A$42:$Y$43</definedName>
    <definedName name="Phoenix" localSheetId="2">'28 Jul 23'!$A$42:$O$43</definedName>
    <definedName name="Phoenix" localSheetId="3">'29 Jul 23'!$A$42:$O$43</definedName>
    <definedName name="Phoenix" localSheetId="4">'30 Jul 23'!$A$42:$O$43</definedName>
    <definedName name="Phoenix" localSheetId="5">'31 Jul 23'!$A$42:$O$43</definedName>
    <definedName name="Phoenix" localSheetId="11">l!$A$42:$O$43</definedName>
    <definedName name="Phoenix">#REF!</definedName>
    <definedName name="_xlnm.Print_Titles" localSheetId="6">'01 Aug 23'!$B:$B</definedName>
    <definedName name="_xlnm.Print_Titles" localSheetId="7">'02 Aug 23'!$B:$B</definedName>
    <definedName name="_xlnm.Print_Titles" localSheetId="8">'03 Aug 23'!$B:$B</definedName>
    <definedName name="_xlnm.Print_Titles" localSheetId="9">'04 Aug 23'!$B:$B</definedName>
    <definedName name="_xlnm.Print_Titles" localSheetId="10">'05 Aug 23'!$B:$B</definedName>
    <definedName name="_xlnm.Print_Titles" localSheetId="12">'06 Aug 23'!$B:$B</definedName>
    <definedName name="_xlnm.Print_Titles" localSheetId="13">'07 Aug 23'!$B:$B</definedName>
    <definedName name="_xlnm.Print_Titles" localSheetId="14">'08 Aug 23'!$B:$B</definedName>
    <definedName name="_xlnm.Print_Titles" localSheetId="15">'09 Aug 23'!$B:$B</definedName>
    <definedName name="_xlnm.Print_Titles" localSheetId="16">'10 Aug 23'!$B:$B</definedName>
    <definedName name="_xlnm.Print_Titles" localSheetId="17">'11 Aug 23'!$B:$B</definedName>
    <definedName name="_xlnm.Print_Titles" localSheetId="1">'27 Jul 23'!$B:$B</definedName>
    <definedName name="_xlnm.Print_Titles" localSheetId="2">'28 Jul 23'!$B:$B</definedName>
    <definedName name="_xlnm.Print_Titles" localSheetId="3">'29 Jul 23'!$B:$B</definedName>
    <definedName name="_xlnm.Print_Titles" localSheetId="4">'30 Jul 23'!$B:$B</definedName>
    <definedName name="_xlnm.Print_Titles" localSheetId="5">'31 Jul 23'!$B:$B</definedName>
    <definedName name="_xlnm.Print_Titles" localSheetId="11">l!$B:$B</definedName>
    <definedName name="Slimes_line_activity_logg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60" l="1"/>
  <c r="E18" i="60"/>
  <c r="E19" i="60"/>
  <c r="E20" i="60"/>
  <c r="E21" i="60"/>
  <c r="E22" i="59"/>
  <c r="K40" i="64"/>
  <c r="L40" i="64"/>
  <c r="L40" i="62"/>
  <c r="K40" i="62"/>
  <c r="B20" i="69"/>
  <c r="B19" i="69"/>
  <c r="B18" i="69"/>
  <c r="F3" i="69"/>
  <c r="F4" i="69"/>
  <c r="F5" i="69"/>
  <c r="F6" i="69"/>
  <c r="F7" i="69"/>
  <c r="F8" i="69"/>
  <c r="F9" i="69"/>
  <c r="F10" i="69"/>
  <c r="F11" i="69"/>
  <c r="F12" i="69"/>
  <c r="F13" i="69"/>
  <c r="F2" i="69"/>
  <c r="I3" i="69"/>
  <c r="I4" i="69"/>
  <c r="I5" i="69"/>
  <c r="I6" i="69"/>
  <c r="L40" i="55"/>
  <c r="K40" i="55"/>
  <c r="L40" i="57"/>
  <c r="K40" i="57"/>
  <c r="L40" i="56"/>
  <c r="L40" i="52"/>
  <c r="L40" i="51"/>
  <c r="L40" i="50"/>
  <c r="L40" i="49"/>
  <c r="K40" i="27"/>
  <c r="K40" i="48"/>
  <c r="L40" i="25"/>
  <c r="K40" i="25"/>
  <c r="L40" i="61"/>
  <c r="L40" i="60"/>
  <c r="L40" i="59"/>
  <c r="B1" i="59"/>
  <c r="B1" i="60" s="1"/>
  <c r="B1" i="61" s="1"/>
  <c r="B1" i="62" s="1"/>
  <c r="B1" i="58"/>
  <c r="A17" i="69"/>
  <c r="A16" i="69"/>
  <c r="A15" i="69"/>
  <c r="A14" i="69"/>
  <c r="B1" i="55"/>
  <c r="A13" i="69"/>
  <c r="L40" i="58"/>
  <c r="AK25" i="52"/>
  <c r="AK26" i="52"/>
  <c r="AK27" i="52"/>
  <c r="AK28" i="52"/>
  <c r="AK29" i="52"/>
  <c r="AK30" i="52"/>
  <c r="AK31" i="52"/>
  <c r="AK24" i="52"/>
  <c r="AK23" i="52"/>
  <c r="AK22" i="52"/>
  <c r="AK21" i="52"/>
  <c r="E21" i="52"/>
  <c r="E22" i="52"/>
  <c r="E23" i="52"/>
  <c r="E20" i="52"/>
  <c r="E19" i="52"/>
  <c r="E31" i="51"/>
  <c r="D24" i="50"/>
  <c r="E22" i="51"/>
  <c r="E23" i="51"/>
  <c r="E21" i="51"/>
  <c r="E16" i="51"/>
  <c r="E18" i="51"/>
  <c r="E19" i="51"/>
  <c r="E20" i="51"/>
  <c r="E30" i="50"/>
  <c r="F29" i="50"/>
  <c r="F30" i="50" s="1"/>
  <c r="E29" i="50"/>
  <c r="D24" i="49"/>
  <c r="E31" i="49"/>
  <c r="K40" i="24"/>
  <c r="K39" i="66"/>
  <c r="E28" i="49"/>
  <c r="E3" i="24"/>
  <c r="B13" i="69"/>
  <c r="B12" i="69"/>
  <c r="A4" i="69"/>
  <c r="B1" i="48"/>
  <c r="B1" i="27" s="1"/>
  <c r="B1" i="49" s="1"/>
  <c r="B1" i="50" s="1"/>
  <c r="B1" i="51" s="1"/>
  <c r="B1" i="52" s="1"/>
  <c r="B1" i="56" s="1"/>
  <c r="B1" i="57" s="1"/>
  <c r="B1" i="25"/>
  <c r="D32" i="69"/>
  <c r="B6" i="69"/>
  <c r="B5" i="69"/>
  <c r="B4" i="69"/>
  <c r="D3" i="69"/>
  <c r="D4" i="69"/>
  <c r="D5" i="69"/>
  <c r="D6" i="69"/>
  <c r="D7" i="69"/>
  <c r="D8" i="69"/>
  <c r="D9" i="69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2" i="69"/>
  <c r="E2" i="69" s="1"/>
  <c r="A3" i="69"/>
  <c r="A2" i="69"/>
  <c r="E7" i="66"/>
  <c r="M71" i="68"/>
  <c r="K71" i="68"/>
  <c r="J71" i="68"/>
  <c r="I71" i="68"/>
  <c r="H71" i="68"/>
  <c r="G71" i="68"/>
  <c r="M70" i="68"/>
  <c r="K70" i="68"/>
  <c r="J70" i="68"/>
  <c r="I70" i="68"/>
  <c r="H70" i="68"/>
  <c r="G70" i="68"/>
  <c r="M69" i="68"/>
  <c r="K69" i="68"/>
  <c r="J69" i="68"/>
  <c r="I69" i="68"/>
  <c r="H69" i="68"/>
  <c r="G69" i="68"/>
  <c r="M68" i="68"/>
  <c r="K68" i="68"/>
  <c r="J68" i="68"/>
  <c r="I68" i="68"/>
  <c r="H68" i="68"/>
  <c r="G68" i="68"/>
  <c r="M67" i="68"/>
  <c r="K67" i="68"/>
  <c r="J67" i="68"/>
  <c r="I67" i="68"/>
  <c r="H67" i="68"/>
  <c r="G67" i="68"/>
  <c r="M66" i="68"/>
  <c r="K66" i="68"/>
  <c r="J66" i="68"/>
  <c r="I66" i="68"/>
  <c r="H66" i="68"/>
  <c r="G66" i="68"/>
  <c r="M65" i="68"/>
  <c r="K65" i="68"/>
  <c r="J65" i="68"/>
  <c r="I65" i="68"/>
  <c r="H65" i="68"/>
  <c r="G65" i="68"/>
  <c r="M64" i="68"/>
  <c r="K64" i="68"/>
  <c r="J64" i="68"/>
  <c r="I64" i="68"/>
  <c r="H64" i="68"/>
  <c r="G64" i="68"/>
  <c r="M63" i="68"/>
  <c r="K63" i="68"/>
  <c r="J63" i="68"/>
  <c r="I63" i="68"/>
  <c r="H63" i="68"/>
  <c r="G63" i="68"/>
  <c r="M62" i="68"/>
  <c r="K62" i="68"/>
  <c r="J62" i="68"/>
  <c r="I62" i="68"/>
  <c r="H62" i="68"/>
  <c r="G62" i="68"/>
  <c r="M61" i="68"/>
  <c r="K61" i="68"/>
  <c r="J61" i="68"/>
  <c r="I61" i="68"/>
  <c r="H61" i="68"/>
  <c r="G61" i="68"/>
  <c r="M60" i="68"/>
  <c r="K60" i="68"/>
  <c r="J60" i="68"/>
  <c r="I60" i="68"/>
  <c r="H60" i="68"/>
  <c r="G60" i="68"/>
  <c r="M59" i="68"/>
  <c r="K59" i="68"/>
  <c r="J59" i="68"/>
  <c r="I59" i="68"/>
  <c r="H59" i="68"/>
  <c r="G59" i="68"/>
  <c r="M58" i="68"/>
  <c r="K58" i="68"/>
  <c r="J58" i="68"/>
  <c r="I58" i="68"/>
  <c r="H58" i="68"/>
  <c r="G58" i="68"/>
  <c r="M57" i="68"/>
  <c r="K57" i="68"/>
  <c r="J57" i="68"/>
  <c r="I57" i="68"/>
  <c r="H57" i="68"/>
  <c r="G57" i="68"/>
  <c r="M56" i="68"/>
  <c r="K56" i="68"/>
  <c r="J56" i="68"/>
  <c r="I56" i="68"/>
  <c r="H56" i="68"/>
  <c r="G56" i="68"/>
  <c r="M55" i="68"/>
  <c r="K55" i="68"/>
  <c r="J55" i="68"/>
  <c r="I55" i="68"/>
  <c r="H55" i="68"/>
  <c r="G55" i="68"/>
  <c r="M54" i="68"/>
  <c r="K54" i="68"/>
  <c r="J54" i="68"/>
  <c r="I54" i="68"/>
  <c r="H54" i="68"/>
  <c r="G54" i="68"/>
  <c r="M53" i="68"/>
  <c r="K53" i="68"/>
  <c r="J53" i="68"/>
  <c r="I53" i="68"/>
  <c r="H53" i="68"/>
  <c r="G53" i="68"/>
  <c r="M52" i="68"/>
  <c r="K52" i="68"/>
  <c r="J52" i="68"/>
  <c r="I52" i="68"/>
  <c r="H52" i="68"/>
  <c r="G52" i="68"/>
  <c r="M51" i="68"/>
  <c r="K51" i="68"/>
  <c r="J51" i="68"/>
  <c r="I51" i="68"/>
  <c r="H51" i="68"/>
  <c r="G51" i="68"/>
  <c r="M50" i="68"/>
  <c r="K50" i="68"/>
  <c r="J50" i="68"/>
  <c r="I50" i="68"/>
  <c r="H50" i="68"/>
  <c r="G50" i="68"/>
  <c r="M49" i="68"/>
  <c r="K49" i="68"/>
  <c r="J49" i="68"/>
  <c r="I49" i="68"/>
  <c r="H49" i="68"/>
  <c r="G49" i="68"/>
  <c r="M48" i="68"/>
  <c r="K48" i="68"/>
  <c r="J48" i="68"/>
  <c r="I48" i="68"/>
  <c r="H48" i="68"/>
  <c r="G48" i="68"/>
  <c r="M47" i="68"/>
  <c r="L47" i="68"/>
  <c r="K47" i="68"/>
  <c r="J47" i="68"/>
  <c r="I47" i="68"/>
  <c r="H47" i="68"/>
  <c r="G47" i="68"/>
  <c r="L46" i="68"/>
  <c r="N46" i="68" s="1"/>
  <c r="H46" i="68"/>
  <c r="E34" i="68"/>
  <c r="AH33" i="68"/>
  <c r="AG33" i="68"/>
  <c r="AF33" i="68"/>
  <c r="AE33" i="68"/>
  <c r="E32" i="68"/>
  <c r="E31" i="68"/>
  <c r="E30" i="68"/>
  <c r="E29" i="68"/>
  <c r="E28" i="68"/>
  <c r="E27" i="68"/>
  <c r="E26" i="68"/>
  <c r="E25" i="68"/>
  <c r="D33" i="68" s="1"/>
  <c r="AH24" i="68"/>
  <c r="AG24" i="68"/>
  <c r="AF24" i="68"/>
  <c r="AE24" i="68"/>
  <c r="E23" i="68"/>
  <c r="E22" i="68"/>
  <c r="E21" i="68"/>
  <c r="E20" i="68"/>
  <c r="E19" i="68"/>
  <c r="E18" i="68"/>
  <c r="E17" i="68"/>
  <c r="E16" i="68"/>
  <c r="D24" i="68" s="1"/>
  <c r="AH15" i="68"/>
  <c r="AG15" i="68"/>
  <c r="AF15" i="68"/>
  <c r="AE15" i="68"/>
  <c r="AD15" i="68"/>
  <c r="Q15" i="68"/>
  <c r="O15" i="68"/>
  <c r="N15" i="68"/>
  <c r="M15" i="68"/>
  <c r="L15" i="68"/>
  <c r="K15" i="68"/>
  <c r="J15" i="68"/>
  <c r="I15" i="68"/>
  <c r="G15" i="68"/>
  <c r="E14" i="68"/>
  <c r="E13" i="68"/>
  <c r="E12" i="68"/>
  <c r="E11" i="68"/>
  <c r="E10" i="68"/>
  <c r="E9" i="68"/>
  <c r="E8" i="68"/>
  <c r="AM7" i="68"/>
  <c r="AN7" i="68" s="1"/>
  <c r="AO7" i="68" s="1"/>
  <c r="AK7" i="68"/>
  <c r="AM8" i="68" s="1"/>
  <c r="AN8" i="68" s="1"/>
  <c r="AO8" i="68" s="1"/>
  <c r="AK8" i="68" s="1"/>
  <c r="AM9" i="68" s="1"/>
  <c r="AN9" i="68" s="1"/>
  <c r="AO9" i="68" s="1"/>
  <c r="AK9" i="68" s="1"/>
  <c r="AM10" i="68" s="1"/>
  <c r="AN10" i="68" s="1"/>
  <c r="AO10" i="68" s="1"/>
  <c r="AK10" i="68" s="1"/>
  <c r="AM11" i="68" s="1"/>
  <c r="AN11" i="68" s="1"/>
  <c r="AO11" i="68" s="1"/>
  <c r="AK11" i="68" s="1"/>
  <c r="AM12" i="68" s="1"/>
  <c r="AN12" i="68" s="1"/>
  <c r="AO12" i="68" s="1"/>
  <c r="AK12" i="68" s="1"/>
  <c r="AM13" i="68" s="1"/>
  <c r="AN13" i="68" s="1"/>
  <c r="AO13" i="68" s="1"/>
  <c r="AK13" i="68" s="1"/>
  <c r="AM14" i="68" s="1"/>
  <c r="AN14" i="68" s="1"/>
  <c r="AO14" i="68" s="1"/>
  <c r="AK14" i="68" s="1"/>
  <c r="AK15" i="68" s="1"/>
  <c r="AM16" i="68" s="1"/>
  <c r="AN16" i="68" s="1"/>
  <c r="AO16" i="68" s="1"/>
  <c r="AK16" i="68" s="1"/>
  <c r="AM17" i="68" s="1"/>
  <c r="AN17" i="68" s="1"/>
  <c r="AO17" i="68" s="1"/>
  <c r="AK17" i="68" s="1"/>
  <c r="AM18" i="68" s="1"/>
  <c r="AN18" i="68" s="1"/>
  <c r="AO18" i="68" s="1"/>
  <c r="AK18" i="68" s="1"/>
  <c r="AM19" i="68" s="1"/>
  <c r="AN19" i="68" s="1"/>
  <c r="AO19" i="68" s="1"/>
  <c r="AK19" i="68" s="1"/>
  <c r="AM20" i="68" s="1"/>
  <c r="AN20" i="68" s="1"/>
  <c r="AO20" i="68" s="1"/>
  <c r="AK20" i="68" s="1"/>
  <c r="AM21" i="68" s="1"/>
  <c r="AN21" i="68" s="1"/>
  <c r="AO21" i="68" s="1"/>
  <c r="AK21" i="68" s="1"/>
  <c r="AM22" i="68" s="1"/>
  <c r="AN22" i="68" s="1"/>
  <c r="AO22" i="68" s="1"/>
  <c r="AK22" i="68" s="1"/>
  <c r="AM23" i="68" s="1"/>
  <c r="AN23" i="68" s="1"/>
  <c r="AO23" i="68" s="1"/>
  <c r="AK23" i="68" s="1"/>
  <c r="AK24" i="68" s="1"/>
  <c r="AM25" i="68" s="1"/>
  <c r="AN25" i="68" s="1"/>
  <c r="AO25" i="68" s="1"/>
  <c r="AK25" i="68" s="1"/>
  <c r="AM26" i="68" s="1"/>
  <c r="AN26" i="68" s="1"/>
  <c r="AO26" i="68" s="1"/>
  <c r="AK26" i="68" s="1"/>
  <c r="AM27" i="68" s="1"/>
  <c r="AN27" i="68" s="1"/>
  <c r="AO27" i="68" s="1"/>
  <c r="AK27" i="68" s="1"/>
  <c r="AM28" i="68" s="1"/>
  <c r="AN28" i="68" s="1"/>
  <c r="AO28" i="68" s="1"/>
  <c r="AK28" i="68" s="1"/>
  <c r="AM29" i="68" s="1"/>
  <c r="AN29" i="68" s="1"/>
  <c r="AO29" i="68" s="1"/>
  <c r="AK29" i="68" s="1"/>
  <c r="AM30" i="68" s="1"/>
  <c r="AN30" i="68" s="1"/>
  <c r="AO30" i="68" s="1"/>
  <c r="AK30" i="68" s="1"/>
  <c r="AM31" i="68" s="1"/>
  <c r="AN31" i="68" s="1"/>
  <c r="AO31" i="68" s="1"/>
  <c r="AK31" i="68" s="1"/>
  <c r="AM32" i="68" s="1"/>
  <c r="AN32" i="68" s="1"/>
  <c r="AO32" i="68" s="1"/>
  <c r="AK32" i="68" s="1"/>
  <c r="F7" i="68"/>
  <c r="F8" i="68" s="1"/>
  <c r="F9" i="68" s="1"/>
  <c r="F10" i="68" s="1"/>
  <c r="F11" i="68" s="1"/>
  <c r="F12" i="68" s="1"/>
  <c r="F13" i="68" s="1"/>
  <c r="F14" i="68" s="1"/>
  <c r="F15" i="68" s="1"/>
  <c r="F16" i="68" s="1"/>
  <c r="F17" i="68" s="1"/>
  <c r="F18" i="68" s="1"/>
  <c r="F19" i="68" s="1"/>
  <c r="F20" i="68" s="1"/>
  <c r="F21" i="68" s="1"/>
  <c r="F22" i="68" s="1"/>
  <c r="F23" i="68" s="1"/>
  <c r="F24" i="68" s="1"/>
  <c r="F25" i="68" s="1"/>
  <c r="F26" i="68" s="1"/>
  <c r="F27" i="68" s="1"/>
  <c r="F28" i="68" s="1"/>
  <c r="F29" i="68" s="1"/>
  <c r="F30" i="68" s="1"/>
  <c r="F31" i="68" s="1"/>
  <c r="F32" i="68" s="1"/>
  <c r="F33" i="68" s="1"/>
  <c r="L42" i="68" s="1"/>
  <c r="E7" i="68"/>
  <c r="D15" i="68" s="1"/>
  <c r="D6" i="68"/>
  <c r="G46" i="68" s="1"/>
  <c r="AU1" i="68"/>
  <c r="B1" i="68"/>
  <c r="M71" i="67"/>
  <c r="K71" i="67"/>
  <c r="J71" i="67"/>
  <c r="I71" i="67"/>
  <c r="H71" i="67"/>
  <c r="G71" i="67"/>
  <c r="M70" i="67"/>
  <c r="K70" i="67"/>
  <c r="J70" i="67"/>
  <c r="I70" i="67"/>
  <c r="H70" i="67"/>
  <c r="G70" i="67"/>
  <c r="M69" i="67"/>
  <c r="K69" i="67"/>
  <c r="J69" i="67"/>
  <c r="I69" i="67"/>
  <c r="H69" i="67"/>
  <c r="G69" i="67"/>
  <c r="M68" i="67"/>
  <c r="K68" i="67"/>
  <c r="J68" i="67"/>
  <c r="I68" i="67"/>
  <c r="H68" i="67"/>
  <c r="G68" i="67"/>
  <c r="M67" i="67"/>
  <c r="K67" i="67"/>
  <c r="J67" i="67"/>
  <c r="I67" i="67"/>
  <c r="H67" i="67"/>
  <c r="G67" i="67"/>
  <c r="M66" i="67"/>
  <c r="K66" i="67"/>
  <c r="J66" i="67"/>
  <c r="I66" i="67"/>
  <c r="H66" i="67"/>
  <c r="G66" i="67"/>
  <c r="M65" i="67"/>
  <c r="K65" i="67"/>
  <c r="J65" i="67"/>
  <c r="I65" i="67"/>
  <c r="H65" i="67"/>
  <c r="G65" i="67"/>
  <c r="M64" i="67"/>
  <c r="K64" i="67"/>
  <c r="J64" i="67"/>
  <c r="I64" i="67"/>
  <c r="H64" i="67"/>
  <c r="G64" i="67"/>
  <c r="M63" i="67"/>
  <c r="K63" i="67"/>
  <c r="J63" i="67"/>
  <c r="I63" i="67"/>
  <c r="H63" i="67"/>
  <c r="G63" i="67"/>
  <c r="M62" i="67"/>
  <c r="K62" i="67"/>
  <c r="J62" i="67"/>
  <c r="I62" i="67"/>
  <c r="H62" i="67"/>
  <c r="G62" i="67"/>
  <c r="M61" i="67"/>
  <c r="K61" i="67"/>
  <c r="J61" i="67"/>
  <c r="I61" i="67"/>
  <c r="H61" i="67"/>
  <c r="G61" i="67"/>
  <c r="M60" i="67"/>
  <c r="K60" i="67"/>
  <c r="J60" i="67"/>
  <c r="I60" i="67"/>
  <c r="H60" i="67"/>
  <c r="G60" i="67"/>
  <c r="M59" i="67"/>
  <c r="K59" i="67"/>
  <c r="J59" i="67"/>
  <c r="I59" i="67"/>
  <c r="H59" i="67"/>
  <c r="G59" i="67"/>
  <c r="M58" i="67"/>
  <c r="K58" i="67"/>
  <c r="J58" i="67"/>
  <c r="I58" i="67"/>
  <c r="H58" i="67"/>
  <c r="G58" i="67"/>
  <c r="M57" i="67"/>
  <c r="K57" i="67"/>
  <c r="J57" i="67"/>
  <c r="I57" i="67"/>
  <c r="H57" i="67"/>
  <c r="G57" i="67"/>
  <c r="M56" i="67"/>
  <c r="K56" i="67"/>
  <c r="J56" i="67"/>
  <c r="I56" i="67"/>
  <c r="H56" i="67"/>
  <c r="G56" i="67"/>
  <c r="M55" i="67"/>
  <c r="K55" i="67"/>
  <c r="J55" i="67"/>
  <c r="I55" i="67"/>
  <c r="H55" i="67"/>
  <c r="G55" i="67"/>
  <c r="M54" i="67"/>
  <c r="K54" i="67"/>
  <c r="J54" i="67"/>
  <c r="I54" i="67"/>
  <c r="H54" i="67"/>
  <c r="G54" i="67"/>
  <c r="M53" i="67"/>
  <c r="K53" i="67"/>
  <c r="J53" i="67"/>
  <c r="I53" i="67"/>
  <c r="H53" i="67"/>
  <c r="G53" i="67"/>
  <c r="M52" i="67"/>
  <c r="K52" i="67"/>
  <c r="J52" i="67"/>
  <c r="I52" i="67"/>
  <c r="H52" i="67"/>
  <c r="G52" i="67"/>
  <c r="M51" i="67"/>
  <c r="K51" i="67"/>
  <c r="J51" i="67"/>
  <c r="I51" i="67"/>
  <c r="H51" i="67"/>
  <c r="G51" i="67"/>
  <c r="M50" i="67"/>
  <c r="K50" i="67"/>
  <c r="J50" i="67"/>
  <c r="I50" i="67"/>
  <c r="H50" i="67"/>
  <c r="G50" i="67"/>
  <c r="M49" i="67"/>
  <c r="K49" i="67"/>
  <c r="J49" i="67"/>
  <c r="I49" i="67"/>
  <c r="H49" i="67"/>
  <c r="G49" i="67"/>
  <c r="M48" i="67"/>
  <c r="K48" i="67"/>
  <c r="J48" i="67"/>
  <c r="I48" i="67"/>
  <c r="H48" i="67"/>
  <c r="G48" i="67"/>
  <c r="M47" i="67"/>
  <c r="L47" i="67"/>
  <c r="K47" i="67"/>
  <c r="J47" i="67"/>
  <c r="I47" i="67"/>
  <c r="H47" i="67"/>
  <c r="G47" i="67"/>
  <c r="L46" i="67"/>
  <c r="N46" i="67" s="1"/>
  <c r="H46" i="67"/>
  <c r="E34" i="67"/>
  <c r="AH33" i="67"/>
  <c r="AG33" i="67"/>
  <c r="AF33" i="67"/>
  <c r="AE33" i="67"/>
  <c r="E32" i="67"/>
  <c r="E31" i="67"/>
  <c r="E30" i="67"/>
  <c r="E29" i="67"/>
  <c r="E28" i="67"/>
  <c r="E27" i="67"/>
  <c r="E26" i="67"/>
  <c r="E25" i="67"/>
  <c r="D33" i="67" s="1"/>
  <c r="AH24" i="67"/>
  <c r="AG24" i="67"/>
  <c r="AF24" i="67"/>
  <c r="AE24" i="67"/>
  <c r="E23" i="67"/>
  <c r="E22" i="67"/>
  <c r="E21" i="67"/>
  <c r="E20" i="67"/>
  <c r="E19" i="67"/>
  <c r="E18" i="67"/>
  <c r="E17" i="67"/>
  <c r="E16" i="67"/>
  <c r="D24" i="67" s="1"/>
  <c r="AH15" i="67"/>
  <c r="AG15" i="67"/>
  <c r="AF15" i="67"/>
  <c r="AE15" i="67"/>
  <c r="AD15" i="67"/>
  <c r="Q15" i="67"/>
  <c r="O15" i="67"/>
  <c r="N15" i="67"/>
  <c r="M15" i="67"/>
  <c r="L15" i="67"/>
  <c r="K15" i="67"/>
  <c r="J15" i="67"/>
  <c r="I15" i="67"/>
  <c r="G15" i="67"/>
  <c r="E14" i="67"/>
  <c r="E13" i="67"/>
  <c r="E12" i="67"/>
  <c r="E11" i="67"/>
  <c r="E10" i="67"/>
  <c r="E9" i="67"/>
  <c r="E8" i="67"/>
  <c r="AM7" i="67"/>
  <c r="AN7" i="67" s="1"/>
  <c r="AO7" i="67" s="1"/>
  <c r="AK7" i="67"/>
  <c r="AM8" i="67" s="1"/>
  <c r="AN8" i="67" s="1"/>
  <c r="AO8" i="67" s="1"/>
  <c r="AK8" i="67" s="1"/>
  <c r="AM9" i="67" s="1"/>
  <c r="AN9" i="67" s="1"/>
  <c r="AO9" i="67" s="1"/>
  <c r="AK9" i="67" s="1"/>
  <c r="AM10" i="67" s="1"/>
  <c r="AN10" i="67" s="1"/>
  <c r="AO10" i="67" s="1"/>
  <c r="AK10" i="67" s="1"/>
  <c r="AM11" i="67" s="1"/>
  <c r="AN11" i="67" s="1"/>
  <c r="AO11" i="67" s="1"/>
  <c r="AK11" i="67" s="1"/>
  <c r="AM12" i="67" s="1"/>
  <c r="AN12" i="67" s="1"/>
  <c r="AO12" i="67" s="1"/>
  <c r="AK12" i="67" s="1"/>
  <c r="AM13" i="67" s="1"/>
  <c r="AN13" i="67" s="1"/>
  <c r="AO13" i="67" s="1"/>
  <c r="AK13" i="67" s="1"/>
  <c r="AM14" i="67" s="1"/>
  <c r="AN14" i="67" s="1"/>
  <c r="AO14" i="67" s="1"/>
  <c r="AK14" i="67" s="1"/>
  <c r="AK15" i="67" s="1"/>
  <c r="AM16" i="67" s="1"/>
  <c r="AN16" i="67" s="1"/>
  <c r="AO16" i="67" s="1"/>
  <c r="AK16" i="67" s="1"/>
  <c r="AM17" i="67" s="1"/>
  <c r="AN17" i="67" s="1"/>
  <c r="AO17" i="67" s="1"/>
  <c r="AK17" i="67" s="1"/>
  <c r="AM18" i="67" s="1"/>
  <c r="AN18" i="67" s="1"/>
  <c r="AO18" i="67" s="1"/>
  <c r="AK18" i="67" s="1"/>
  <c r="AM19" i="67" s="1"/>
  <c r="AN19" i="67" s="1"/>
  <c r="AO19" i="67" s="1"/>
  <c r="AK19" i="67" s="1"/>
  <c r="AM20" i="67" s="1"/>
  <c r="AN20" i="67" s="1"/>
  <c r="AO20" i="67" s="1"/>
  <c r="AK20" i="67" s="1"/>
  <c r="AM21" i="67" s="1"/>
  <c r="AN21" i="67" s="1"/>
  <c r="AO21" i="67" s="1"/>
  <c r="AK21" i="67" s="1"/>
  <c r="AM22" i="67" s="1"/>
  <c r="AN22" i="67" s="1"/>
  <c r="AO22" i="67" s="1"/>
  <c r="AK22" i="67" s="1"/>
  <c r="AM23" i="67" s="1"/>
  <c r="AN23" i="67" s="1"/>
  <c r="AO23" i="67" s="1"/>
  <c r="AK23" i="67" s="1"/>
  <c r="AK24" i="67" s="1"/>
  <c r="AM25" i="67" s="1"/>
  <c r="AN25" i="67" s="1"/>
  <c r="AO25" i="67" s="1"/>
  <c r="AK25" i="67" s="1"/>
  <c r="AM26" i="67" s="1"/>
  <c r="AN26" i="67" s="1"/>
  <c r="AO26" i="67" s="1"/>
  <c r="AK26" i="67" s="1"/>
  <c r="AM27" i="67" s="1"/>
  <c r="AN27" i="67" s="1"/>
  <c r="AO27" i="67" s="1"/>
  <c r="AK27" i="67" s="1"/>
  <c r="AM28" i="67" s="1"/>
  <c r="AN28" i="67" s="1"/>
  <c r="AO28" i="67" s="1"/>
  <c r="AK28" i="67" s="1"/>
  <c r="AM29" i="67" s="1"/>
  <c r="AN29" i="67" s="1"/>
  <c r="AO29" i="67" s="1"/>
  <c r="AK29" i="67" s="1"/>
  <c r="AM30" i="67" s="1"/>
  <c r="AN30" i="67" s="1"/>
  <c r="AO30" i="67" s="1"/>
  <c r="AK30" i="67" s="1"/>
  <c r="AM31" i="67" s="1"/>
  <c r="AN31" i="67" s="1"/>
  <c r="AO31" i="67" s="1"/>
  <c r="AK31" i="67" s="1"/>
  <c r="AM32" i="67" s="1"/>
  <c r="AN32" i="67" s="1"/>
  <c r="AO32" i="67" s="1"/>
  <c r="AK32" i="67" s="1"/>
  <c r="F7" i="67"/>
  <c r="F8" i="67" s="1"/>
  <c r="F9" i="67" s="1"/>
  <c r="F10" i="67" s="1"/>
  <c r="F11" i="67" s="1"/>
  <c r="F12" i="67" s="1"/>
  <c r="F13" i="67" s="1"/>
  <c r="F14" i="67" s="1"/>
  <c r="F15" i="67" s="1"/>
  <c r="F16" i="67" s="1"/>
  <c r="F17" i="67" s="1"/>
  <c r="F18" i="67" s="1"/>
  <c r="F19" i="67" s="1"/>
  <c r="F20" i="67" s="1"/>
  <c r="F21" i="67" s="1"/>
  <c r="F22" i="67" s="1"/>
  <c r="F23" i="67" s="1"/>
  <c r="F24" i="67" s="1"/>
  <c r="F25" i="67" s="1"/>
  <c r="F26" i="67" s="1"/>
  <c r="F27" i="67" s="1"/>
  <c r="F28" i="67" s="1"/>
  <c r="F29" i="67" s="1"/>
  <c r="F30" i="67" s="1"/>
  <c r="F31" i="67" s="1"/>
  <c r="F32" i="67" s="1"/>
  <c r="F33" i="67" s="1"/>
  <c r="L42" i="67" s="1"/>
  <c r="E7" i="67"/>
  <c r="D15" i="67" s="1"/>
  <c r="D6" i="67"/>
  <c r="G46" i="67" s="1"/>
  <c r="AU1" i="67"/>
  <c r="B1" i="67"/>
  <c r="M71" i="65"/>
  <c r="K71" i="65"/>
  <c r="J71" i="65"/>
  <c r="I71" i="65"/>
  <c r="H71" i="65"/>
  <c r="G71" i="65"/>
  <c r="M70" i="65"/>
  <c r="K70" i="65"/>
  <c r="J70" i="65"/>
  <c r="I70" i="65"/>
  <c r="H70" i="65"/>
  <c r="G70" i="65"/>
  <c r="M69" i="65"/>
  <c r="K69" i="65"/>
  <c r="J69" i="65"/>
  <c r="I69" i="65"/>
  <c r="H69" i="65"/>
  <c r="G69" i="65"/>
  <c r="M68" i="65"/>
  <c r="K68" i="65"/>
  <c r="J68" i="65"/>
  <c r="I68" i="65"/>
  <c r="H68" i="65"/>
  <c r="G68" i="65"/>
  <c r="M67" i="65"/>
  <c r="K67" i="65"/>
  <c r="J67" i="65"/>
  <c r="I67" i="65"/>
  <c r="H67" i="65"/>
  <c r="G67" i="65"/>
  <c r="M66" i="65"/>
  <c r="K66" i="65"/>
  <c r="J66" i="65"/>
  <c r="I66" i="65"/>
  <c r="H66" i="65"/>
  <c r="G66" i="65"/>
  <c r="M65" i="65"/>
  <c r="K65" i="65"/>
  <c r="J65" i="65"/>
  <c r="I65" i="65"/>
  <c r="H65" i="65"/>
  <c r="G65" i="65"/>
  <c r="M64" i="65"/>
  <c r="K64" i="65"/>
  <c r="J64" i="65"/>
  <c r="I64" i="65"/>
  <c r="H64" i="65"/>
  <c r="G64" i="65"/>
  <c r="M63" i="65"/>
  <c r="K63" i="65"/>
  <c r="J63" i="65"/>
  <c r="I63" i="65"/>
  <c r="H63" i="65"/>
  <c r="G63" i="65"/>
  <c r="M62" i="65"/>
  <c r="K62" i="65"/>
  <c r="J62" i="65"/>
  <c r="I62" i="65"/>
  <c r="H62" i="65"/>
  <c r="G62" i="65"/>
  <c r="M61" i="65"/>
  <c r="K61" i="65"/>
  <c r="J61" i="65"/>
  <c r="I61" i="65"/>
  <c r="H61" i="65"/>
  <c r="G61" i="65"/>
  <c r="M60" i="65"/>
  <c r="K60" i="65"/>
  <c r="J60" i="65"/>
  <c r="I60" i="65"/>
  <c r="H60" i="65"/>
  <c r="G60" i="65"/>
  <c r="M59" i="65"/>
  <c r="K59" i="65"/>
  <c r="J59" i="65"/>
  <c r="I59" i="65"/>
  <c r="H59" i="65"/>
  <c r="G59" i="65"/>
  <c r="M58" i="65"/>
  <c r="K58" i="65"/>
  <c r="J58" i="65"/>
  <c r="I58" i="65"/>
  <c r="H58" i="65"/>
  <c r="G58" i="65"/>
  <c r="M57" i="65"/>
  <c r="K57" i="65"/>
  <c r="J57" i="65"/>
  <c r="I57" i="65"/>
  <c r="H57" i="65"/>
  <c r="G57" i="65"/>
  <c r="M56" i="65"/>
  <c r="K56" i="65"/>
  <c r="J56" i="65"/>
  <c r="I56" i="65"/>
  <c r="H56" i="65"/>
  <c r="G56" i="65"/>
  <c r="M55" i="65"/>
  <c r="K55" i="65"/>
  <c r="J55" i="65"/>
  <c r="I55" i="65"/>
  <c r="H55" i="65"/>
  <c r="G55" i="65"/>
  <c r="M54" i="65"/>
  <c r="K54" i="65"/>
  <c r="J54" i="65"/>
  <c r="I54" i="65"/>
  <c r="H54" i="65"/>
  <c r="G54" i="65"/>
  <c r="M53" i="65"/>
  <c r="K53" i="65"/>
  <c r="J53" i="65"/>
  <c r="I53" i="65"/>
  <c r="H53" i="65"/>
  <c r="G53" i="65"/>
  <c r="M52" i="65"/>
  <c r="K52" i="65"/>
  <c r="J52" i="65"/>
  <c r="I52" i="65"/>
  <c r="H52" i="65"/>
  <c r="G52" i="65"/>
  <c r="M51" i="65"/>
  <c r="K51" i="65"/>
  <c r="J51" i="65"/>
  <c r="I51" i="65"/>
  <c r="H51" i="65"/>
  <c r="G51" i="65"/>
  <c r="M50" i="65"/>
  <c r="K50" i="65"/>
  <c r="J50" i="65"/>
  <c r="I50" i="65"/>
  <c r="H50" i="65"/>
  <c r="G50" i="65"/>
  <c r="M49" i="65"/>
  <c r="K49" i="65"/>
  <c r="J49" i="65"/>
  <c r="I49" i="65"/>
  <c r="H49" i="65"/>
  <c r="G49" i="65"/>
  <c r="M48" i="65"/>
  <c r="K48" i="65"/>
  <c r="J48" i="65"/>
  <c r="I48" i="65"/>
  <c r="H48" i="65"/>
  <c r="G48" i="65"/>
  <c r="M47" i="65"/>
  <c r="L47" i="65"/>
  <c r="K47" i="65"/>
  <c r="J47" i="65"/>
  <c r="I47" i="65"/>
  <c r="H47" i="65"/>
  <c r="G47" i="65"/>
  <c r="L46" i="65"/>
  <c r="N46" i="65" s="1"/>
  <c r="H46" i="65"/>
  <c r="E34" i="65"/>
  <c r="AH33" i="65"/>
  <c r="AG33" i="65"/>
  <c r="AF33" i="65"/>
  <c r="AE33" i="65"/>
  <c r="E32" i="65"/>
  <c r="E31" i="65"/>
  <c r="E30" i="65"/>
  <c r="E29" i="65"/>
  <c r="E28" i="65"/>
  <c r="E27" i="65"/>
  <c r="E26" i="65"/>
  <c r="E25" i="65"/>
  <c r="D33" i="65" s="1"/>
  <c r="AH24" i="65"/>
  <c r="AG24" i="65"/>
  <c r="AF24" i="65"/>
  <c r="AE24" i="65"/>
  <c r="E23" i="65"/>
  <c r="E22" i="65"/>
  <c r="E21" i="65"/>
  <c r="E20" i="65"/>
  <c r="E19" i="65"/>
  <c r="E18" i="65"/>
  <c r="E17" i="65"/>
  <c r="E16" i="65"/>
  <c r="D24" i="65" s="1"/>
  <c r="AH15" i="65"/>
  <c r="AG15" i="65"/>
  <c r="AF15" i="65"/>
  <c r="AE15" i="65"/>
  <c r="AD15" i="65"/>
  <c r="Q15" i="65"/>
  <c r="O15" i="65"/>
  <c r="N15" i="65"/>
  <c r="M15" i="65"/>
  <c r="L15" i="65"/>
  <c r="K15" i="65"/>
  <c r="J15" i="65"/>
  <c r="I15" i="65"/>
  <c r="G15" i="65"/>
  <c r="E14" i="65"/>
  <c r="E13" i="65"/>
  <c r="E12" i="65"/>
  <c r="E11" i="65"/>
  <c r="E10" i="65"/>
  <c r="E9" i="65"/>
  <c r="E8" i="65"/>
  <c r="AM7" i="65"/>
  <c r="AN7" i="65" s="1"/>
  <c r="AO7" i="65" s="1"/>
  <c r="AK7" i="65"/>
  <c r="AM8" i="65" s="1"/>
  <c r="AN8" i="65" s="1"/>
  <c r="AO8" i="65" s="1"/>
  <c r="AK8" i="65" s="1"/>
  <c r="AM9" i="65" s="1"/>
  <c r="AN9" i="65" s="1"/>
  <c r="AO9" i="65" s="1"/>
  <c r="AK9" i="65" s="1"/>
  <c r="AM10" i="65" s="1"/>
  <c r="AN10" i="65" s="1"/>
  <c r="AO10" i="65" s="1"/>
  <c r="AK10" i="65" s="1"/>
  <c r="AM11" i="65" s="1"/>
  <c r="AN11" i="65" s="1"/>
  <c r="AO11" i="65" s="1"/>
  <c r="AK11" i="65" s="1"/>
  <c r="AM12" i="65" s="1"/>
  <c r="AN12" i="65" s="1"/>
  <c r="AO12" i="65" s="1"/>
  <c r="AK12" i="65" s="1"/>
  <c r="AM13" i="65" s="1"/>
  <c r="AN13" i="65" s="1"/>
  <c r="AO13" i="65" s="1"/>
  <c r="AK13" i="65" s="1"/>
  <c r="AM14" i="65" s="1"/>
  <c r="AN14" i="65" s="1"/>
  <c r="AO14" i="65" s="1"/>
  <c r="AK14" i="65" s="1"/>
  <c r="AK15" i="65" s="1"/>
  <c r="AM16" i="65" s="1"/>
  <c r="AN16" i="65" s="1"/>
  <c r="AO16" i="65" s="1"/>
  <c r="AK16" i="65" s="1"/>
  <c r="AM17" i="65" s="1"/>
  <c r="AN17" i="65" s="1"/>
  <c r="AO17" i="65" s="1"/>
  <c r="AK17" i="65" s="1"/>
  <c r="AM18" i="65" s="1"/>
  <c r="AN18" i="65" s="1"/>
  <c r="AO18" i="65" s="1"/>
  <c r="AK18" i="65" s="1"/>
  <c r="AM19" i="65" s="1"/>
  <c r="AN19" i="65" s="1"/>
  <c r="AO19" i="65" s="1"/>
  <c r="AK19" i="65" s="1"/>
  <c r="AM20" i="65" s="1"/>
  <c r="AN20" i="65" s="1"/>
  <c r="AO20" i="65" s="1"/>
  <c r="AK20" i="65" s="1"/>
  <c r="AM21" i="65" s="1"/>
  <c r="AN21" i="65" s="1"/>
  <c r="AO21" i="65" s="1"/>
  <c r="AK21" i="65" s="1"/>
  <c r="AM22" i="65" s="1"/>
  <c r="AN22" i="65" s="1"/>
  <c r="AO22" i="65" s="1"/>
  <c r="AK22" i="65" s="1"/>
  <c r="AM23" i="65" s="1"/>
  <c r="AN23" i="65" s="1"/>
  <c r="AO23" i="65" s="1"/>
  <c r="AK23" i="65" s="1"/>
  <c r="AK24" i="65" s="1"/>
  <c r="AM25" i="65" s="1"/>
  <c r="AN25" i="65" s="1"/>
  <c r="AO25" i="65" s="1"/>
  <c r="AK25" i="65" s="1"/>
  <c r="AM26" i="65" s="1"/>
  <c r="AN26" i="65" s="1"/>
  <c r="AO26" i="65" s="1"/>
  <c r="AK26" i="65" s="1"/>
  <c r="AM27" i="65" s="1"/>
  <c r="AN27" i="65" s="1"/>
  <c r="AO27" i="65" s="1"/>
  <c r="AK27" i="65" s="1"/>
  <c r="AM28" i="65" s="1"/>
  <c r="AN28" i="65" s="1"/>
  <c r="AO28" i="65" s="1"/>
  <c r="AK28" i="65" s="1"/>
  <c r="AM29" i="65" s="1"/>
  <c r="AN29" i="65" s="1"/>
  <c r="AO29" i="65" s="1"/>
  <c r="AK29" i="65" s="1"/>
  <c r="AM30" i="65" s="1"/>
  <c r="AN30" i="65" s="1"/>
  <c r="AO30" i="65" s="1"/>
  <c r="AK30" i="65" s="1"/>
  <c r="AM31" i="65" s="1"/>
  <c r="AN31" i="65" s="1"/>
  <c r="AO31" i="65" s="1"/>
  <c r="AK31" i="65" s="1"/>
  <c r="AM32" i="65" s="1"/>
  <c r="AN32" i="65" s="1"/>
  <c r="AO32" i="65" s="1"/>
  <c r="AK32" i="65" s="1"/>
  <c r="F7" i="65"/>
  <c r="F8" i="65" s="1"/>
  <c r="F9" i="65" s="1"/>
  <c r="F10" i="65" s="1"/>
  <c r="F11" i="65" s="1"/>
  <c r="F12" i="65" s="1"/>
  <c r="F13" i="65" s="1"/>
  <c r="F14" i="65" s="1"/>
  <c r="F15" i="65" s="1"/>
  <c r="F16" i="65" s="1"/>
  <c r="F17" i="65" s="1"/>
  <c r="F18" i="65" s="1"/>
  <c r="F19" i="65" s="1"/>
  <c r="F20" i="65" s="1"/>
  <c r="F21" i="65" s="1"/>
  <c r="F22" i="65" s="1"/>
  <c r="F23" i="65" s="1"/>
  <c r="F24" i="65" s="1"/>
  <c r="F25" i="65" s="1"/>
  <c r="F26" i="65" s="1"/>
  <c r="F27" i="65" s="1"/>
  <c r="F28" i="65" s="1"/>
  <c r="F29" i="65" s="1"/>
  <c r="F30" i="65" s="1"/>
  <c r="F31" i="65" s="1"/>
  <c r="F32" i="65" s="1"/>
  <c r="F33" i="65" s="1"/>
  <c r="L42" i="65" s="1"/>
  <c r="E7" i="65"/>
  <c r="D15" i="65" s="1"/>
  <c r="D6" i="65"/>
  <c r="G46" i="65" s="1"/>
  <c r="AU1" i="65"/>
  <c r="B1" i="65"/>
  <c r="M71" i="64"/>
  <c r="K71" i="64"/>
  <c r="J71" i="64"/>
  <c r="I71" i="64"/>
  <c r="H71" i="64"/>
  <c r="G71" i="64"/>
  <c r="M70" i="64"/>
  <c r="K70" i="64"/>
  <c r="J70" i="64"/>
  <c r="I70" i="64"/>
  <c r="H70" i="64"/>
  <c r="G70" i="64"/>
  <c r="M69" i="64"/>
  <c r="K69" i="64"/>
  <c r="J69" i="64"/>
  <c r="I69" i="64"/>
  <c r="H69" i="64"/>
  <c r="G69" i="64"/>
  <c r="M68" i="64"/>
  <c r="K68" i="64"/>
  <c r="J68" i="64"/>
  <c r="I68" i="64"/>
  <c r="H68" i="64"/>
  <c r="G68" i="64"/>
  <c r="M67" i="64"/>
  <c r="K67" i="64"/>
  <c r="J67" i="64"/>
  <c r="I67" i="64"/>
  <c r="H67" i="64"/>
  <c r="G67" i="64"/>
  <c r="M66" i="64"/>
  <c r="K66" i="64"/>
  <c r="J66" i="64"/>
  <c r="I66" i="64"/>
  <c r="H66" i="64"/>
  <c r="G66" i="64"/>
  <c r="M65" i="64"/>
  <c r="K65" i="64"/>
  <c r="J65" i="64"/>
  <c r="I65" i="64"/>
  <c r="H65" i="64"/>
  <c r="G65" i="64"/>
  <c r="M64" i="64"/>
  <c r="K64" i="64"/>
  <c r="J64" i="64"/>
  <c r="I64" i="64"/>
  <c r="H64" i="64"/>
  <c r="G64" i="64"/>
  <c r="M63" i="64"/>
  <c r="K63" i="64"/>
  <c r="J63" i="64"/>
  <c r="I63" i="64"/>
  <c r="H63" i="64"/>
  <c r="G63" i="64"/>
  <c r="M62" i="64"/>
  <c r="K62" i="64"/>
  <c r="J62" i="64"/>
  <c r="I62" i="64"/>
  <c r="H62" i="64"/>
  <c r="G62" i="64"/>
  <c r="M61" i="64"/>
  <c r="K61" i="64"/>
  <c r="J61" i="64"/>
  <c r="I61" i="64"/>
  <c r="H61" i="64"/>
  <c r="G61" i="64"/>
  <c r="M60" i="64"/>
  <c r="K60" i="64"/>
  <c r="J60" i="64"/>
  <c r="I60" i="64"/>
  <c r="H60" i="64"/>
  <c r="G60" i="64"/>
  <c r="M59" i="64"/>
  <c r="K59" i="64"/>
  <c r="J59" i="64"/>
  <c r="I59" i="64"/>
  <c r="H59" i="64"/>
  <c r="G59" i="64"/>
  <c r="M58" i="64"/>
  <c r="K58" i="64"/>
  <c r="J58" i="64"/>
  <c r="I58" i="64"/>
  <c r="H58" i="64"/>
  <c r="G58" i="64"/>
  <c r="M57" i="64"/>
  <c r="K57" i="64"/>
  <c r="J57" i="64"/>
  <c r="I57" i="64"/>
  <c r="H57" i="64"/>
  <c r="G57" i="64"/>
  <c r="M56" i="64"/>
  <c r="K56" i="64"/>
  <c r="J56" i="64"/>
  <c r="I56" i="64"/>
  <c r="H56" i="64"/>
  <c r="G56" i="64"/>
  <c r="M55" i="64"/>
  <c r="K55" i="64"/>
  <c r="J55" i="64"/>
  <c r="I55" i="64"/>
  <c r="H55" i="64"/>
  <c r="G55" i="64"/>
  <c r="M54" i="64"/>
  <c r="K54" i="64"/>
  <c r="J54" i="64"/>
  <c r="I54" i="64"/>
  <c r="H54" i="64"/>
  <c r="G54" i="64"/>
  <c r="M53" i="64"/>
  <c r="K53" i="64"/>
  <c r="J53" i="64"/>
  <c r="I53" i="64"/>
  <c r="H53" i="64"/>
  <c r="G53" i="64"/>
  <c r="M52" i="64"/>
  <c r="K52" i="64"/>
  <c r="J52" i="64"/>
  <c r="I52" i="64"/>
  <c r="H52" i="64"/>
  <c r="G52" i="64"/>
  <c r="M51" i="64"/>
  <c r="K51" i="64"/>
  <c r="J51" i="64"/>
  <c r="I51" i="64"/>
  <c r="H51" i="64"/>
  <c r="G51" i="64"/>
  <c r="M50" i="64"/>
  <c r="K50" i="64"/>
  <c r="J50" i="64"/>
  <c r="I50" i="64"/>
  <c r="H50" i="64"/>
  <c r="G50" i="64"/>
  <c r="M49" i="64"/>
  <c r="K49" i="64"/>
  <c r="J49" i="64"/>
  <c r="I49" i="64"/>
  <c r="H49" i="64"/>
  <c r="G49" i="64"/>
  <c r="M48" i="64"/>
  <c r="K48" i="64"/>
  <c r="J48" i="64"/>
  <c r="I48" i="64"/>
  <c r="H48" i="64"/>
  <c r="G48" i="64"/>
  <c r="M47" i="64"/>
  <c r="L47" i="64"/>
  <c r="K47" i="64"/>
  <c r="J47" i="64"/>
  <c r="I47" i="64"/>
  <c r="H47" i="64"/>
  <c r="G47" i="64"/>
  <c r="L46" i="64"/>
  <c r="N46" i="64" s="1"/>
  <c r="H46" i="64"/>
  <c r="E34" i="64"/>
  <c r="AH33" i="64"/>
  <c r="AG33" i="64"/>
  <c r="AF33" i="64"/>
  <c r="AE33" i="64"/>
  <c r="E32" i="64"/>
  <c r="E31" i="64"/>
  <c r="E30" i="64"/>
  <c r="E29" i="64"/>
  <c r="E28" i="64"/>
  <c r="E27" i="64"/>
  <c r="E26" i="64"/>
  <c r="E25" i="64"/>
  <c r="D33" i="64" s="1"/>
  <c r="AH24" i="64"/>
  <c r="AG24" i="64"/>
  <c r="AF24" i="64"/>
  <c r="AE24" i="64"/>
  <c r="E23" i="64"/>
  <c r="E22" i="64"/>
  <c r="E21" i="64"/>
  <c r="E20" i="64"/>
  <c r="E19" i="64"/>
  <c r="E18" i="64"/>
  <c r="E17" i="64"/>
  <c r="E16" i="64"/>
  <c r="D24" i="64" s="1"/>
  <c r="AH15" i="64"/>
  <c r="AG15" i="64"/>
  <c r="AF15" i="64"/>
  <c r="AE15" i="64"/>
  <c r="AD15" i="64"/>
  <c r="Q15" i="64"/>
  <c r="O15" i="64"/>
  <c r="N15" i="64"/>
  <c r="M15" i="64"/>
  <c r="L15" i="64"/>
  <c r="K15" i="64"/>
  <c r="J15" i="64"/>
  <c r="I15" i="64"/>
  <c r="G15" i="64"/>
  <c r="E14" i="64"/>
  <c r="E13" i="64"/>
  <c r="E12" i="64"/>
  <c r="E11" i="64"/>
  <c r="E10" i="64"/>
  <c r="E9" i="64"/>
  <c r="E8" i="64"/>
  <c r="AM7" i="64"/>
  <c r="AN7" i="64" s="1"/>
  <c r="AO7" i="64" s="1"/>
  <c r="AK7" i="64"/>
  <c r="AM8" i="64" s="1"/>
  <c r="AN8" i="64" s="1"/>
  <c r="AO8" i="64" s="1"/>
  <c r="AK8" i="64" s="1"/>
  <c r="AM9" i="64" s="1"/>
  <c r="AN9" i="64" s="1"/>
  <c r="AO9" i="64" s="1"/>
  <c r="AK9" i="64" s="1"/>
  <c r="AM10" i="64" s="1"/>
  <c r="AN10" i="64" s="1"/>
  <c r="AO10" i="64" s="1"/>
  <c r="AK10" i="64" s="1"/>
  <c r="AM11" i="64" s="1"/>
  <c r="AN11" i="64" s="1"/>
  <c r="AO11" i="64" s="1"/>
  <c r="AK11" i="64" s="1"/>
  <c r="AM12" i="64" s="1"/>
  <c r="AN12" i="64" s="1"/>
  <c r="AO12" i="64" s="1"/>
  <c r="AK12" i="64" s="1"/>
  <c r="AM13" i="64" s="1"/>
  <c r="AN13" i="64" s="1"/>
  <c r="AO13" i="64" s="1"/>
  <c r="AK13" i="64" s="1"/>
  <c r="AM14" i="64" s="1"/>
  <c r="AN14" i="64" s="1"/>
  <c r="AO14" i="64" s="1"/>
  <c r="AK14" i="64" s="1"/>
  <c r="AK15" i="64" s="1"/>
  <c r="AM16" i="64" s="1"/>
  <c r="AN16" i="64" s="1"/>
  <c r="AO16" i="64" s="1"/>
  <c r="AK16" i="64" s="1"/>
  <c r="AM17" i="64" s="1"/>
  <c r="AN17" i="64" s="1"/>
  <c r="AO17" i="64" s="1"/>
  <c r="AK17" i="64" s="1"/>
  <c r="AM18" i="64" s="1"/>
  <c r="AN18" i="64" s="1"/>
  <c r="AO18" i="64" s="1"/>
  <c r="AK18" i="64" s="1"/>
  <c r="AM19" i="64" s="1"/>
  <c r="AN19" i="64" s="1"/>
  <c r="AO19" i="64" s="1"/>
  <c r="AK19" i="64" s="1"/>
  <c r="AM20" i="64" s="1"/>
  <c r="AN20" i="64" s="1"/>
  <c r="AO20" i="64" s="1"/>
  <c r="AK20" i="64" s="1"/>
  <c r="AM21" i="64" s="1"/>
  <c r="AN21" i="64" s="1"/>
  <c r="AO21" i="64" s="1"/>
  <c r="AK21" i="64" s="1"/>
  <c r="AM22" i="64" s="1"/>
  <c r="AN22" i="64" s="1"/>
  <c r="AO22" i="64" s="1"/>
  <c r="AK22" i="64" s="1"/>
  <c r="AM23" i="64" s="1"/>
  <c r="AN23" i="64" s="1"/>
  <c r="AO23" i="64" s="1"/>
  <c r="AK23" i="64" s="1"/>
  <c r="AK24" i="64" s="1"/>
  <c r="AM25" i="64" s="1"/>
  <c r="AN25" i="64" s="1"/>
  <c r="AO25" i="64" s="1"/>
  <c r="AK25" i="64" s="1"/>
  <c r="AM26" i="64" s="1"/>
  <c r="AN26" i="64" s="1"/>
  <c r="AO26" i="64" s="1"/>
  <c r="AK26" i="64" s="1"/>
  <c r="AM27" i="64" s="1"/>
  <c r="AN27" i="64" s="1"/>
  <c r="AO27" i="64" s="1"/>
  <c r="AK27" i="64" s="1"/>
  <c r="AM28" i="64" s="1"/>
  <c r="AN28" i="64" s="1"/>
  <c r="AO28" i="64" s="1"/>
  <c r="AK28" i="64" s="1"/>
  <c r="AM29" i="64" s="1"/>
  <c r="AN29" i="64" s="1"/>
  <c r="AO29" i="64" s="1"/>
  <c r="AK29" i="64" s="1"/>
  <c r="AM30" i="64" s="1"/>
  <c r="AN30" i="64" s="1"/>
  <c r="AO30" i="64" s="1"/>
  <c r="AK30" i="64" s="1"/>
  <c r="AM31" i="64" s="1"/>
  <c r="AN31" i="64" s="1"/>
  <c r="AO31" i="64" s="1"/>
  <c r="AK31" i="64" s="1"/>
  <c r="AM32" i="64" s="1"/>
  <c r="AN32" i="64" s="1"/>
  <c r="AO32" i="64" s="1"/>
  <c r="AK32" i="64" s="1"/>
  <c r="F7" i="64"/>
  <c r="F8" i="64" s="1"/>
  <c r="F9" i="64" s="1"/>
  <c r="F10" i="64" s="1"/>
  <c r="F11" i="64" s="1"/>
  <c r="F12" i="64" s="1"/>
  <c r="F13" i="64" s="1"/>
  <c r="F14" i="64" s="1"/>
  <c r="F15" i="64" s="1"/>
  <c r="F17" i="64" s="1"/>
  <c r="F18" i="64" s="1"/>
  <c r="F19" i="64" s="1"/>
  <c r="F20" i="64" s="1"/>
  <c r="F21" i="64" s="1"/>
  <c r="F22" i="64" s="1"/>
  <c r="F23" i="64" s="1"/>
  <c r="F24" i="64" s="1"/>
  <c r="F25" i="64" s="1"/>
  <c r="F26" i="64" s="1"/>
  <c r="F27" i="64" s="1"/>
  <c r="F28" i="64" s="1"/>
  <c r="F29" i="64" s="1"/>
  <c r="F30" i="64" s="1"/>
  <c r="F31" i="64" s="1"/>
  <c r="F32" i="64" s="1"/>
  <c r="F33" i="64" s="1"/>
  <c r="L42" i="64" s="1"/>
  <c r="E7" i="64"/>
  <c r="D15" i="64" s="1"/>
  <c r="D6" i="64"/>
  <c r="G46" i="64" s="1"/>
  <c r="AU1" i="64"/>
  <c r="M71" i="31"/>
  <c r="K71" i="31"/>
  <c r="J71" i="31"/>
  <c r="I71" i="31"/>
  <c r="H71" i="31"/>
  <c r="G71" i="31"/>
  <c r="M70" i="31"/>
  <c r="K70" i="31"/>
  <c r="J70" i="31"/>
  <c r="I70" i="31"/>
  <c r="H70" i="31"/>
  <c r="G70" i="31"/>
  <c r="M69" i="31"/>
  <c r="K69" i="31"/>
  <c r="J69" i="31"/>
  <c r="I69" i="31"/>
  <c r="H69" i="31"/>
  <c r="G69" i="31"/>
  <c r="M68" i="31"/>
  <c r="K68" i="31"/>
  <c r="J68" i="31"/>
  <c r="I68" i="31"/>
  <c r="H68" i="31"/>
  <c r="G68" i="31"/>
  <c r="M67" i="31"/>
  <c r="K67" i="31"/>
  <c r="J67" i="31"/>
  <c r="I67" i="31"/>
  <c r="H67" i="31"/>
  <c r="G67" i="31"/>
  <c r="M66" i="31"/>
  <c r="K66" i="31"/>
  <c r="J66" i="31"/>
  <c r="I66" i="31"/>
  <c r="H66" i="31"/>
  <c r="G66" i="31"/>
  <c r="M65" i="31"/>
  <c r="K65" i="31"/>
  <c r="J65" i="31"/>
  <c r="I65" i="31"/>
  <c r="H65" i="31"/>
  <c r="G65" i="31"/>
  <c r="M64" i="31"/>
  <c r="K64" i="31"/>
  <c r="J64" i="31"/>
  <c r="I64" i="31"/>
  <c r="H64" i="31"/>
  <c r="G64" i="31"/>
  <c r="M63" i="31"/>
  <c r="K63" i="31"/>
  <c r="J63" i="31"/>
  <c r="I63" i="31"/>
  <c r="H63" i="31"/>
  <c r="G63" i="31"/>
  <c r="M62" i="31"/>
  <c r="K62" i="31"/>
  <c r="J62" i="31"/>
  <c r="I62" i="31"/>
  <c r="H62" i="31"/>
  <c r="G62" i="31"/>
  <c r="M61" i="31"/>
  <c r="K61" i="31"/>
  <c r="J61" i="31"/>
  <c r="I61" i="31"/>
  <c r="H61" i="31"/>
  <c r="G61" i="31"/>
  <c r="M60" i="31"/>
  <c r="K60" i="31"/>
  <c r="J60" i="31"/>
  <c r="I60" i="31"/>
  <c r="H60" i="31"/>
  <c r="G60" i="31"/>
  <c r="M59" i="31"/>
  <c r="K59" i="31"/>
  <c r="J59" i="31"/>
  <c r="I59" i="31"/>
  <c r="H59" i="31"/>
  <c r="G59" i="31"/>
  <c r="M58" i="31"/>
  <c r="K58" i="31"/>
  <c r="J58" i="31"/>
  <c r="I58" i="31"/>
  <c r="H58" i="31"/>
  <c r="G58" i="31"/>
  <c r="M57" i="31"/>
  <c r="K57" i="31"/>
  <c r="J57" i="31"/>
  <c r="I57" i="31"/>
  <c r="H57" i="31"/>
  <c r="G57" i="31"/>
  <c r="M56" i="31"/>
  <c r="K56" i="31"/>
  <c r="J56" i="31"/>
  <c r="I56" i="31"/>
  <c r="H56" i="31"/>
  <c r="G56" i="31"/>
  <c r="M55" i="31"/>
  <c r="K55" i="31"/>
  <c r="J55" i="31"/>
  <c r="I55" i="31"/>
  <c r="H55" i="31"/>
  <c r="G55" i="31"/>
  <c r="M54" i="31"/>
  <c r="K54" i="31"/>
  <c r="J54" i="31"/>
  <c r="I54" i="31"/>
  <c r="H54" i="31"/>
  <c r="G54" i="31"/>
  <c r="M53" i="31"/>
  <c r="K53" i="31"/>
  <c r="J53" i="31"/>
  <c r="I53" i="31"/>
  <c r="H53" i="31"/>
  <c r="G53" i="31"/>
  <c r="M52" i="31"/>
  <c r="K52" i="31"/>
  <c r="J52" i="31"/>
  <c r="I52" i="31"/>
  <c r="H52" i="31"/>
  <c r="G52" i="31"/>
  <c r="M51" i="31"/>
  <c r="K51" i="31"/>
  <c r="J51" i="31"/>
  <c r="I51" i="31"/>
  <c r="H51" i="31"/>
  <c r="G51" i="31"/>
  <c r="M50" i="31"/>
  <c r="K50" i="31"/>
  <c r="J50" i="31"/>
  <c r="I50" i="31"/>
  <c r="H50" i="31"/>
  <c r="G50" i="31"/>
  <c r="M49" i="31"/>
  <c r="K49" i="31"/>
  <c r="J49" i="31"/>
  <c r="I49" i="31"/>
  <c r="H49" i="31"/>
  <c r="G49" i="31"/>
  <c r="M48" i="31"/>
  <c r="K48" i="31"/>
  <c r="J48" i="31"/>
  <c r="I48" i="31"/>
  <c r="H48" i="31"/>
  <c r="G48" i="31"/>
  <c r="M47" i="31"/>
  <c r="L47" i="31"/>
  <c r="K47" i="31"/>
  <c r="J47" i="31"/>
  <c r="I47" i="31"/>
  <c r="H47" i="31"/>
  <c r="G47" i="31"/>
  <c r="L46" i="31"/>
  <c r="N46" i="31" s="1"/>
  <c r="H46" i="31"/>
  <c r="E34" i="31"/>
  <c r="AH33" i="31"/>
  <c r="AG33" i="31"/>
  <c r="AF33" i="31"/>
  <c r="AE33" i="31"/>
  <c r="E32" i="31"/>
  <c r="E31" i="31"/>
  <c r="E30" i="31"/>
  <c r="E29" i="31"/>
  <c r="E28" i="31"/>
  <c r="E27" i="31"/>
  <c r="E26" i="31"/>
  <c r="E25" i="31"/>
  <c r="D33" i="31" s="1"/>
  <c r="AH24" i="31"/>
  <c r="AG24" i="31"/>
  <c r="AF24" i="31"/>
  <c r="AE24" i="31"/>
  <c r="E23" i="31"/>
  <c r="E22" i="31"/>
  <c r="E21" i="31"/>
  <c r="E20" i="31"/>
  <c r="E19" i="31"/>
  <c r="E18" i="31"/>
  <c r="E17" i="31"/>
  <c r="E16" i="31"/>
  <c r="D24" i="31" s="1"/>
  <c r="AH15" i="31"/>
  <c r="AG15" i="31"/>
  <c r="AF15" i="31"/>
  <c r="AE15" i="31"/>
  <c r="AD15" i="31"/>
  <c r="Q15" i="31"/>
  <c r="O15" i="31"/>
  <c r="N15" i="31"/>
  <c r="M15" i="31"/>
  <c r="L15" i="31"/>
  <c r="K15" i="31"/>
  <c r="J15" i="31"/>
  <c r="I15" i="31"/>
  <c r="G15" i="31"/>
  <c r="E14" i="31"/>
  <c r="E13" i="31"/>
  <c r="E12" i="31"/>
  <c r="E11" i="31"/>
  <c r="E10" i="31"/>
  <c r="E9" i="31"/>
  <c r="E8" i="31"/>
  <c r="AM7" i="31"/>
  <c r="AN7" i="31" s="1"/>
  <c r="AO7" i="31" s="1"/>
  <c r="AK7" i="31"/>
  <c r="AM8" i="31" s="1"/>
  <c r="AN8" i="31" s="1"/>
  <c r="AO8" i="31" s="1"/>
  <c r="AK8" i="31" s="1"/>
  <c r="AM9" i="31" s="1"/>
  <c r="AN9" i="31" s="1"/>
  <c r="AO9" i="31" s="1"/>
  <c r="AK9" i="31" s="1"/>
  <c r="AM10" i="31" s="1"/>
  <c r="AN10" i="31" s="1"/>
  <c r="AO10" i="31" s="1"/>
  <c r="AK10" i="31" s="1"/>
  <c r="AM11" i="31" s="1"/>
  <c r="AN11" i="31" s="1"/>
  <c r="AO11" i="31" s="1"/>
  <c r="AK11" i="31" s="1"/>
  <c r="AM12" i="31" s="1"/>
  <c r="AN12" i="31" s="1"/>
  <c r="AO12" i="31" s="1"/>
  <c r="AK12" i="31" s="1"/>
  <c r="AM13" i="31" s="1"/>
  <c r="AN13" i="31" s="1"/>
  <c r="AO13" i="31" s="1"/>
  <c r="AK13" i="31" s="1"/>
  <c r="AM14" i="31" s="1"/>
  <c r="AN14" i="31" s="1"/>
  <c r="AO14" i="31" s="1"/>
  <c r="AK14" i="31" s="1"/>
  <c r="AK15" i="31" s="1"/>
  <c r="AM16" i="31" s="1"/>
  <c r="AN16" i="31" s="1"/>
  <c r="AO16" i="31" s="1"/>
  <c r="AK16" i="31" s="1"/>
  <c r="AM17" i="31" s="1"/>
  <c r="AN17" i="31" s="1"/>
  <c r="AO17" i="31" s="1"/>
  <c r="AK17" i="31" s="1"/>
  <c r="AM18" i="31" s="1"/>
  <c r="AN18" i="31" s="1"/>
  <c r="AO18" i="31" s="1"/>
  <c r="AK18" i="31" s="1"/>
  <c r="AM19" i="31" s="1"/>
  <c r="AN19" i="31" s="1"/>
  <c r="AO19" i="31" s="1"/>
  <c r="AK19" i="31" s="1"/>
  <c r="AM20" i="31" s="1"/>
  <c r="AN20" i="31" s="1"/>
  <c r="AO20" i="31" s="1"/>
  <c r="AK20" i="31" s="1"/>
  <c r="AM21" i="31" s="1"/>
  <c r="AN21" i="31" s="1"/>
  <c r="AO21" i="31" s="1"/>
  <c r="AK21" i="31" s="1"/>
  <c r="AM22" i="31" s="1"/>
  <c r="AN22" i="31" s="1"/>
  <c r="AO22" i="31" s="1"/>
  <c r="AK22" i="31" s="1"/>
  <c r="AM23" i="31" s="1"/>
  <c r="AN23" i="31" s="1"/>
  <c r="AO23" i="31" s="1"/>
  <c r="AK23" i="31" s="1"/>
  <c r="AK24" i="31" s="1"/>
  <c r="AM25" i="31" s="1"/>
  <c r="AN25" i="31" s="1"/>
  <c r="AO25" i="31" s="1"/>
  <c r="AK25" i="31" s="1"/>
  <c r="AM26" i="31" s="1"/>
  <c r="AN26" i="31" s="1"/>
  <c r="AO26" i="31" s="1"/>
  <c r="AK26" i="31" s="1"/>
  <c r="AM27" i="31" s="1"/>
  <c r="AN27" i="31" s="1"/>
  <c r="AO27" i="31" s="1"/>
  <c r="AK27" i="31" s="1"/>
  <c r="AM28" i="31" s="1"/>
  <c r="AN28" i="31" s="1"/>
  <c r="AO28" i="31" s="1"/>
  <c r="AK28" i="31" s="1"/>
  <c r="AM29" i="31" s="1"/>
  <c r="AN29" i="31" s="1"/>
  <c r="AO29" i="31" s="1"/>
  <c r="AK29" i="31" s="1"/>
  <c r="AM30" i="31" s="1"/>
  <c r="AN30" i="31" s="1"/>
  <c r="AO30" i="31" s="1"/>
  <c r="AK30" i="31" s="1"/>
  <c r="AM31" i="31" s="1"/>
  <c r="AN31" i="31" s="1"/>
  <c r="AO31" i="31" s="1"/>
  <c r="AK31" i="31" s="1"/>
  <c r="AM32" i="31" s="1"/>
  <c r="AN32" i="31" s="1"/>
  <c r="AO32" i="31" s="1"/>
  <c r="AK32" i="31" s="1"/>
  <c r="F7" i="31"/>
  <c r="F8" i="31" s="1"/>
  <c r="F9" i="31" s="1"/>
  <c r="F10" i="31" s="1"/>
  <c r="F11" i="31" s="1"/>
  <c r="F12" i="31" s="1"/>
  <c r="F13" i="31" s="1"/>
  <c r="F14" i="31" s="1"/>
  <c r="F15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L42" i="31" s="1"/>
  <c r="E7" i="31"/>
  <c r="D15" i="31" s="1"/>
  <c r="D6" i="31"/>
  <c r="G46" i="31" s="1"/>
  <c r="AU1" i="31"/>
  <c r="M71" i="62"/>
  <c r="K71" i="62"/>
  <c r="J71" i="62"/>
  <c r="I71" i="62"/>
  <c r="H71" i="62"/>
  <c r="G71" i="62"/>
  <c r="M70" i="62"/>
  <c r="K70" i="62"/>
  <c r="J70" i="62"/>
  <c r="I70" i="62"/>
  <c r="H70" i="62"/>
  <c r="G70" i="62"/>
  <c r="M69" i="62"/>
  <c r="K69" i="62"/>
  <c r="J69" i="62"/>
  <c r="I69" i="62"/>
  <c r="H69" i="62"/>
  <c r="G69" i="62"/>
  <c r="M68" i="62"/>
  <c r="K68" i="62"/>
  <c r="J68" i="62"/>
  <c r="I68" i="62"/>
  <c r="H68" i="62"/>
  <c r="G68" i="62"/>
  <c r="M67" i="62"/>
  <c r="K67" i="62"/>
  <c r="J67" i="62"/>
  <c r="I67" i="62"/>
  <c r="H67" i="62"/>
  <c r="G67" i="62"/>
  <c r="M66" i="62"/>
  <c r="K66" i="62"/>
  <c r="J66" i="62"/>
  <c r="I66" i="62"/>
  <c r="H66" i="62"/>
  <c r="G66" i="62"/>
  <c r="M65" i="62"/>
  <c r="K65" i="62"/>
  <c r="J65" i="62"/>
  <c r="I65" i="62"/>
  <c r="H65" i="62"/>
  <c r="G65" i="62"/>
  <c r="M64" i="62"/>
  <c r="K64" i="62"/>
  <c r="J64" i="62"/>
  <c r="I64" i="62"/>
  <c r="H64" i="62"/>
  <c r="G64" i="62"/>
  <c r="M63" i="62"/>
  <c r="K63" i="62"/>
  <c r="J63" i="62"/>
  <c r="I63" i="62"/>
  <c r="H63" i="62"/>
  <c r="G63" i="62"/>
  <c r="M62" i="62"/>
  <c r="K62" i="62"/>
  <c r="J62" i="62"/>
  <c r="I62" i="62"/>
  <c r="H62" i="62"/>
  <c r="G62" i="62"/>
  <c r="M61" i="62"/>
  <c r="K61" i="62"/>
  <c r="J61" i="62"/>
  <c r="I61" i="62"/>
  <c r="H61" i="62"/>
  <c r="G61" i="62"/>
  <c r="M60" i="62"/>
  <c r="K60" i="62"/>
  <c r="J60" i="62"/>
  <c r="I60" i="62"/>
  <c r="H60" i="62"/>
  <c r="G60" i="62"/>
  <c r="M59" i="62"/>
  <c r="K59" i="62"/>
  <c r="J59" i="62"/>
  <c r="I59" i="62"/>
  <c r="H59" i="62"/>
  <c r="G59" i="62"/>
  <c r="M58" i="62"/>
  <c r="K58" i="62"/>
  <c r="J58" i="62"/>
  <c r="I58" i="62"/>
  <c r="H58" i="62"/>
  <c r="G58" i="62"/>
  <c r="M57" i="62"/>
  <c r="K57" i="62"/>
  <c r="J57" i="62"/>
  <c r="I57" i="62"/>
  <c r="H57" i="62"/>
  <c r="G57" i="62"/>
  <c r="M56" i="62"/>
  <c r="K56" i="62"/>
  <c r="J56" i="62"/>
  <c r="I56" i="62"/>
  <c r="H56" i="62"/>
  <c r="G56" i="62"/>
  <c r="M55" i="62"/>
  <c r="K55" i="62"/>
  <c r="J55" i="62"/>
  <c r="I55" i="62"/>
  <c r="H55" i="62"/>
  <c r="G55" i="62"/>
  <c r="M54" i="62"/>
  <c r="K54" i="62"/>
  <c r="J54" i="62"/>
  <c r="I54" i="62"/>
  <c r="H54" i="62"/>
  <c r="G54" i="62"/>
  <c r="M53" i="62"/>
  <c r="K53" i="62"/>
  <c r="J53" i="62"/>
  <c r="I53" i="62"/>
  <c r="H53" i="62"/>
  <c r="G53" i="62"/>
  <c r="M52" i="62"/>
  <c r="K52" i="62"/>
  <c r="J52" i="62"/>
  <c r="I52" i="62"/>
  <c r="H52" i="62"/>
  <c r="G52" i="62"/>
  <c r="M51" i="62"/>
  <c r="K51" i="62"/>
  <c r="J51" i="62"/>
  <c r="I51" i="62"/>
  <c r="H51" i="62"/>
  <c r="G51" i="62"/>
  <c r="M50" i="62"/>
  <c r="K50" i="62"/>
  <c r="J50" i="62"/>
  <c r="I50" i="62"/>
  <c r="H50" i="62"/>
  <c r="G50" i="62"/>
  <c r="M49" i="62"/>
  <c r="K49" i="62"/>
  <c r="J49" i="62"/>
  <c r="I49" i="62"/>
  <c r="H49" i="62"/>
  <c r="G49" i="62"/>
  <c r="M48" i="62"/>
  <c r="K48" i="62"/>
  <c r="J48" i="62"/>
  <c r="I48" i="62"/>
  <c r="H48" i="62"/>
  <c r="G48" i="62"/>
  <c r="M47" i="62"/>
  <c r="L47" i="62"/>
  <c r="K47" i="62"/>
  <c r="J47" i="62"/>
  <c r="I47" i="62"/>
  <c r="H47" i="62"/>
  <c r="G47" i="62"/>
  <c r="L46" i="62"/>
  <c r="N46" i="62" s="1"/>
  <c r="H46" i="62"/>
  <c r="E34" i="62"/>
  <c r="AH33" i="62"/>
  <c r="AG33" i="62"/>
  <c r="AF33" i="62"/>
  <c r="AE33" i="62"/>
  <c r="E32" i="62"/>
  <c r="E31" i="62"/>
  <c r="E30" i="62"/>
  <c r="E29" i="62"/>
  <c r="E28" i="62"/>
  <c r="E27" i="62"/>
  <c r="E26" i="62"/>
  <c r="E25" i="62"/>
  <c r="D33" i="62" s="1"/>
  <c r="AH24" i="62"/>
  <c r="AG24" i="62"/>
  <c r="AF24" i="62"/>
  <c r="AE24" i="62"/>
  <c r="E23" i="62"/>
  <c r="E22" i="62"/>
  <c r="E21" i="62"/>
  <c r="E20" i="62"/>
  <c r="E19" i="62"/>
  <c r="E18" i="62"/>
  <c r="E17" i="62"/>
  <c r="E16" i="62"/>
  <c r="D24" i="62" s="1"/>
  <c r="AH15" i="62"/>
  <c r="AG15" i="62"/>
  <c r="AF15" i="62"/>
  <c r="AE15" i="62"/>
  <c r="AD15" i="62"/>
  <c r="Q15" i="62"/>
  <c r="O15" i="62"/>
  <c r="N15" i="62"/>
  <c r="M15" i="62"/>
  <c r="L15" i="62"/>
  <c r="K15" i="62"/>
  <c r="J15" i="62"/>
  <c r="I15" i="62"/>
  <c r="G15" i="62"/>
  <c r="E14" i="62"/>
  <c r="E13" i="62"/>
  <c r="E12" i="62"/>
  <c r="E11" i="62"/>
  <c r="E10" i="62"/>
  <c r="E9" i="62"/>
  <c r="E8" i="62"/>
  <c r="AM7" i="62"/>
  <c r="AN7" i="62" s="1"/>
  <c r="AO7" i="62" s="1"/>
  <c r="AK7" i="62"/>
  <c r="AM8" i="62" s="1"/>
  <c r="AN8" i="62" s="1"/>
  <c r="AO8" i="62" s="1"/>
  <c r="AK8" i="62" s="1"/>
  <c r="AM9" i="62" s="1"/>
  <c r="AN9" i="62" s="1"/>
  <c r="AO9" i="62" s="1"/>
  <c r="AK9" i="62" s="1"/>
  <c r="AM10" i="62" s="1"/>
  <c r="AN10" i="62" s="1"/>
  <c r="AO10" i="62" s="1"/>
  <c r="AK10" i="62" s="1"/>
  <c r="AM11" i="62" s="1"/>
  <c r="AN11" i="62" s="1"/>
  <c r="AO11" i="62" s="1"/>
  <c r="AK11" i="62" s="1"/>
  <c r="AM12" i="62" s="1"/>
  <c r="AN12" i="62" s="1"/>
  <c r="AO12" i="62" s="1"/>
  <c r="AK12" i="62" s="1"/>
  <c r="AM13" i="62" s="1"/>
  <c r="AN13" i="62" s="1"/>
  <c r="AO13" i="62" s="1"/>
  <c r="AK13" i="62" s="1"/>
  <c r="AM14" i="62" s="1"/>
  <c r="AN14" i="62" s="1"/>
  <c r="AO14" i="62" s="1"/>
  <c r="AK14" i="62" s="1"/>
  <c r="AK15" i="62" s="1"/>
  <c r="AM16" i="62" s="1"/>
  <c r="AN16" i="62" s="1"/>
  <c r="AO16" i="62" s="1"/>
  <c r="AK16" i="62" s="1"/>
  <c r="AM17" i="62" s="1"/>
  <c r="AN17" i="62" s="1"/>
  <c r="AO17" i="62" s="1"/>
  <c r="AK17" i="62" s="1"/>
  <c r="AM18" i="62" s="1"/>
  <c r="AN18" i="62" s="1"/>
  <c r="AO18" i="62" s="1"/>
  <c r="AK18" i="62" s="1"/>
  <c r="AM19" i="62" s="1"/>
  <c r="AN19" i="62" s="1"/>
  <c r="AO19" i="62" s="1"/>
  <c r="AK19" i="62" s="1"/>
  <c r="AM20" i="62" s="1"/>
  <c r="AN20" i="62" s="1"/>
  <c r="AO20" i="62" s="1"/>
  <c r="AK20" i="62" s="1"/>
  <c r="AM21" i="62" s="1"/>
  <c r="AN21" i="62" s="1"/>
  <c r="AO21" i="62" s="1"/>
  <c r="AK21" i="62" s="1"/>
  <c r="AM22" i="62" s="1"/>
  <c r="AN22" i="62" s="1"/>
  <c r="AO22" i="62" s="1"/>
  <c r="AK22" i="62" s="1"/>
  <c r="AM23" i="62" s="1"/>
  <c r="AN23" i="62" s="1"/>
  <c r="AO23" i="62" s="1"/>
  <c r="AK23" i="62" s="1"/>
  <c r="AK24" i="62" s="1"/>
  <c r="AM25" i="62" s="1"/>
  <c r="AN25" i="62" s="1"/>
  <c r="AO25" i="62" s="1"/>
  <c r="AK25" i="62" s="1"/>
  <c r="AM26" i="62" s="1"/>
  <c r="AN26" i="62" s="1"/>
  <c r="AO26" i="62" s="1"/>
  <c r="AK26" i="62" s="1"/>
  <c r="AM27" i="62" s="1"/>
  <c r="AN27" i="62" s="1"/>
  <c r="AO27" i="62" s="1"/>
  <c r="AK27" i="62" s="1"/>
  <c r="AM28" i="62" s="1"/>
  <c r="AN28" i="62" s="1"/>
  <c r="AO28" i="62" s="1"/>
  <c r="AK28" i="62" s="1"/>
  <c r="AM29" i="62" s="1"/>
  <c r="AN29" i="62" s="1"/>
  <c r="AO29" i="62" s="1"/>
  <c r="AK29" i="62" s="1"/>
  <c r="AM30" i="62" s="1"/>
  <c r="AN30" i="62" s="1"/>
  <c r="AO30" i="62" s="1"/>
  <c r="AK30" i="62" s="1"/>
  <c r="AM31" i="62" s="1"/>
  <c r="AN31" i="62" s="1"/>
  <c r="AO31" i="62" s="1"/>
  <c r="AK31" i="62" s="1"/>
  <c r="AM32" i="62" s="1"/>
  <c r="AN32" i="62" s="1"/>
  <c r="AO32" i="62" s="1"/>
  <c r="AK32" i="62" s="1"/>
  <c r="F7" i="62"/>
  <c r="F8" i="62" s="1"/>
  <c r="F9" i="62" s="1"/>
  <c r="F10" i="62" s="1"/>
  <c r="F11" i="62" s="1"/>
  <c r="F12" i="62" s="1"/>
  <c r="F13" i="62" s="1"/>
  <c r="F14" i="62" s="1"/>
  <c r="F15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L42" i="62" s="1"/>
  <c r="E7" i="62"/>
  <c r="D15" i="62" s="1"/>
  <c r="D6" i="62"/>
  <c r="G46" i="62" s="1"/>
  <c r="AU1" i="62"/>
  <c r="M71" i="61"/>
  <c r="K71" i="61"/>
  <c r="J71" i="61"/>
  <c r="I71" i="61"/>
  <c r="H71" i="61"/>
  <c r="G71" i="61"/>
  <c r="M70" i="61"/>
  <c r="K70" i="61"/>
  <c r="J70" i="61"/>
  <c r="I70" i="61"/>
  <c r="H70" i="61"/>
  <c r="G70" i="61"/>
  <c r="M69" i="61"/>
  <c r="K69" i="61"/>
  <c r="J69" i="61"/>
  <c r="I69" i="61"/>
  <c r="H69" i="61"/>
  <c r="G69" i="61"/>
  <c r="M68" i="61"/>
  <c r="K68" i="61"/>
  <c r="J68" i="61"/>
  <c r="I68" i="61"/>
  <c r="H68" i="61"/>
  <c r="G68" i="61"/>
  <c r="M67" i="61"/>
  <c r="K67" i="61"/>
  <c r="J67" i="61"/>
  <c r="I67" i="61"/>
  <c r="H67" i="61"/>
  <c r="G67" i="61"/>
  <c r="M66" i="61"/>
  <c r="K66" i="61"/>
  <c r="J66" i="61"/>
  <c r="I66" i="61"/>
  <c r="H66" i="61"/>
  <c r="G66" i="61"/>
  <c r="M65" i="61"/>
  <c r="K65" i="61"/>
  <c r="J65" i="61"/>
  <c r="I65" i="61"/>
  <c r="H65" i="61"/>
  <c r="G65" i="61"/>
  <c r="M64" i="61"/>
  <c r="K64" i="61"/>
  <c r="J64" i="61"/>
  <c r="I64" i="61"/>
  <c r="H64" i="61"/>
  <c r="G64" i="61"/>
  <c r="M63" i="61"/>
  <c r="K63" i="61"/>
  <c r="J63" i="61"/>
  <c r="I63" i="61"/>
  <c r="H63" i="61"/>
  <c r="G63" i="61"/>
  <c r="M62" i="61"/>
  <c r="K62" i="61"/>
  <c r="J62" i="61"/>
  <c r="I62" i="61"/>
  <c r="H62" i="61"/>
  <c r="G62" i="61"/>
  <c r="M61" i="61"/>
  <c r="K61" i="61"/>
  <c r="J61" i="61"/>
  <c r="I61" i="61"/>
  <c r="H61" i="61"/>
  <c r="G61" i="61"/>
  <c r="M60" i="61"/>
  <c r="K60" i="61"/>
  <c r="J60" i="61"/>
  <c r="I60" i="61"/>
  <c r="H60" i="61"/>
  <c r="G60" i="61"/>
  <c r="M59" i="61"/>
  <c r="K59" i="61"/>
  <c r="J59" i="61"/>
  <c r="I59" i="61"/>
  <c r="H59" i="61"/>
  <c r="G59" i="61"/>
  <c r="M58" i="61"/>
  <c r="K58" i="61"/>
  <c r="J58" i="61"/>
  <c r="I58" i="61"/>
  <c r="H58" i="61"/>
  <c r="G58" i="61"/>
  <c r="M57" i="61"/>
  <c r="K57" i="61"/>
  <c r="J57" i="61"/>
  <c r="I57" i="61"/>
  <c r="H57" i="61"/>
  <c r="G57" i="61"/>
  <c r="M56" i="61"/>
  <c r="K56" i="61"/>
  <c r="J56" i="61"/>
  <c r="I56" i="61"/>
  <c r="H56" i="61"/>
  <c r="G56" i="61"/>
  <c r="M55" i="61"/>
  <c r="K55" i="61"/>
  <c r="J55" i="61"/>
  <c r="I55" i="61"/>
  <c r="H55" i="61"/>
  <c r="G55" i="61"/>
  <c r="M54" i="61"/>
  <c r="K54" i="61"/>
  <c r="J54" i="61"/>
  <c r="I54" i="61"/>
  <c r="H54" i="61"/>
  <c r="G54" i="61"/>
  <c r="M53" i="61"/>
  <c r="K53" i="61"/>
  <c r="J53" i="61"/>
  <c r="I53" i="61"/>
  <c r="H53" i="61"/>
  <c r="G53" i="61"/>
  <c r="M52" i="61"/>
  <c r="K52" i="61"/>
  <c r="J52" i="61"/>
  <c r="I52" i="61"/>
  <c r="H52" i="61"/>
  <c r="G52" i="61"/>
  <c r="M51" i="61"/>
  <c r="K51" i="61"/>
  <c r="J51" i="61"/>
  <c r="I51" i="61"/>
  <c r="H51" i="61"/>
  <c r="G51" i="61"/>
  <c r="M50" i="61"/>
  <c r="K50" i="61"/>
  <c r="J50" i="61"/>
  <c r="I50" i="61"/>
  <c r="H50" i="61"/>
  <c r="G50" i="61"/>
  <c r="M49" i="61"/>
  <c r="K49" i="61"/>
  <c r="J49" i="61"/>
  <c r="I49" i="61"/>
  <c r="H49" i="61"/>
  <c r="G49" i="61"/>
  <c r="M48" i="61"/>
  <c r="K48" i="61"/>
  <c r="J48" i="61"/>
  <c r="I48" i="61"/>
  <c r="H48" i="61"/>
  <c r="G48" i="61"/>
  <c r="M47" i="61"/>
  <c r="L47" i="61"/>
  <c r="K47" i="61"/>
  <c r="J47" i="61"/>
  <c r="I47" i="61"/>
  <c r="H47" i="61"/>
  <c r="G47" i="61"/>
  <c r="L46" i="61"/>
  <c r="N46" i="61" s="1"/>
  <c r="H46" i="61"/>
  <c r="E34" i="61"/>
  <c r="AH33" i="61"/>
  <c r="AG33" i="61"/>
  <c r="AF33" i="61"/>
  <c r="AE33" i="61"/>
  <c r="E32" i="61"/>
  <c r="E31" i="61"/>
  <c r="E30" i="61"/>
  <c r="E29" i="61"/>
  <c r="E28" i="61"/>
  <c r="E27" i="61"/>
  <c r="E26" i="61"/>
  <c r="E25" i="61"/>
  <c r="D33" i="61" s="1"/>
  <c r="AH24" i="61"/>
  <c r="AG24" i="61"/>
  <c r="AF24" i="61"/>
  <c r="AE24" i="61"/>
  <c r="E23" i="61"/>
  <c r="E22" i="61"/>
  <c r="E21" i="61"/>
  <c r="E20" i="61"/>
  <c r="E19" i="61"/>
  <c r="E18" i="61"/>
  <c r="E17" i="61"/>
  <c r="E16" i="61"/>
  <c r="D24" i="61" s="1"/>
  <c r="AH15" i="61"/>
  <c r="AG15" i="61"/>
  <c r="AF15" i="61"/>
  <c r="AE15" i="61"/>
  <c r="AD15" i="61"/>
  <c r="Q15" i="61"/>
  <c r="O15" i="61"/>
  <c r="N15" i="61"/>
  <c r="M15" i="61"/>
  <c r="L15" i="61"/>
  <c r="K15" i="61"/>
  <c r="J15" i="61"/>
  <c r="I15" i="61"/>
  <c r="G15" i="61"/>
  <c r="E14" i="61"/>
  <c r="E13" i="61"/>
  <c r="E12" i="61"/>
  <c r="E11" i="61"/>
  <c r="E10" i="61"/>
  <c r="E9" i="61"/>
  <c r="E8" i="61"/>
  <c r="AM7" i="61"/>
  <c r="AN7" i="61" s="1"/>
  <c r="AO7" i="61" s="1"/>
  <c r="AK7" i="61"/>
  <c r="AM8" i="61" s="1"/>
  <c r="AN8" i="61" s="1"/>
  <c r="AO8" i="61" s="1"/>
  <c r="AK8" i="61" s="1"/>
  <c r="AM9" i="61" s="1"/>
  <c r="AN9" i="61" s="1"/>
  <c r="AO9" i="61" s="1"/>
  <c r="AK9" i="61" s="1"/>
  <c r="AM10" i="61" s="1"/>
  <c r="AN10" i="61" s="1"/>
  <c r="AO10" i="61" s="1"/>
  <c r="AK10" i="61" s="1"/>
  <c r="AM11" i="61" s="1"/>
  <c r="AN11" i="61" s="1"/>
  <c r="AO11" i="61" s="1"/>
  <c r="AK11" i="61" s="1"/>
  <c r="AM12" i="61" s="1"/>
  <c r="AN12" i="61" s="1"/>
  <c r="AO12" i="61" s="1"/>
  <c r="AK12" i="61" s="1"/>
  <c r="AM13" i="61" s="1"/>
  <c r="AN13" i="61" s="1"/>
  <c r="AO13" i="61" s="1"/>
  <c r="AK13" i="61" s="1"/>
  <c r="AM14" i="61" s="1"/>
  <c r="AN14" i="61" s="1"/>
  <c r="AO14" i="61" s="1"/>
  <c r="AK14" i="61" s="1"/>
  <c r="AK15" i="61" s="1"/>
  <c r="AM16" i="61" s="1"/>
  <c r="AN16" i="61" s="1"/>
  <c r="AO16" i="61" s="1"/>
  <c r="AK16" i="61" s="1"/>
  <c r="AM17" i="61" s="1"/>
  <c r="AN17" i="61" s="1"/>
  <c r="AO17" i="61" s="1"/>
  <c r="AK17" i="61" s="1"/>
  <c r="AM18" i="61" s="1"/>
  <c r="AN18" i="61" s="1"/>
  <c r="AO18" i="61" s="1"/>
  <c r="AK18" i="61" s="1"/>
  <c r="AM19" i="61" s="1"/>
  <c r="AN19" i="61" s="1"/>
  <c r="AO19" i="61" s="1"/>
  <c r="AK19" i="61" s="1"/>
  <c r="AM20" i="61" s="1"/>
  <c r="AN20" i="61" s="1"/>
  <c r="AO20" i="61" s="1"/>
  <c r="AK20" i="61" s="1"/>
  <c r="AM21" i="61" s="1"/>
  <c r="AN21" i="61" s="1"/>
  <c r="AO21" i="61" s="1"/>
  <c r="AK21" i="61" s="1"/>
  <c r="AM22" i="61" s="1"/>
  <c r="AN22" i="61" s="1"/>
  <c r="AO22" i="61" s="1"/>
  <c r="AK22" i="61" s="1"/>
  <c r="AM23" i="61" s="1"/>
  <c r="AN23" i="61" s="1"/>
  <c r="AO23" i="61" s="1"/>
  <c r="AK23" i="61" s="1"/>
  <c r="AK24" i="61" s="1"/>
  <c r="AM25" i="61" s="1"/>
  <c r="AN25" i="61" s="1"/>
  <c r="AO25" i="61" s="1"/>
  <c r="AK25" i="61" s="1"/>
  <c r="AM26" i="61" s="1"/>
  <c r="AN26" i="61" s="1"/>
  <c r="AO26" i="61" s="1"/>
  <c r="AK26" i="61" s="1"/>
  <c r="AM27" i="61" s="1"/>
  <c r="AN27" i="61" s="1"/>
  <c r="AO27" i="61" s="1"/>
  <c r="AK27" i="61" s="1"/>
  <c r="AM28" i="61" s="1"/>
  <c r="AN28" i="61" s="1"/>
  <c r="AO28" i="61" s="1"/>
  <c r="AK28" i="61" s="1"/>
  <c r="AM29" i="61" s="1"/>
  <c r="AN29" i="61" s="1"/>
  <c r="AO29" i="61" s="1"/>
  <c r="AK29" i="61" s="1"/>
  <c r="AM30" i="61" s="1"/>
  <c r="AN30" i="61" s="1"/>
  <c r="AO30" i="61" s="1"/>
  <c r="AK30" i="61" s="1"/>
  <c r="AM31" i="61" s="1"/>
  <c r="AN31" i="61" s="1"/>
  <c r="AO31" i="61" s="1"/>
  <c r="AK31" i="61" s="1"/>
  <c r="AM32" i="61" s="1"/>
  <c r="AN32" i="61" s="1"/>
  <c r="AO32" i="61" s="1"/>
  <c r="AK32" i="61" s="1"/>
  <c r="F7" i="61"/>
  <c r="F8" i="61" s="1"/>
  <c r="F9" i="61" s="1"/>
  <c r="F10" i="61" s="1"/>
  <c r="F11" i="61" s="1"/>
  <c r="F12" i="61" s="1"/>
  <c r="F13" i="61" s="1"/>
  <c r="F14" i="61" s="1"/>
  <c r="F15" i="61" s="1"/>
  <c r="F17" i="61" s="1"/>
  <c r="F18" i="61" s="1"/>
  <c r="F19" i="61" s="1"/>
  <c r="F20" i="61" s="1"/>
  <c r="F21" i="61" s="1"/>
  <c r="F22" i="61" s="1"/>
  <c r="F23" i="61" s="1"/>
  <c r="F24" i="61" s="1"/>
  <c r="F25" i="61" s="1"/>
  <c r="F26" i="61" s="1"/>
  <c r="F27" i="61" s="1"/>
  <c r="F28" i="61" s="1"/>
  <c r="F29" i="61" s="1"/>
  <c r="F30" i="61" s="1"/>
  <c r="F31" i="61" s="1"/>
  <c r="F32" i="61" s="1"/>
  <c r="F33" i="61" s="1"/>
  <c r="L42" i="61" s="1"/>
  <c r="E7" i="61"/>
  <c r="D15" i="61" s="1"/>
  <c r="G46" i="61"/>
  <c r="AU1" i="61"/>
  <c r="M71" i="60"/>
  <c r="K71" i="60"/>
  <c r="J71" i="60"/>
  <c r="I71" i="60"/>
  <c r="H71" i="60"/>
  <c r="G71" i="60"/>
  <c r="M70" i="60"/>
  <c r="K70" i="60"/>
  <c r="J70" i="60"/>
  <c r="I70" i="60"/>
  <c r="H70" i="60"/>
  <c r="G70" i="60"/>
  <c r="M69" i="60"/>
  <c r="K69" i="60"/>
  <c r="J69" i="60"/>
  <c r="I69" i="60"/>
  <c r="H69" i="60"/>
  <c r="G69" i="60"/>
  <c r="M68" i="60"/>
  <c r="K68" i="60"/>
  <c r="J68" i="60"/>
  <c r="I68" i="60"/>
  <c r="H68" i="60"/>
  <c r="G68" i="60"/>
  <c r="M67" i="60"/>
  <c r="K67" i="60"/>
  <c r="J67" i="60"/>
  <c r="I67" i="60"/>
  <c r="H67" i="60"/>
  <c r="G67" i="60"/>
  <c r="M66" i="60"/>
  <c r="K66" i="60"/>
  <c r="J66" i="60"/>
  <c r="I66" i="60"/>
  <c r="H66" i="60"/>
  <c r="G66" i="60"/>
  <c r="M65" i="60"/>
  <c r="K65" i="60"/>
  <c r="J65" i="60"/>
  <c r="I65" i="60"/>
  <c r="H65" i="60"/>
  <c r="G65" i="60"/>
  <c r="M64" i="60"/>
  <c r="K64" i="60"/>
  <c r="J64" i="60"/>
  <c r="I64" i="60"/>
  <c r="H64" i="60"/>
  <c r="G64" i="60"/>
  <c r="M63" i="60"/>
  <c r="K63" i="60"/>
  <c r="J63" i="60"/>
  <c r="I63" i="60"/>
  <c r="H63" i="60"/>
  <c r="G63" i="60"/>
  <c r="M62" i="60"/>
  <c r="K62" i="60"/>
  <c r="J62" i="60"/>
  <c r="I62" i="60"/>
  <c r="H62" i="60"/>
  <c r="G62" i="60"/>
  <c r="M61" i="60"/>
  <c r="K61" i="60"/>
  <c r="J61" i="60"/>
  <c r="I61" i="60"/>
  <c r="H61" i="60"/>
  <c r="G61" i="60"/>
  <c r="M60" i="60"/>
  <c r="K60" i="60"/>
  <c r="J60" i="60"/>
  <c r="I60" i="60"/>
  <c r="H60" i="60"/>
  <c r="G60" i="60"/>
  <c r="M59" i="60"/>
  <c r="K59" i="60"/>
  <c r="J59" i="60"/>
  <c r="I59" i="60"/>
  <c r="H59" i="60"/>
  <c r="G59" i="60"/>
  <c r="M58" i="60"/>
  <c r="K58" i="60"/>
  <c r="J58" i="60"/>
  <c r="I58" i="60"/>
  <c r="H58" i="60"/>
  <c r="G58" i="60"/>
  <c r="M57" i="60"/>
  <c r="K57" i="60"/>
  <c r="J57" i="60"/>
  <c r="I57" i="60"/>
  <c r="H57" i="60"/>
  <c r="G57" i="60"/>
  <c r="M56" i="60"/>
  <c r="K56" i="60"/>
  <c r="J56" i="60"/>
  <c r="I56" i="60"/>
  <c r="H56" i="60"/>
  <c r="G56" i="60"/>
  <c r="M55" i="60"/>
  <c r="K55" i="60"/>
  <c r="J55" i="60"/>
  <c r="I55" i="60"/>
  <c r="H55" i="60"/>
  <c r="G55" i="60"/>
  <c r="M54" i="60"/>
  <c r="K54" i="60"/>
  <c r="J54" i="60"/>
  <c r="I54" i="60"/>
  <c r="H54" i="60"/>
  <c r="G54" i="60"/>
  <c r="M53" i="60"/>
  <c r="K53" i="60"/>
  <c r="J53" i="60"/>
  <c r="I53" i="60"/>
  <c r="H53" i="60"/>
  <c r="G53" i="60"/>
  <c r="M52" i="60"/>
  <c r="K52" i="60"/>
  <c r="J52" i="60"/>
  <c r="I52" i="60"/>
  <c r="H52" i="60"/>
  <c r="G52" i="60"/>
  <c r="M51" i="60"/>
  <c r="K51" i="60"/>
  <c r="J51" i="60"/>
  <c r="I51" i="60"/>
  <c r="H51" i="60"/>
  <c r="G51" i="60"/>
  <c r="M50" i="60"/>
  <c r="K50" i="60"/>
  <c r="J50" i="60"/>
  <c r="I50" i="60"/>
  <c r="H50" i="60"/>
  <c r="G50" i="60"/>
  <c r="M49" i="60"/>
  <c r="K49" i="60"/>
  <c r="J49" i="60"/>
  <c r="I49" i="60"/>
  <c r="H49" i="60"/>
  <c r="G49" i="60"/>
  <c r="M48" i="60"/>
  <c r="K48" i="60"/>
  <c r="J48" i="60"/>
  <c r="I48" i="60"/>
  <c r="H48" i="60"/>
  <c r="G48" i="60"/>
  <c r="M47" i="60"/>
  <c r="L47" i="60"/>
  <c r="K47" i="60"/>
  <c r="J47" i="60"/>
  <c r="I47" i="60"/>
  <c r="H47" i="60"/>
  <c r="G47" i="60"/>
  <c r="N46" i="60"/>
  <c r="H46" i="60"/>
  <c r="E34" i="60"/>
  <c r="AH33" i="60"/>
  <c r="AG33" i="60"/>
  <c r="AF33" i="60"/>
  <c r="AE33" i="60"/>
  <c r="E32" i="60"/>
  <c r="E31" i="60"/>
  <c r="E30" i="60"/>
  <c r="E29" i="60"/>
  <c r="E28" i="60"/>
  <c r="E27" i="60"/>
  <c r="E26" i="60"/>
  <c r="E25" i="60"/>
  <c r="D33" i="60" s="1"/>
  <c r="AH24" i="60"/>
  <c r="AG24" i="60"/>
  <c r="AF24" i="60"/>
  <c r="AE24" i="60"/>
  <c r="E23" i="60"/>
  <c r="E22" i="60"/>
  <c r="E16" i="60"/>
  <c r="D24" i="60" s="1"/>
  <c r="AH15" i="60"/>
  <c r="AG15" i="60"/>
  <c r="AF15" i="60"/>
  <c r="AE15" i="60"/>
  <c r="AD15" i="60"/>
  <c r="Q15" i="60"/>
  <c r="O15" i="60"/>
  <c r="N15" i="60"/>
  <c r="M15" i="60"/>
  <c r="L15" i="60"/>
  <c r="K15" i="60"/>
  <c r="I15" i="60"/>
  <c r="G15" i="60"/>
  <c r="E14" i="60"/>
  <c r="E13" i="60"/>
  <c r="E12" i="60"/>
  <c r="E11" i="60"/>
  <c r="E10" i="60"/>
  <c r="E9" i="60"/>
  <c r="E8" i="60"/>
  <c r="AM7" i="60"/>
  <c r="AN7" i="60" s="1"/>
  <c r="AO7" i="60" s="1"/>
  <c r="AK7" i="60"/>
  <c r="AM8" i="60" s="1"/>
  <c r="AN8" i="60" s="1"/>
  <c r="AO8" i="60" s="1"/>
  <c r="AK8" i="60" s="1"/>
  <c r="AM9" i="60" s="1"/>
  <c r="AN9" i="60" s="1"/>
  <c r="AO9" i="60" s="1"/>
  <c r="AK9" i="60" s="1"/>
  <c r="AM10" i="60" s="1"/>
  <c r="AN10" i="60" s="1"/>
  <c r="AO10" i="60" s="1"/>
  <c r="AK10" i="60" s="1"/>
  <c r="AM11" i="60" s="1"/>
  <c r="AN11" i="60" s="1"/>
  <c r="AO11" i="60" s="1"/>
  <c r="AK11" i="60" s="1"/>
  <c r="AM12" i="60" s="1"/>
  <c r="AN12" i="60" s="1"/>
  <c r="AO12" i="60" s="1"/>
  <c r="AK12" i="60" s="1"/>
  <c r="AM13" i="60" s="1"/>
  <c r="AN13" i="60" s="1"/>
  <c r="AO13" i="60" s="1"/>
  <c r="AK13" i="60" s="1"/>
  <c r="AM14" i="60" s="1"/>
  <c r="AN14" i="60" s="1"/>
  <c r="AO14" i="60" s="1"/>
  <c r="AK14" i="60" s="1"/>
  <c r="AK15" i="60" s="1"/>
  <c r="AM16" i="60" s="1"/>
  <c r="AN16" i="60" s="1"/>
  <c r="AO16" i="60" s="1"/>
  <c r="AK16" i="60" s="1"/>
  <c r="AM17" i="60" s="1"/>
  <c r="AN17" i="60" s="1"/>
  <c r="AO17" i="60" s="1"/>
  <c r="AK17" i="60" s="1"/>
  <c r="AM18" i="60" s="1"/>
  <c r="AN18" i="60" s="1"/>
  <c r="AO18" i="60" s="1"/>
  <c r="AK18" i="60" s="1"/>
  <c r="AM19" i="60" s="1"/>
  <c r="AN19" i="60" s="1"/>
  <c r="AO19" i="60" s="1"/>
  <c r="AK19" i="60" s="1"/>
  <c r="AM20" i="60" s="1"/>
  <c r="AN20" i="60" s="1"/>
  <c r="AO20" i="60" s="1"/>
  <c r="AK20" i="60" s="1"/>
  <c r="AM21" i="60" s="1"/>
  <c r="AN21" i="60" s="1"/>
  <c r="AO21" i="60" s="1"/>
  <c r="AK21" i="60" s="1"/>
  <c r="AM22" i="60" s="1"/>
  <c r="AN22" i="60" s="1"/>
  <c r="AO22" i="60" s="1"/>
  <c r="AK22" i="60" s="1"/>
  <c r="AM23" i="60" s="1"/>
  <c r="AN23" i="60" s="1"/>
  <c r="AO23" i="60" s="1"/>
  <c r="AK23" i="60" s="1"/>
  <c r="AK24" i="60" s="1"/>
  <c r="AM25" i="60" s="1"/>
  <c r="AN25" i="60" s="1"/>
  <c r="AO25" i="60" s="1"/>
  <c r="AK25" i="60" s="1"/>
  <c r="AM26" i="60" s="1"/>
  <c r="AN26" i="60" s="1"/>
  <c r="AO26" i="60" s="1"/>
  <c r="AK26" i="60" s="1"/>
  <c r="AM27" i="60" s="1"/>
  <c r="AN27" i="60" s="1"/>
  <c r="AO27" i="60" s="1"/>
  <c r="AK27" i="60" s="1"/>
  <c r="AM28" i="60" s="1"/>
  <c r="AN28" i="60" s="1"/>
  <c r="AO28" i="60" s="1"/>
  <c r="AK28" i="60" s="1"/>
  <c r="AM29" i="60" s="1"/>
  <c r="AN29" i="60" s="1"/>
  <c r="AO29" i="60" s="1"/>
  <c r="AK29" i="60" s="1"/>
  <c r="AM30" i="60" s="1"/>
  <c r="AN30" i="60" s="1"/>
  <c r="AO30" i="60" s="1"/>
  <c r="AK30" i="60" s="1"/>
  <c r="AM31" i="60" s="1"/>
  <c r="AN31" i="60" s="1"/>
  <c r="AO31" i="60" s="1"/>
  <c r="AK31" i="60" s="1"/>
  <c r="AM32" i="60" s="1"/>
  <c r="AN32" i="60" s="1"/>
  <c r="AO32" i="60" s="1"/>
  <c r="AK32" i="60" s="1"/>
  <c r="F8" i="60"/>
  <c r="F9" i="60" s="1"/>
  <c r="F10" i="60" s="1"/>
  <c r="F11" i="60" s="1"/>
  <c r="F12" i="60" s="1"/>
  <c r="F13" i="60" s="1"/>
  <c r="F14" i="60" s="1"/>
  <c r="F15" i="60" s="1"/>
  <c r="F17" i="60" s="1"/>
  <c r="F18" i="60" s="1"/>
  <c r="F19" i="60" s="1"/>
  <c r="F20" i="60" s="1"/>
  <c r="F21" i="60" s="1"/>
  <c r="F22" i="60" s="1"/>
  <c r="F23" i="60" s="1"/>
  <c r="F24" i="60" s="1"/>
  <c r="F25" i="60" s="1"/>
  <c r="F26" i="60" s="1"/>
  <c r="F27" i="60" s="1"/>
  <c r="F28" i="60" s="1"/>
  <c r="F29" i="60" s="1"/>
  <c r="F30" i="60" s="1"/>
  <c r="F31" i="60" s="1"/>
  <c r="F32" i="60" s="1"/>
  <c r="F33" i="60" s="1"/>
  <c r="L42" i="60" s="1"/>
  <c r="E7" i="60"/>
  <c r="D15" i="60" s="1"/>
  <c r="G46" i="60"/>
  <c r="AU1" i="60"/>
  <c r="M71" i="59"/>
  <c r="K71" i="59"/>
  <c r="J71" i="59"/>
  <c r="I71" i="59"/>
  <c r="H71" i="59"/>
  <c r="G71" i="59"/>
  <c r="M70" i="59"/>
  <c r="K70" i="59"/>
  <c r="J70" i="59"/>
  <c r="I70" i="59"/>
  <c r="H70" i="59"/>
  <c r="G70" i="59"/>
  <c r="M69" i="59"/>
  <c r="K69" i="59"/>
  <c r="J69" i="59"/>
  <c r="I69" i="59"/>
  <c r="H69" i="59"/>
  <c r="G69" i="59"/>
  <c r="M68" i="59"/>
  <c r="K68" i="59"/>
  <c r="J68" i="59"/>
  <c r="I68" i="59"/>
  <c r="H68" i="59"/>
  <c r="G68" i="59"/>
  <c r="M67" i="59"/>
  <c r="K67" i="59"/>
  <c r="J67" i="59"/>
  <c r="I67" i="59"/>
  <c r="H67" i="59"/>
  <c r="G67" i="59"/>
  <c r="M66" i="59"/>
  <c r="K66" i="59"/>
  <c r="J66" i="59"/>
  <c r="I66" i="59"/>
  <c r="H66" i="59"/>
  <c r="G66" i="59"/>
  <c r="M65" i="59"/>
  <c r="K65" i="59"/>
  <c r="J65" i="59"/>
  <c r="I65" i="59"/>
  <c r="H65" i="59"/>
  <c r="G65" i="59"/>
  <c r="M64" i="59"/>
  <c r="K64" i="59"/>
  <c r="J64" i="59"/>
  <c r="I64" i="59"/>
  <c r="H64" i="59"/>
  <c r="G64" i="59"/>
  <c r="M63" i="59"/>
  <c r="K63" i="59"/>
  <c r="J63" i="59"/>
  <c r="I63" i="59"/>
  <c r="H63" i="59"/>
  <c r="G63" i="59"/>
  <c r="M62" i="59"/>
  <c r="K62" i="59"/>
  <c r="J62" i="59"/>
  <c r="I62" i="59"/>
  <c r="H62" i="59"/>
  <c r="G62" i="59"/>
  <c r="M61" i="59"/>
  <c r="K61" i="59"/>
  <c r="J61" i="59"/>
  <c r="I61" i="59"/>
  <c r="H61" i="59"/>
  <c r="G61" i="59"/>
  <c r="M60" i="59"/>
  <c r="K60" i="59"/>
  <c r="J60" i="59"/>
  <c r="I60" i="59"/>
  <c r="H60" i="59"/>
  <c r="G60" i="59"/>
  <c r="M59" i="59"/>
  <c r="K59" i="59"/>
  <c r="J59" i="59"/>
  <c r="I59" i="59"/>
  <c r="H59" i="59"/>
  <c r="G59" i="59"/>
  <c r="M58" i="59"/>
  <c r="K58" i="59"/>
  <c r="J58" i="59"/>
  <c r="I58" i="59"/>
  <c r="H58" i="59"/>
  <c r="G58" i="59"/>
  <c r="M57" i="59"/>
  <c r="K57" i="59"/>
  <c r="J57" i="59"/>
  <c r="I57" i="59"/>
  <c r="H57" i="59"/>
  <c r="G57" i="59"/>
  <c r="M56" i="59"/>
  <c r="K56" i="59"/>
  <c r="J56" i="59"/>
  <c r="I56" i="59"/>
  <c r="H56" i="59"/>
  <c r="G56" i="59"/>
  <c r="M55" i="59"/>
  <c r="K55" i="59"/>
  <c r="J55" i="59"/>
  <c r="I55" i="59"/>
  <c r="H55" i="59"/>
  <c r="G55" i="59"/>
  <c r="M54" i="59"/>
  <c r="K54" i="59"/>
  <c r="J54" i="59"/>
  <c r="I54" i="59"/>
  <c r="H54" i="59"/>
  <c r="G54" i="59"/>
  <c r="M53" i="59"/>
  <c r="K53" i="59"/>
  <c r="J53" i="59"/>
  <c r="I53" i="59"/>
  <c r="H53" i="59"/>
  <c r="G53" i="59"/>
  <c r="M52" i="59"/>
  <c r="K52" i="59"/>
  <c r="J52" i="59"/>
  <c r="I52" i="59"/>
  <c r="H52" i="59"/>
  <c r="G52" i="59"/>
  <c r="M51" i="59"/>
  <c r="K51" i="59"/>
  <c r="J51" i="59"/>
  <c r="I51" i="59"/>
  <c r="H51" i="59"/>
  <c r="G51" i="59"/>
  <c r="M50" i="59"/>
  <c r="K50" i="59"/>
  <c r="J50" i="59"/>
  <c r="I50" i="59"/>
  <c r="H50" i="59"/>
  <c r="G50" i="59"/>
  <c r="M49" i="59"/>
  <c r="K49" i="59"/>
  <c r="J49" i="59"/>
  <c r="I49" i="59"/>
  <c r="H49" i="59"/>
  <c r="G49" i="59"/>
  <c r="M48" i="59"/>
  <c r="K48" i="59"/>
  <c r="J48" i="59"/>
  <c r="I48" i="59"/>
  <c r="H48" i="59"/>
  <c r="G48" i="59"/>
  <c r="M47" i="59"/>
  <c r="L47" i="59"/>
  <c r="K47" i="59"/>
  <c r="J47" i="59"/>
  <c r="I47" i="59"/>
  <c r="H47" i="59"/>
  <c r="G47" i="59"/>
  <c r="L46" i="59"/>
  <c r="N46" i="59" s="1"/>
  <c r="H46" i="59"/>
  <c r="E34" i="59"/>
  <c r="AH33" i="59"/>
  <c r="AG33" i="59"/>
  <c r="AF33" i="59"/>
  <c r="AE33" i="59"/>
  <c r="E32" i="59"/>
  <c r="E31" i="59"/>
  <c r="E30" i="59"/>
  <c r="E29" i="59"/>
  <c r="E28" i="59"/>
  <c r="E27" i="59"/>
  <c r="E26" i="59"/>
  <c r="E25" i="59"/>
  <c r="D33" i="59" s="1"/>
  <c r="AH24" i="59"/>
  <c r="AG24" i="59"/>
  <c r="AF24" i="59"/>
  <c r="AE24" i="59"/>
  <c r="E23" i="59"/>
  <c r="E21" i="59"/>
  <c r="E20" i="59"/>
  <c r="E19" i="59"/>
  <c r="E18" i="59"/>
  <c r="E17" i="59"/>
  <c r="E16" i="59"/>
  <c r="D24" i="59" s="1"/>
  <c r="AH15" i="59"/>
  <c r="AG15" i="59"/>
  <c r="AF15" i="59"/>
  <c r="AE15" i="59"/>
  <c r="AD15" i="59"/>
  <c r="Q15" i="59"/>
  <c r="O15" i="59"/>
  <c r="N15" i="59"/>
  <c r="M15" i="59"/>
  <c r="L15" i="59"/>
  <c r="K15" i="59"/>
  <c r="J15" i="59"/>
  <c r="I15" i="59"/>
  <c r="G15" i="59"/>
  <c r="E14" i="59"/>
  <c r="E13" i="59"/>
  <c r="E12" i="59"/>
  <c r="E11" i="59"/>
  <c r="E10" i="59"/>
  <c r="E9" i="59"/>
  <c r="E8" i="59"/>
  <c r="AM7" i="59"/>
  <c r="AN7" i="59" s="1"/>
  <c r="AO7" i="59" s="1"/>
  <c r="AK7" i="59"/>
  <c r="AM8" i="59" s="1"/>
  <c r="AN8" i="59" s="1"/>
  <c r="AO8" i="59" s="1"/>
  <c r="AK8" i="59" s="1"/>
  <c r="AM9" i="59" s="1"/>
  <c r="AN9" i="59" s="1"/>
  <c r="AO9" i="59" s="1"/>
  <c r="AK9" i="59" s="1"/>
  <c r="AM10" i="59" s="1"/>
  <c r="AN10" i="59" s="1"/>
  <c r="AO10" i="59" s="1"/>
  <c r="AK10" i="59" s="1"/>
  <c r="AM11" i="59" s="1"/>
  <c r="AN11" i="59" s="1"/>
  <c r="AO11" i="59" s="1"/>
  <c r="AK11" i="59" s="1"/>
  <c r="AM12" i="59" s="1"/>
  <c r="AN12" i="59" s="1"/>
  <c r="AO12" i="59" s="1"/>
  <c r="AK12" i="59" s="1"/>
  <c r="AM13" i="59" s="1"/>
  <c r="AN13" i="59" s="1"/>
  <c r="AO13" i="59" s="1"/>
  <c r="AK13" i="59" s="1"/>
  <c r="AM14" i="59" s="1"/>
  <c r="AN14" i="59" s="1"/>
  <c r="AO14" i="59" s="1"/>
  <c r="AK14" i="59" s="1"/>
  <c r="AK15" i="59" s="1"/>
  <c r="AM16" i="59" s="1"/>
  <c r="AN16" i="59" s="1"/>
  <c r="AO16" i="59" s="1"/>
  <c r="AK16" i="59" s="1"/>
  <c r="AM17" i="59" s="1"/>
  <c r="AN17" i="59" s="1"/>
  <c r="AO17" i="59" s="1"/>
  <c r="AK17" i="59" s="1"/>
  <c r="AM18" i="59" s="1"/>
  <c r="AN18" i="59" s="1"/>
  <c r="AO18" i="59" s="1"/>
  <c r="AK18" i="59" s="1"/>
  <c r="AM19" i="59" s="1"/>
  <c r="AN19" i="59" s="1"/>
  <c r="AO19" i="59" s="1"/>
  <c r="AK19" i="59" s="1"/>
  <c r="AM20" i="59" s="1"/>
  <c r="AN20" i="59" s="1"/>
  <c r="AO20" i="59" s="1"/>
  <c r="AK20" i="59" s="1"/>
  <c r="AM21" i="59" s="1"/>
  <c r="AN21" i="59" s="1"/>
  <c r="AO21" i="59" s="1"/>
  <c r="AK21" i="59" s="1"/>
  <c r="AM22" i="59" s="1"/>
  <c r="AN22" i="59" s="1"/>
  <c r="AO22" i="59" s="1"/>
  <c r="AK22" i="59" s="1"/>
  <c r="AM23" i="59" s="1"/>
  <c r="AN23" i="59" s="1"/>
  <c r="AO23" i="59" s="1"/>
  <c r="AK23" i="59" s="1"/>
  <c r="AK24" i="59" s="1"/>
  <c r="AM25" i="59" s="1"/>
  <c r="AN25" i="59" s="1"/>
  <c r="AO25" i="59" s="1"/>
  <c r="AK25" i="59" s="1"/>
  <c r="AM26" i="59" s="1"/>
  <c r="AN26" i="59" s="1"/>
  <c r="AO26" i="59" s="1"/>
  <c r="AK26" i="59" s="1"/>
  <c r="AM27" i="59" s="1"/>
  <c r="AN27" i="59" s="1"/>
  <c r="AO27" i="59" s="1"/>
  <c r="AK27" i="59" s="1"/>
  <c r="AM28" i="59" s="1"/>
  <c r="AN28" i="59" s="1"/>
  <c r="AO28" i="59" s="1"/>
  <c r="AK28" i="59" s="1"/>
  <c r="AM29" i="59" s="1"/>
  <c r="AN29" i="59" s="1"/>
  <c r="AO29" i="59" s="1"/>
  <c r="AK29" i="59" s="1"/>
  <c r="AM30" i="59" s="1"/>
  <c r="AN30" i="59" s="1"/>
  <c r="AO30" i="59" s="1"/>
  <c r="AK30" i="59" s="1"/>
  <c r="AM31" i="59" s="1"/>
  <c r="AN31" i="59" s="1"/>
  <c r="AO31" i="59" s="1"/>
  <c r="AK31" i="59" s="1"/>
  <c r="AM32" i="59" s="1"/>
  <c r="AN32" i="59" s="1"/>
  <c r="AO32" i="59" s="1"/>
  <c r="AK32" i="59" s="1"/>
  <c r="F7" i="59"/>
  <c r="F8" i="59" s="1"/>
  <c r="F9" i="59" s="1"/>
  <c r="F10" i="59" s="1"/>
  <c r="F11" i="59" s="1"/>
  <c r="F12" i="59" s="1"/>
  <c r="F13" i="59" s="1"/>
  <c r="F14" i="59" s="1"/>
  <c r="F15" i="59" s="1"/>
  <c r="F17" i="59" s="1"/>
  <c r="F18" i="59" s="1"/>
  <c r="F19" i="59" s="1"/>
  <c r="F21" i="59" s="1"/>
  <c r="F22" i="59" s="1"/>
  <c r="F23" i="59" s="1"/>
  <c r="F24" i="59" s="1"/>
  <c r="F25" i="59" s="1"/>
  <c r="F26" i="59" s="1"/>
  <c r="F27" i="59" s="1"/>
  <c r="F28" i="59" s="1"/>
  <c r="F29" i="59" s="1"/>
  <c r="F30" i="59" s="1"/>
  <c r="F31" i="59" s="1"/>
  <c r="F32" i="59" s="1"/>
  <c r="F33" i="59" s="1"/>
  <c r="L42" i="59" s="1"/>
  <c r="E7" i="59"/>
  <c r="D15" i="59" s="1"/>
  <c r="G46" i="59"/>
  <c r="AU1" i="59"/>
  <c r="M71" i="58"/>
  <c r="K71" i="58"/>
  <c r="J71" i="58"/>
  <c r="I71" i="58"/>
  <c r="H71" i="58"/>
  <c r="G71" i="58"/>
  <c r="M70" i="58"/>
  <c r="K70" i="58"/>
  <c r="J70" i="58"/>
  <c r="I70" i="58"/>
  <c r="H70" i="58"/>
  <c r="G70" i="58"/>
  <c r="M69" i="58"/>
  <c r="K69" i="58"/>
  <c r="J69" i="58"/>
  <c r="I69" i="58"/>
  <c r="H69" i="58"/>
  <c r="G69" i="58"/>
  <c r="M68" i="58"/>
  <c r="K68" i="58"/>
  <c r="J68" i="58"/>
  <c r="I68" i="58"/>
  <c r="H68" i="58"/>
  <c r="G68" i="58"/>
  <c r="M67" i="58"/>
  <c r="K67" i="58"/>
  <c r="J67" i="58"/>
  <c r="I67" i="58"/>
  <c r="H67" i="58"/>
  <c r="G67" i="58"/>
  <c r="M66" i="58"/>
  <c r="K66" i="58"/>
  <c r="J66" i="58"/>
  <c r="I66" i="58"/>
  <c r="H66" i="58"/>
  <c r="G66" i="58"/>
  <c r="M65" i="58"/>
  <c r="K65" i="58"/>
  <c r="J65" i="58"/>
  <c r="I65" i="58"/>
  <c r="H65" i="58"/>
  <c r="G65" i="58"/>
  <c r="M64" i="58"/>
  <c r="K64" i="58"/>
  <c r="J64" i="58"/>
  <c r="I64" i="58"/>
  <c r="H64" i="58"/>
  <c r="G64" i="58"/>
  <c r="M63" i="58"/>
  <c r="K63" i="58"/>
  <c r="J63" i="58"/>
  <c r="I63" i="58"/>
  <c r="H63" i="58"/>
  <c r="G63" i="58"/>
  <c r="M62" i="58"/>
  <c r="K62" i="58"/>
  <c r="J62" i="58"/>
  <c r="I62" i="58"/>
  <c r="H62" i="58"/>
  <c r="G62" i="58"/>
  <c r="M61" i="58"/>
  <c r="K61" i="58"/>
  <c r="J61" i="58"/>
  <c r="I61" i="58"/>
  <c r="H61" i="58"/>
  <c r="G61" i="58"/>
  <c r="M60" i="58"/>
  <c r="K60" i="58"/>
  <c r="J60" i="58"/>
  <c r="I60" i="58"/>
  <c r="H60" i="58"/>
  <c r="G60" i="58"/>
  <c r="M59" i="58"/>
  <c r="K59" i="58"/>
  <c r="J59" i="58"/>
  <c r="I59" i="58"/>
  <c r="H59" i="58"/>
  <c r="G59" i="58"/>
  <c r="M58" i="58"/>
  <c r="K58" i="58"/>
  <c r="J58" i="58"/>
  <c r="I58" i="58"/>
  <c r="H58" i="58"/>
  <c r="G58" i="58"/>
  <c r="M57" i="58"/>
  <c r="K57" i="58"/>
  <c r="J57" i="58"/>
  <c r="I57" i="58"/>
  <c r="H57" i="58"/>
  <c r="G57" i="58"/>
  <c r="M56" i="58"/>
  <c r="K56" i="58"/>
  <c r="J56" i="58"/>
  <c r="I56" i="58"/>
  <c r="H56" i="58"/>
  <c r="G56" i="58"/>
  <c r="M55" i="58"/>
  <c r="K55" i="58"/>
  <c r="J55" i="58"/>
  <c r="I55" i="58"/>
  <c r="H55" i="58"/>
  <c r="G55" i="58"/>
  <c r="M54" i="58"/>
  <c r="K54" i="58"/>
  <c r="J54" i="58"/>
  <c r="I54" i="58"/>
  <c r="H54" i="58"/>
  <c r="G54" i="58"/>
  <c r="M53" i="58"/>
  <c r="K53" i="58"/>
  <c r="J53" i="58"/>
  <c r="I53" i="58"/>
  <c r="H53" i="58"/>
  <c r="G53" i="58"/>
  <c r="M52" i="58"/>
  <c r="K52" i="58"/>
  <c r="J52" i="58"/>
  <c r="I52" i="58"/>
  <c r="H52" i="58"/>
  <c r="G52" i="58"/>
  <c r="M51" i="58"/>
  <c r="K51" i="58"/>
  <c r="J51" i="58"/>
  <c r="I51" i="58"/>
  <c r="H51" i="58"/>
  <c r="G51" i="58"/>
  <c r="M50" i="58"/>
  <c r="K50" i="58"/>
  <c r="J50" i="58"/>
  <c r="I50" i="58"/>
  <c r="H50" i="58"/>
  <c r="G50" i="58"/>
  <c r="M49" i="58"/>
  <c r="K49" i="58"/>
  <c r="J49" i="58"/>
  <c r="I49" i="58"/>
  <c r="H49" i="58"/>
  <c r="G49" i="58"/>
  <c r="M48" i="58"/>
  <c r="K48" i="58"/>
  <c r="J48" i="58"/>
  <c r="I48" i="58"/>
  <c r="H48" i="58"/>
  <c r="G48" i="58"/>
  <c r="M47" i="58"/>
  <c r="L47" i="58"/>
  <c r="K47" i="58"/>
  <c r="J47" i="58"/>
  <c r="I47" i="58"/>
  <c r="H47" i="58"/>
  <c r="G47" i="58"/>
  <c r="L46" i="58"/>
  <c r="N46" i="58" s="1"/>
  <c r="H46" i="58"/>
  <c r="E34" i="58"/>
  <c r="AH33" i="58"/>
  <c r="AG33" i="58"/>
  <c r="AF33" i="58"/>
  <c r="AE33" i="58"/>
  <c r="E32" i="58"/>
  <c r="E31" i="58"/>
  <c r="E30" i="58"/>
  <c r="E29" i="58"/>
  <c r="E28" i="58"/>
  <c r="E27" i="58"/>
  <c r="E26" i="58"/>
  <c r="E25" i="58"/>
  <c r="D33" i="58" s="1"/>
  <c r="AH24" i="58"/>
  <c r="AG24" i="58"/>
  <c r="AF24" i="58"/>
  <c r="AE24" i="58"/>
  <c r="E23" i="58"/>
  <c r="E22" i="58"/>
  <c r="E21" i="58"/>
  <c r="E20" i="58"/>
  <c r="E19" i="58"/>
  <c r="E18" i="58"/>
  <c r="E17" i="58"/>
  <c r="E16" i="58"/>
  <c r="D24" i="58" s="1"/>
  <c r="AH15" i="58"/>
  <c r="AG15" i="58"/>
  <c r="AF15" i="58"/>
  <c r="AE15" i="58"/>
  <c r="AD15" i="58"/>
  <c r="Q15" i="58"/>
  <c r="O15" i="58"/>
  <c r="N15" i="58"/>
  <c r="M15" i="58"/>
  <c r="L15" i="58"/>
  <c r="K15" i="58"/>
  <c r="J15" i="58"/>
  <c r="I15" i="58"/>
  <c r="G15" i="58"/>
  <c r="E14" i="58"/>
  <c r="E13" i="58"/>
  <c r="E12" i="58"/>
  <c r="E11" i="58"/>
  <c r="E10" i="58"/>
  <c r="E9" i="58"/>
  <c r="E8" i="58"/>
  <c r="AM7" i="58"/>
  <c r="AN7" i="58" s="1"/>
  <c r="AO7" i="58" s="1"/>
  <c r="AK7" i="58"/>
  <c r="AM8" i="58" s="1"/>
  <c r="AN8" i="58" s="1"/>
  <c r="AO8" i="58" s="1"/>
  <c r="AK8" i="58" s="1"/>
  <c r="AM9" i="58" s="1"/>
  <c r="AN9" i="58" s="1"/>
  <c r="AO9" i="58" s="1"/>
  <c r="AK9" i="58" s="1"/>
  <c r="AM10" i="58" s="1"/>
  <c r="AN10" i="58" s="1"/>
  <c r="AO10" i="58" s="1"/>
  <c r="AK10" i="58" s="1"/>
  <c r="AM11" i="58" s="1"/>
  <c r="AN11" i="58" s="1"/>
  <c r="AO11" i="58" s="1"/>
  <c r="AK11" i="58" s="1"/>
  <c r="AM12" i="58" s="1"/>
  <c r="AN12" i="58" s="1"/>
  <c r="AO12" i="58" s="1"/>
  <c r="AK12" i="58" s="1"/>
  <c r="AM13" i="58" s="1"/>
  <c r="AN13" i="58" s="1"/>
  <c r="AO13" i="58" s="1"/>
  <c r="AK13" i="58" s="1"/>
  <c r="AM14" i="58" s="1"/>
  <c r="AN14" i="58" s="1"/>
  <c r="AO14" i="58" s="1"/>
  <c r="AK14" i="58" s="1"/>
  <c r="AK15" i="58" s="1"/>
  <c r="AM16" i="58" s="1"/>
  <c r="AN16" i="58" s="1"/>
  <c r="AO16" i="58" s="1"/>
  <c r="AK16" i="58" s="1"/>
  <c r="AM17" i="58" s="1"/>
  <c r="AN17" i="58" s="1"/>
  <c r="AO17" i="58" s="1"/>
  <c r="AK17" i="58" s="1"/>
  <c r="AM18" i="58" s="1"/>
  <c r="AN18" i="58" s="1"/>
  <c r="AO18" i="58" s="1"/>
  <c r="AK18" i="58" s="1"/>
  <c r="AM19" i="58" s="1"/>
  <c r="AN19" i="58" s="1"/>
  <c r="AO19" i="58" s="1"/>
  <c r="AK19" i="58" s="1"/>
  <c r="AM20" i="58" s="1"/>
  <c r="AN20" i="58" s="1"/>
  <c r="AO20" i="58" s="1"/>
  <c r="AK20" i="58" s="1"/>
  <c r="AM21" i="58" s="1"/>
  <c r="AN21" i="58" s="1"/>
  <c r="AO21" i="58" s="1"/>
  <c r="AK21" i="58" s="1"/>
  <c r="AM22" i="58" s="1"/>
  <c r="AN22" i="58" s="1"/>
  <c r="AO22" i="58" s="1"/>
  <c r="AK22" i="58" s="1"/>
  <c r="AM23" i="58" s="1"/>
  <c r="AN23" i="58" s="1"/>
  <c r="AO23" i="58" s="1"/>
  <c r="AK23" i="58" s="1"/>
  <c r="AK24" i="58" s="1"/>
  <c r="AM25" i="58" s="1"/>
  <c r="AN25" i="58" s="1"/>
  <c r="AO25" i="58" s="1"/>
  <c r="AK25" i="58" s="1"/>
  <c r="AM26" i="58" s="1"/>
  <c r="AN26" i="58" s="1"/>
  <c r="AO26" i="58" s="1"/>
  <c r="AK26" i="58" s="1"/>
  <c r="AM27" i="58" s="1"/>
  <c r="AN27" i="58" s="1"/>
  <c r="AO27" i="58" s="1"/>
  <c r="AK27" i="58" s="1"/>
  <c r="AM28" i="58" s="1"/>
  <c r="AN28" i="58" s="1"/>
  <c r="AO28" i="58" s="1"/>
  <c r="AK28" i="58" s="1"/>
  <c r="AM29" i="58" s="1"/>
  <c r="AN29" i="58" s="1"/>
  <c r="AO29" i="58" s="1"/>
  <c r="AK29" i="58" s="1"/>
  <c r="AM30" i="58" s="1"/>
  <c r="AN30" i="58" s="1"/>
  <c r="AO30" i="58" s="1"/>
  <c r="AK30" i="58" s="1"/>
  <c r="AM31" i="58" s="1"/>
  <c r="AN31" i="58" s="1"/>
  <c r="AO31" i="58" s="1"/>
  <c r="AK31" i="58" s="1"/>
  <c r="AM32" i="58" s="1"/>
  <c r="AN32" i="58" s="1"/>
  <c r="AO32" i="58" s="1"/>
  <c r="AK32" i="58" s="1"/>
  <c r="F7" i="58"/>
  <c r="F8" i="58" s="1"/>
  <c r="F9" i="58" s="1"/>
  <c r="F10" i="58" s="1"/>
  <c r="F11" i="58" s="1"/>
  <c r="F12" i="58" s="1"/>
  <c r="F13" i="58" s="1"/>
  <c r="F14" i="58" s="1"/>
  <c r="F15" i="58" s="1"/>
  <c r="F17" i="58" s="1"/>
  <c r="F18" i="58" s="1"/>
  <c r="F19" i="58" s="1"/>
  <c r="F20" i="58" s="1"/>
  <c r="F21" i="58" s="1"/>
  <c r="F22" i="58" s="1"/>
  <c r="F23" i="58" s="1"/>
  <c r="F24" i="58" s="1"/>
  <c r="F25" i="58" s="1"/>
  <c r="F26" i="58" s="1"/>
  <c r="F27" i="58" s="1"/>
  <c r="F28" i="58" s="1"/>
  <c r="F29" i="58" s="1"/>
  <c r="F30" i="58" s="1"/>
  <c r="F31" i="58" s="1"/>
  <c r="F32" i="58" s="1"/>
  <c r="F33" i="58" s="1"/>
  <c r="L42" i="58" s="1"/>
  <c r="E7" i="58"/>
  <c r="D15" i="58" s="1"/>
  <c r="G46" i="58"/>
  <c r="AU1" i="58"/>
  <c r="M71" i="55"/>
  <c r="K71" i="55"/>
  <c r="J71" i="55"/>
  <c r="I71" i="55"/>
  <c r="H71" i="55"/>
  <c r="G71" i="55"/>
  <c r="M70" i="55"/>
  <c r="K70" i="55"/>
  <c r="J70" i="55"/>
  <c r="I70" i="55"/>
  <c r="H70" i="55"/>
  <c r="G70" i="55"/>
  <c r="M69" i="55"/>
  <c r="K69" i="55"/>
  <c r="J69" i="55"/>
  <c r="I69" i="55"/>
  <c r="H69" i="55"/>
  <c r="G69" i="55"/>
  <c r="M68" i="55"/>
  <c r="K68" i="55"/>
  <c r="J68" i="55"/>
  <c r="I68" i="55"/>
  <c r="H68" i="55"/>
  <c r="G68" i="55"/>
  <c r="M67" i="55"/>
  <c r="K67" i="55"/>
  <c r="J67" i="55"/>
  <c r="I67" i="55"/>
  <c r="H67" i="55"/>
  <c r="G67" i="55"/>
  <c r="M66" i="55"/>
  <c r="K66" i="55"/>
  <c r="J66" i="55"/>
  <c r="I66" i="55"/>
  <c r="H66" i="55"/>
  <c r="G66" i="55"/>
  <c r="M65" i="55"/>
  <c r="K65" i="55"/>
  <c r="J65" i="55"/>
  <c r="I65" i="55"/>
  <c r="H65" i="55"/>
  <c r="G65" i="55"/>
  <c r="M64" i="55"/>
  <c r="K64" i="55"/>
  <c r="J64" i="55"/>
  <c r="I64" i="55"/>
  <c r="H64" i="55"/>
  <c r="G64" i="55"/>
  <c r="M63" i="55"/>
  <c r="K63" i="55"/>
  <c r="J63" i="55"/>
  <c r="I63" i="55"/>
  <c r="H63" i="55"/>
  <c r="G63" i="55"/>
  <c r="M62" i="55"/>
  <c r="K62" i="55"/>
  <c r="J62" i="55"/>
  <c r="I62" i="55"/>
  <c r="H62" i="55"/>
  <c r="G62" i="55"/>
  <c r="M61" i="55"/>
  <c r="K61" i="55"/>
  <c r="J61" i="55"/>
  <c r="I61" i="55"/>
  <c r="H61" i="55"/>
  <c r="G61" i="55"/>
  <c r="M60" i="55"/>
  <c r="K60" i="55"/>
  <c r="J60" i="55"/>
  <c r="I60" i="55"/>
  <c r="H60" i="55"/>
  <c r="G60" i="55"/>
  <c r="M59" i="55"/>
  <c r="K59" i="55"/>
  <c r="J59" i="55"/>
  <c r="I59" i="55"/>
  <c r="H59" i="55"/>
  <c r="G59" i="55"/>
  <c r="M58" i="55"/>
  <c r="K58" i="55"/>
  <c r="J58" i="55"/>
  <c r="I58" i="55"/>
  <c r="H58" i="55"/>
  <c r="G58" i="55"/>
  <c r="M57" i="55"/>
  <c r="K57" i="55"/>
  <c r="J57" i="55"/>
  <c r="I57" i="55"/>
  <c r="H57" i="55"/>
  <c r="G57" i="55"/>
  <c r="M56" i="55"/>
  <c r="K56" i="55"/>
  <c r="J56" i="55"/>
  <c r="I56" i="55"/>
  <c r="H56" i="55"/>
  <c r="G56" i="55"/>
  <c r="M55" i="55"/>
  <c r="K55" i="55"/>
  <c r="J55" i="55"/>
  <c r="I55" i="55"/>
  <c r="H55" i="55"/>
  <c r="G55" i="55"/>
  <c r="M54" i="55"/>
  <c r="K54" i="55"/>
  <c r="J54" i="55"/>
  <c r="I54" i="55"/>
  <c r="H54" i="55"/>
  <c r="G54" i="55"/>
  <c r="M53" i="55"/>
  <c r="K53" i="55"/>
  <c r="J53" i="55"/>
  <c r="I53" i="55"/>
  <c r="H53" i="55"/>
  <c r="G53" i="55"/>
  <c r="M52" i="55"/>
  <c r="K52" i="55"/>
  <c r="J52" i="55"/>
  <c r="I52" i="55"/>
  <c r="H52" i="55"/>
  <c r="G52" i="55"/>
  <c r="M51" i="55"/>
  <c r="K51" i="55"/>
  <c r="J51" i="55"/>
  <c r="I51" i="55"/>
  <c r="H51" i="55"/>
  <c r="G51" i="55"/>
  <c r="M50" i="55"/>
  <c r="K50" i="55"/>
  <c r="J50" i="55"/>
  <c r="I50" i="55"/>
  <c r="H50" i="55"/>
  <c r="G50" i="55"/>
  <c r="M49" i="55"/>
  <c r="K49" i="55"/>
  <c r="J49" i="55"/>
  <c r="I49" i="55"/>
  <c r="H49" i="55"/>
  <c r="G49" i="55"/>
  <c r="M48" i="55"/>
  <c r="K48" i="55"/>
  <c r="J48" i="55"/>
  <c r="I48" i="55"/>
  <c r="H48" i="55"/>
  <c r="G48" i="55"/>
  <c r="M47" i="55"/>
  <c r="L47" i="55"/>
  <c r="K47" i="55"/>
  <c r="J47" i="55"/>
  <c r="I47" i="55"/>
  <c r="H47" i="55"/>
  <c r="G47" i="55"/>
  <c r="L46" i="55"/>
  <c r="N46" i="55" s="1"/>
  <c r="H46" i="55"/>
  <c r="E34" i="55"/>
  <c r="AH33" i="55"/>
  <c r="AG33" i="55"/>
  <c r="AF33" i="55"/>
  <c r="AE33" i="55"/>
  <c r="E32" i="55"/>
  <c r="E31" i="55"/>
  <c r="E30" i="55"/>
  <c r="E29" i="55"/>
  <c r="E28" i="55"/>
  <c r="E27" i="55"/>
  <c r="E26" i="55"/>
  <c r="E25" i="55"/>
  <c r="D33" i="55" s="1"/>
  <c r="AH24" i="55"/>
  <c r="AG24" i="55"/>
  <c r="AF24" i="55"/>
  <c r="AE24" i="55"/>
  <c r="E23" i="55"/>
  <c r="E22" i="55"/>
  <c r="E21" i="55"/>
  <c r="E20" i="55"/>
  <c r="E19" i="55"/>
  <c r="E18" i="55"/>
  <c r="E17" i="55"/>
  <c r="E16" i="55"/>
  <c r="D24" i="55" s="1"/>
  <c r="AH15" i="55"/>
  <c r="AG15" i="55"/>
  <c r="AF15" i="55"/>
  <c r="AE15" i="55"/>
  <c r="AD15" i="55"/>
  <c r="Q15" i="55"/>
  <c r="O15" i="55"/>
  <c r="N15" i="55"/>
  <c r="M15" i="55"/>
  <c r="L15" i="55"/>
  <c r="K15" i="55"/>
  <c r="J15" i="55"/>
  <c r="I15" i="55"/>
  <c r="G15" i="55"/>
  <c r="E14" i="55"/>
  <c r="E13" i="55"/>
  <c r="E12" i="55"/>
  <c r="E11" i="55"/>
  <c r="E10" i="55"/>
  <c r="E9" i="55"/>
  <c r="E8" i="55"/>
  <c r="AM7" i="55"/>
  <c r="AN7" i="55" s="1"/>
  <c r="AO7" i="55" s="1"/>
  <c r="AK7" i="55"/>
  <c r="AM8" i="55" s="1"/>
  <c r="AN8" i="55" s="1"/>
  <c r="AO8" i="55" s="1"/>
  <c r="AK8" i="55" s="1"/>
  <c r="AM9" i="55" s="1"/>
  <c r="AN9" i="55" s="1"/>
  <c r="AO9" i="55" s="1"/>
  <c r="AK9" i="55" s="1"/>
  <c r="AM10" i="55" s="1"/>
  <c r="AN10" i="55" s="1"/>
  <c r="AO10" i="55" s="1"/>
  <c r="AK10" i="55" s="1"/>
  <c r="AM11" i="55" s="1"/>
  <c r="AN11" i="55" s="1"/>
  <c r="AO11" i="55" s="1"/>
  <c r="AK11" i="55" s="1"/>
  <c r="AM12" i="55" s="1"/>
  <c r="AN12" i="55" s="1"/>
  <c r="AO12" i="55" s="1"/>
  <c r="AK12" i="55" s="1"/>
  <c r="AM13" i="55" s="1"/>
  <c r="AN13" i="55" s="1"/>
  <c r="AO13" i="55" s="1"/>
  <c r="AK13" i="55" s="1"/>
  <c r="AM14" i="55" s="1"/>
  <c r="AN14" i="55" s="1"/>
  <c r="AO14" i="55" s="1"/>
  <c r="AK14" i="55" s="1"/>
  <c r="AK15" i="55" s="1"/>
  <c r="AM16" i="55" s="1"/>
  <c r="AN16" i="55" s="1"/>
  <c r="AO16" i="55" s="1"/>
  <c r="AK16" i="55" s="1"/>
  <c r="AM17" i="55" s="1"/>
  <c r="AN17" i="55" s="1"/>
  <c r="AO17" i="55" s="1"/>
  <c r="AK17" i="55" s="1"/>
  <c r="AM18" i="55" s="1"/>
  <c r="AN18" i="55" s="1"/>
  <c r="AO18" i="55" s="1"/>
  <c r="AK18" i="55" s="1"/>
  <c r="AM19" i="55" s="1"/>
  <c r="AN19" i="55" s="1"/>
  <c r="AO19" i="55" s="1"/>
  <c r="AK19" i="55" s="1"/>
  <c r="AM20" i="55" s="1"/>
  <c r="AN20" i="55" s="1"/>
  <c r="AO20" i="55" s="1"/>
  <c r="AK20" i="55" s="1"/>
  <c r="AM21" i="55" s="1"/>
  <c r="AN21" i="55" s="1"/>
  <c r="AO21" i="55" s="1"/>
  <c r="AK21" i="55" s="1"/>
  <c r="AM22" i="55" s="1"/>
  <c r="AN22" i="55" s="1"/>
  <c r="AO22" i="55" s="1"/>
  <c r="AK22" i="55" s="1"/>
  <c r="AM23" i="55" s="1"/>
  <c r="AN23" i="55" s="1"/>
  <c r="AO23" i="55" s="1"/>
  <c r="AK23" i="55" s="1"/>
  <c r="AK24" i="55" s="1"/>
  <c r="AM25" i="55" s="1"/>
  <c r="AN25" i="55" s="1"/>
  <c r="AO25" i="55" s="1"/>
  <c r="AK25" i="55" s="1"/>
  <c r="AM26" i="55" s="1"/>
  <c r="AN26" i="55" s="1"/>
  <c r="AO26" i="55" s="1"/>
  <c r="AK26" i="55" s="1"/>
  <c r="AM27" i="55" s="1"/>
  <c r="AN27" i="55" s="1"/>
  <c r="AO27" i="55" s="1"/>
  <c r="AK27" i="55" s="1"/>
  <c r="AM28" i="55" s="1"/>
  <c r="AN28" i="55" s="1"/>
  <c r="AO28" i="55" s="1"/>
  <c r="AK28" i="55" s="1"/>
  <c r="AM29" i="55" s="1"/>
  <c r="AN29" i="55" s="1"/>
  <c r="AO29" i="55" s="1"/>
  <c r="AK29" i="55" s="1"/>
  <c r="AM30" i="55" s="1"/>
  <c r="AN30" i="55" s="1"/>
  <c r="AO30" i="55" s="1"/>
  <c r="AK30" i="55" s="1"/>
  <c r="AM31" i="55" s="1"/>
  <c r="AN31" i="55" s="1"/>
  <c r="AO31" i="55" s="1"/>
  <c r="AK31" i="55" s="1"/>
  <c r="AM32" i="55" s="1"/>
  <c r="AN32" i="55" s="1"/>
  <c r="AO32" i="55" s="1"/>
  <c r="AK32" i="55" s="1"/>
  <c r="F7" i="55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L42" i="55" s="1"/>
  <c r="E7" i="55"/>
  <c r="D15" i="55" s="1"/>
  <c r="D6" i="55"/>
  <c r="G46" i="55" s="1"/>
  <c r="AU1" i="55"/>
  <c r="M71" i="57"/>
  <c r="K71" i="57"/>
  <c r="J71" i="57"/>
  <c r="I71" i="57"/>
  <c r="H71" i="57"/>
  <c r="G71" i="57"/>
  <c r="M70" i="57"/>
  <c r="K70" i="57"/>
  <c r="J70" i="57"/>
  <c r="I70" i="57"/>
  <c r="H70" i="57"/>
  <c r="G70" i="57"/>
  <c r="M69" i="57"/>
  <c r="K69" i="57"/>
  <c r="J69" i="57"/>
  <c r="I69" i="57"/>
  <c r="H69" i="57"/>
  <c r="G69" i="57"/>
  <c r="M68" i="57"/>
  <c r="K68" i="57"/>
  <c r="J68" i="57"/>
  <c r="I68" i="57"/>
  <c r="H68" i="57"/>
  <c r="G68" i="57"/>
  <c r="M67" i="57"/>
  <c r="K67" i="57"/>
  <c r="J67" i="57"/>
  <c r="I67" i="57"/>
  <c r="H67" i="57"/>
  <c r="G67" i="57"/>
  <c r="M66" i="57"/>
  <c r="K66" i="57"/>
  <c r="J66" i="57"/>
  <c r="I66" i="57"/>
  <c r="H66" i="57"/>
  <c r="G66" i="57"/>
  <c r="M65" i="57"/>
  <c r="K65" i="57"/>
  <c r="J65" i="57"/>
  <c r="I65" i="57"/>
  <c r="H65" i="57"/>
  <c r="G65" i="57"/>
  <c r="M64" i="57"/>
  <c r="K64" i="57"/>
  <c r="J64" i="57"/>
  <c r="I64" i="57"/>
  <c r="H64" i="57"/>
  <c r="G64" i="57"/>
  <c r="M63" i="57"/>
  <c r="K63" i="57"/>
  <c r="J63" i="57"/>
  <c r="I63" i="57"/>
  <c r="H63" i="57"/>
  <c r="G63" i="57"/>
  <c r="M62" i="57"/>
  <c r="K62" i="57"/>
  <c r="J62" i="57"/>
  <c r="I62" i="57"/>
  <c r="H62" i="57"/>
  <c r="G62" i="57"/>
  <c r="M61" i="57"/>
  <c r="K61" i="57"/>
  <c r="J61" i="57"/>
  <c r="I61" i="57"/>
  <c r="H61" i="57"/>
  <c r="G61" i="57"/>
  <c r="M60" i="57"/>
  <c r="K60" i="57"/>
  <c r="J60" i="57"/>
  <c r="I60" i="57"/>
  <c r="H60" i="57"/>
  <c r="G60" i="57"/>
  <c r="M59" i="57"/>
  <c r="K59" i="57"/>
  <c r="J59" i="57"/>
  <c r="I59" i="57"/>
  <c r="H59" i="57"/>
  <c r="G59" i="57"/>
  <c r="M58" i="57"/>
  <c r="K58" i="57"/>
  <c r="J58" i="57"/>
  <c r="I58" i="57"/>
  <c r="H58" i="57"/>
  <c r="G58" i="57"/>
  <c r="M57" i="57"/>
  <c r="K57" i="57"/>
  <c r="J57" i="57"/>
  <c r="I57" i="57"/>
  <c r="H57" i="57"/>
  <c r="G57" i="57"/>
  <c r="M56" i="57"/>
  <c r="K56" i="57"/>
  <c r="J56" i="57"/>
  <c r="I56" i="57"/>
  <c r="H56" i="57"/>
  <c r="G56" i="57"/>
  <c r="M55" i="57"/>
  <c r="K55" i="57"/>
  <c r="J55" i="57"/>
  <c r="I55" i="57"/>
  <c r="H55" i="57"/>
  <c r="G55" i="57"/>
  <c r="M54" i="57"/>
  <c r="K54" i="57"/>
  <c r="J54" i="57"/>
  <c r="I54" i="57"/>
  <c r="H54" i="57"/>
  <c r="G54" i="57"/>
  <c r="M53" i="57"/>
  <c r="K53" i="57"/>
  <c r="J53" i="57"/>
  <c r="I53" i="57"/>
  <c r="H53" i="57"/>
  <c r="G53" i="57"/>
  <c r="M52" i="57"/>
  <c r="K52" i="57"/>
  <c r="J52" i="57"/>
  <c r="I52" i="57"/>
  <c r="H52" i="57"/>
  <c r="G52" i="57"/>
  <c r="M51" i="57"/>
  <c r="K51" i="57"/>
  <c r="J51" i="57"/>
  <c r="I51" i="57"/>
  <c r="H51" i="57"/>
  <c r="G51" i="57"/>
  <c r="M50" i="57"/>
  <c r="K50" i="57"/>
  <c r="J50" i="57"/>
  <c r="I50" i="57"/>
  <c r="H50" i="57"/>
  <c r="G50" i="57"/>
  <c r="M49" i="57"/>
  <c r="K49" i="57"/>
  <c r="J49" i="57"/>
  <c r="I49" i="57"/>
  <c r="H49" i="57"/>
  <c r="G49" i="57"/>
  <c r="M48" i="57"/>
  <c r="K48" i="57"/>
  <c r="J48" i="57"/>
  <c r="I48" i="57"/>
  <c r="H48" i="57"/>
  <c r="G48" i="57"/>
  <c r="M47" i="57"/>
  <c r="L47" i="57"/>
  <c r="K47" i="57"/>
  <c r="J47" i="57"/>
  <c r="I47" i="57"/>
  <c r="H47" i="57"/>
  <c r="G47" i="57"/>
  <c r="L46" i="57"/>
  <c r="N46" i="57" s="1"/>
  <c r="H46" i="57"/>
  <c r="E34" i="57"/>
  <c r="AH33" i="57"/>
  <c r="AG33" i="57"/>
  <c r="AF33" i="57"/>
  <c r="AE33" i="57"/>
  <c r="E32" i="57"/>
  <c r="E31" i="57"/>
  <c r="E30" i="57"/>
  <c r="E29" i="57"/>
  <c r="E28" i="57"/>
  <c r="E27" i="57"/>
  <c r="E26" i="57"/>
  <c r="E25" i="57"/>
  <c r="D33" i="57" s="1"/>
  <c r="AH24" i="57"/>
  <c r="AG24" i="57"/>
  <c r="AF24" i="57"/>
  <c r="AE24" i="57"/>
  <c r="E23" i="57"/>
  <c r="E22" i="57"/>
  <c r="E21" i="57"/>
  <c r="E20" i="57"/>
  <c r="E19" i="57"/>
  <c r="E18" i="57"/>
  <c r="E17" i="57"/>
  <c r="E16" i="57"/>
  <c r="D24" i="57" s="1"/>
  <c r="AH15" i="57"/>
  <c r="AG15" i="57"/>
  <c r="AF15" i="57"/>
  <c r="AE15" i="57"/>
  <c r="AD15" i="57"/>
  <c r="Q15" i="57"/>
  <c r="O15" i="57"/>
  <c r="N15" i="57"/>
  <c r="M15" i="57"/>
  <c r="L15" i="57"/>
  <c r="K15" i="57"/>
  <c r="J15" i="57"/>
  <c r="I15" i="57"/>
  <c r="G15" i="57"/>
  <c r="E14" i="57"/>
  <c r="E13" i="57"/>
  <c r="E12" i="57"/>
  <c r="E11" i="57"/>
  <c r="E10" i="57"/>
  <c r="E9" i="57"/>
  <c r="E8" i="57"/>
  <c r="AM7" i="57"/>
  <c r="AN7" i="57" s="1"/>
  <c r="AO7" i="57" s="1"/>
  <c r="AK7" i="57"/>
  <c r="AM8" i="57" s="1"/>
  <c r="AN8" i="57" s="1"/>
  <c r="AO8" i="57" s="1"/>
  <c r="AK8" i="57" s="1"/>
  <c r="AM9" i="57" s="1"/>
  <c r="AN9" i="57" s="1"/>
  <c r="AO9" i="57" s="1"/>
  <c r="AK9" i="57" s="1"/>
  <c r="AM10" i="57" s="1"/>
  <c r="AN10" i="57" s="1"/>
  <c r="AO10" i="57" s="1"/>
  <c r="AK10" i="57" s="1"/>
  <c r="AM11" i="57" s="1"/>
  <c r="AN11" i="57" s="1"/>
  <c r="AO11" i="57" s="1"/>
  <c r="AK11" i="57" s="1"/>
  <c r="AM12" i="57" s="1"/>
  <c r="AN12" i="57" s="1"/>
  <c r="AO12" i="57" s="1"/>
  <c r="AK12" i="57" s="1"/>
  <c r="AM13" i="57" s="1"/>
  <c r="AN13" i="57" s="1"/>
  <c r="AO13" i="57" s="1"/>
  <c r="AK13" i="57" s="1"/>
  <c r="AM14" i="57" s="1"/>
  <c r="AN14" i="57" s="1"/>
  <c r="AO14" i="57" s="1"/>
  <c r="AK14" i="57" s="1"/>
  <c r="AK15" i="57" s="1"/>
  <c r="AM16" i="57" s="1"/>
  <c r="AN16" i="57" s="1"/>
  <c r="AO16" i="57" s="1"/>
  <c r="AK16" i="57" s="1"/>
  <c r="AM17" i="57" s="1"/>
  <c r="AN17" i="57" s="1"/>
  <c r="AO17" i="57" s="1"/>
  <c r="AK17" i="57" s="1"/>
  <c r="AM18" i="57" s="1"/>
  <c r="AN18" i="57" s="1"/>
  <c r="AO18" i="57" s="1"/>
  <c r="AK18" i="57" s="1"/>
  <c r="AM19" i="57" s="1"/>
  <c r="AN19" i="57" s="1"/>
  <c r="AO19" i="57" s="1"/>
  <c r="AK19" i="57" s="1"/>
  <c r="AM20" i="57" s="1"/>
  <c r="AN20" i="57" s="1"/>
  <c r="AO20" i="57" s="1"/>
  <c r="AK20" i="57" s="1"/>
  <c r="AM21" i="57" s="1"/>
  <c r="AN21" i="57" s="1"/>
  <c r="AO21" i="57" s="1"/>
  <c r="AK21" i="57" s="1"/>
  <c r="AM22" i="57" s="1"/>
  <c r="AN22" i="57" s="1"/>
  <c r="AO22" i="57" s="1"/>
  <c r="AK22" i="57" s="1"/>
  <c r="AM23" i="57" s="1"/>
  <c r="AN23" i="57" s="1"/>
  <c r="AO23" i="57" s="1"/>
  <c r="AK23" i="57" s="1"/>
  <c r="AK24" i="57" s="1"/>
  <c r="AM25" i="57" s="1"/>
  <c r="AN25" i="57" s="1"/>
  <c r="AO25" i="57" s="1"/>
  <c r="AK25" i="57" s="1"/>
  <c r="AM26" i="57" s="1"/>
  <c r="AN26" i="57" s="1"/>
  <c r="AO26" i="57" s="1"/>
  <c r="AK26" i="57" s="1"/>
  <c r="AM27" i="57" s="1"/>
  <c r="AN27" i="57" s="1"/>
  <c r="AO27" i="57" s="1"/>
  <c r="AK27" i="57" s="1"/>
  <c r="AM28" i="57" s="1"/>
  <c r="AN28" i="57" s="1"/>
  <c r="AO28" i="57" s="1"/>
  <c r="AK28" i="57" s="1"/>
  <c r="AM29" i="57" s="1"/>
  <c r="AN29" i="57" s="1"/>
  <c r="AO29" i="57" s="1"/>
  <c r="AK29" i="57" s="1"/>
  <c r="AM30" i="57" s="1"/>
  <c r="AN30" i="57" s="1"/>
  <c r="AO30" i="57" s="1"/>
  <c r="AK30" i="57" s="1"/>
  <c r="AM31" i="57" s="1"/>
  <c r="AN31" i="57" s="1"/>
  <c r="AO31" i="57" s="1"/>
  <c r="AK31" i="57" s="1"/>
  <c r="AM32" i="57" s="1"/>
  <c r="AN32" i="57" s="1"/>
  <c r="AO32" i="57" s="1"/>
  <c r="AK32" i="57" s="1"/>
  <c r="F7" i="57"/>
  <c r="F8" i="57" s="1"/>
  <c r="F9" i="57" s="1"/>
  <c r="F10" i="57" s="1"/>
  <c r="F11" i="57" s="1"/>
  <c r="F12" i="57" s="1"/>
  <c r="F13" i="57" s="1"/>
  <c r="F14" i="57" s="1"/>
  <c r="F15" i="57" s="1"/>
  <c r="F16" i="57" s="1"/>
  <c r="F17" i="57" s="1"/>
  <c r="F18" i="57" s="1"/>
  <c r="F19" i="57" s="1"/>
  <c r="F20" i="57" s="1"/>
  <c r="F21" i="57" s="1"/>
  <c r="F22" i="57" s="1"/>
  <c r="F23" i="57" s="1"/>
  <c r="F24" i="57" s="1"/>
  <c r="F25" i="57" s="1"/>
  <c r="F26" i="57" s="1"/>
  <c r="F27" i="57" s="1"/>
  <c r="F28" i="57" s="1"/>
  <c r="F29" i="57" s="1"/>
  <c r="F30" i="57" s="1"/>
  <c r="F31" i="57" s="1"/>
  <c r="F32" i="57" s="1"/>
  <c r="F33" i="57" s="1"/>
  <c r="L42" i="57" s="1"/>
  <c r="E7" i="57"/>
  <c r="D15" i="57" s="1"/>
  <c r="D6" i="57"/>
  <c r="G46" i="57" s="1"/>
  <c r="AU1" i="57"/>
  <c r="M71" i="56"/>
  <c r="K71" i="56"/>
  <c r="J71" i="56"/>
  <c r="I71" i="56"/>
  <c r="H71" i="56"/>
  <c r="G71" i="56"/>
  <c r="M70" i="56"/>
  <c r="K70" i="56"/>
  <c r="J70" i="56"/>
  <c r="I70" i="56"/>
  <c r="H70" i="56"/>
  <c r="G70" i="56"/>
  <c r="M69" i="56"/>
  <c r="K69" i="56"/>
  <c r="J69" i="56"/>
  <c r="I69" i="56"/>
  <c r="H69" i="56"/>
  <c r="G69" i="56"/>
  <c r="M68" i="56"/>
  <c r="K68" i="56"/>
  <c r="J68" i="56"/>
  <c r="I68" i="56"/>
  <c r="H68" i="56"/>
  <c r="G68" i="56"/>
  <c r="M67" i="56"/>
  <c r="K67" i="56"/>
  <c r="J67" i="56"/>
  <c r="I67" i="56"/>
  <c r="H67" i="56"/>
  <c r="G67" i="56"/>
  <c r="M66" i="56"/>
  <c r="K66" i="56"/>
  <c r="J66" i="56"/>
  <c r="I66" i="56"/>
  <c r="H66" i="56"/>
  <c r="G66" i="56"/>
  <c r="M65" i="56"/>
  <c r="K65" i="56"/>
  <c r="J65" i="56"/>
  <c r="I65" i="56"/>
  <c r="H65" i="56"/>
  <c r="G65" i="56"/>
  <c r="M64" i="56"/>
  <c r="K64" i="56"/>
  <c r="J64" i="56"/>
  <c r="I64" i="56"/>
  <c r="H64" i="56"/>
  <c r="G64" i="56"/>
  <c r="M63" i="56"/>
  <c r="K63" i="56"/>
  <c r="J63" i="56"/>
  <c r="I63" i="56"/>
  <c r="H63" i="56"/>
  <c r="G63" i="56"/>
  <c r="M62" i="56"/>
  <c r="K62" i="56"/>
  <c r="J62" i="56"/>
  <c r="I62" i="56"/>
  <c r="H62" i="56"/>
  <c r="G62" i="56"/>
  <c r="M61" i="56"/>
  <c r="K61" i="56"/>
  <c r="J61" i="56"/>
  <c r="I61" i="56"/>
  <c r="H61" i="56"/>
  <c r="G61" i="56"/>
  <c r="M60" i="56"/>
  <c r="K60" i="56"/>
  <c r="J60" i="56"/>
  <c r="I60" i="56"/>
  <c r="H60" i="56"/>
  <c r="G60" i="56"/>
  <c r="M59" i="56"/>
  <c r="K59" i="56"/>
  <c r="J59" i="56"/>
  <c r="I59" i="56"/>
  <c r="H59" i="56"/>
  <c r="G59" i="56"/>
  <c r="M58" i="56"/>
  <c r="K58" i="56"/>
  <c r="J58" i="56"/>
  <c r="I58" i="56"/>
  <c r="H58" i="56"/>
  <c r="G58" i="56"/>
  <c r="M57" i="56"/>
  <c r="K57" i="56"/>
  <c r="J57" i="56"/>
  <c r="I57" i="56"/>
  <c r="H57" i="56"/>
  <c r="G57" i="56"/>
  <c r="M56" i="56"/>
  <c r="K56" i="56"/>
  <c r="J56" i="56"/>
  <c r="I56" i="56"/>
  <c r="H56" i="56"/>
  <c r="G56" i="56"/>
  <c r="M55" i="56"/>
  <c r="K55" i="56"/>
  <c r="J55" i="56"/>
  <c r="I55" i="56"/>
  <c r="H55" i="56"/>
  <c r="G55" i="56"/>
  <c r="M54" i="56"/>
  <c r="K54" i="56"/>
  <c r="J54" i="56"/>
  <c r="I54" i="56"/>
  <c r="H54" i="56"/>
  <c r="G54" i="56"/>
  <c r="M53" i="56"/>
  <c r="K53" i="56"/>
  <c r="J53" i="56"/>
  <c r="I53" i="56"/>
  <c r="H53" i="56"/>
  <c r="G53" i="56"/>
  <c r="M52" i="56"/>
  <c r="K52" i="56"/>
  <c r="J52" i="56"/>
  <c r="I52" i="56"/>
  <c r="H52" i="56"/>
  <c r="G52" i="56"/>
  <c r="M51" i="56"/>
  <c r="K51" i="56"/>
  <c r="J51" i="56"/>
  <c r="I51" i="56"/>
  <c r="H51" i="56"/>
  <c r="G51" i="56"/>
  <c r="M50" i="56"/>
  <c r="K50" i="56"/>
  <c r="J50" i="56"/>
  <c r="I50" i="56"/>
  <c r="H50" i="56"/>
  <c r="G50" i="56"/>
  <c r="M49" i="56"/>
  <c r="K49" i="56"/>
  <c r="J49" i="56"/>
  <c r="I49" i="56"/>
  <c r="H49" i="56"/>
  <c r="G49" i="56"/>
  <c r="M48" i="56"/>
  <c r="K48" i="56"/>
  <c r="J48" i="56"/>
  <c r="I48" i="56"/>
  <c r="H48" i="56"/>
  <c r="G48" i="56"/>
  <c r="M47" i="56"/>
  <c r="L47" i="56"/>
  <c r="K47" i="56"/>
  <c r="J47" i="56"/>
  <c r="I47" i="56"/>
  <c r="H47" i="56"/>
  <c r="G47" i="56"/>
  <c r="L46" i="56"/>
  <c r="N46" i="56" s="1"/>
  <c r="H46" i="56"/>
  <c r="E34" i="56"/>
  <c r="AH33" i="56"/>
  <c r="AG33" i="56"/>
  <c r="AF33" i="56"/>
  <c r="AE33" i="56"/>
  <c r="E32" i="56"/>
  <c r="E31" i="56"/>
  <c r="E30" i="56"/>
  <c r="E29" i="56"/>
  <c r="E28" i="56"/>
  <c r="E27" i="56"/>
  <c r="E26" i="56"/>
  <c r="E25" i="56"/>
  <c r="D33" i="56" s="1"/>
  <c r="AH24" i="56"/>
  <c r="AG24" i="56"/>
  <c r="AF24" i="56"/>
  <c r="AE24" i="56"/>
  <c r="E23" i="56"/>
  <c r="E22" i="56"/>
  <c r="E21" i="56"/>
  <c r="E20" i="56"/>
  <c r="E19" i="56"/>
  <c r="E18" i="56"/>
  <c r="E17" i="56"/>
  <c r="E16" i="56"/>
  <c r="D24" i="56" s="1"/>
  <c r="AH15" i="56"/>
  <c r="AG15" i="56"/>
  <c r="AF15" i="56"/>
  <c r="AE15" i="56"/>
  <c r="AD15" i="56"/>
  <c r="Q15" i="56"/>
  <c r="O15" i="56"/>
  <c r="N15" i="56"/>
  <c r="M15" i="56"/>
  <c r="L15" i="56"/>
  <c r="K15" i="56"/>
  <c r="J15" i="56"/>
  <c r="I15" i="56"/>
  <c r="G15" i="56"/>
  <c r="E14" i="56"/>
  <c r="E13" i="56"/>
  <c r="E12" i="56"/>
  <c r="E11" i="56"/>
  <c r="E10" i="56"/>
  <c r="E9" i="56"/>
  <c r="E8" i="56"/>
  <c r="AM7" i="56"/>
  <c r="AN7" i="56" s="1"/>
  <c r="AO7" i="56" s="1"/>
  <c r="AK7" i="56"/>
  <c r="AM8" i="56" s="1"/>
  <c r="AN8" i="56" s="1"/>
  <c r="AO8" i="56" s="1"/>
  <c r="AK8" i="56" s="1"/>
  <c r="AM9" i="56" s="1"/>
  <c r="AN9" i="56" s="1"/>
  <c r="AO9" i="56" s="1"/>
  <c r="AK9" i="56" s="1"/>
  <c r="AM10" i="56" s="1"/>
  <c r="AN10" i="56" s="1"/>
  <c r="AO10" i="56" s="1"/>
  <c r="AK10" i="56" s="1"/>
  <c r="AM11" i="56" s="1"/>
  <c r="AN11" i="56" s="1"/>
  <c r="AO11" i="56" s="1"/>
  <c r="AK11" i="56" s="1"/>
  <c r="AM12" i="56" s="1"/>
  <c r="AN12" i="56" s="1"/>
  <c r="AO12" i="56" s="1"/>
  <c r="AK12" i="56" s="1"/>
  <c r="AM13" i="56" s="1"/>
  <c r="AN13" i="56" s="1"/>
  <c r="AO13" i="56" s="1"/>
  <c r="AK13" i="56" s="1"/>
  <c r="AM14" i="56" s="1"/>
  <c r="AN14" i="56" s="1"/>
  <c r="AO14" i="56" s="1"/>
  <c r="AK14" i="56" s="1"/>
  <c r="AK15" i="56" s="1"/>
  <c r="AM16" i="56" s="1"/>
  <c r="AN16" i="56" s="1"/>
  <c r="AO16" i="56" s="1"/>
  <c r="AK16" i="56" s="1"/>
  <c r="AM17" i="56" s="1"/>
  <c r="AN17" i="56" s="1"/>
  <c r="AO17" i="56" s="1"/>
  <c r="AK17" i="56" s="1"/>
  <c r="AM18" i="56" s="1"/>
  <c r="AN18" i="56" s="1"/>
  <c r="AO18" i="56" s="1"/>
  <c r="AK18" i="56" s="1"/>
  <c r="AM19" i="56" s="1"/>
  <c r="AN19" i="56" s="1"/>
  <c r="AO19" i="56" s="1"/>
  <c r="AK19" i="56" s="1"/>
  <c r="AM20" i="56" s="1"/>
  <c r="AN20" i="56" s="1"/>
  <c r="AO20" i="56" s="1"/>
  <c r="AK20" i="56" s="1"/>
  <c r="AM21" i="56" s="1"/>
  <c r="AN21" i="56" s="1"/>
  <c r="AO21" i="56" s="1"/>
  <c r="AK21" i="56" s="1"/>
  <c r="AM22" i="56" s="1"/>
  <c r="AN22" i="56" s="1"/>
  <c r="AO22" i="56" s="1"/>
  <c r="AK22" i="56" s="1"/>
  <c r="AM23" i="56" s="1"/>
  <c r="AN23" i="56" s="1"/>
  <c r="AO23" i="56" s="1"/>
  <c r="AK23" i="56" s="1"/>
  <c r="AK24" i="56" s="1"/>
  <c r="AM25" i="56" s="1"/>
  <c r="AN25" i="56" s="1"/>
  <c r="AO25" i="56" s="1"/>
  <c r="AK25" i="56" s="1"/>
  <c r="AM26" i="56" s="1"/>
  <c r="AN26" i="56" s="1"/>
  <c r="AO26" i="56" s="1"/>
  <c r="AK26" i="56" s="1"/>
  <c r="AM27" i="56" s="1"/>
  <c r="AN27" i="56" s="1"/>
  <c r="AO27" i="56" s="1"/>
  <c r="AK27" i="56" s="1"/>
  <c r="AM28" i="56" s="1"/>
  <c r="AN28" i="56" s="1"/>
  <c r="AO28" i="56" s="1"/>
  <c r="AK28" i="56" s="1"/>
  <c r="AM29" i="56" s="1"/>
  <c r="AN29" i="56" s="1"/>
  <c r="AO29" i="56" s="1"/>
  <c r="AK29" i="56" s="1"/>
  <c r="AM30" i="56" s="1"/>
  <c r="AN30" i="56" s="1"/>
  <c r="AO30" i="56" s="1"/>
  <c r="AK30" i="56" s="1"/>
  <c r="AM31" i="56" s="1"/>
  <c r="AN31" i="56" s="1"/>
  <c r="AO31" i="56" s="1"/>
  <c r="AK31" i="56" s="1"/>
  <c r="AM32" i="56" s="1"/>
  <c r="AN32" i="56" s="1"/>
  <c r="AO32" i="56" s="1"/>
  <c r="AK32" i="56" s="1"/>
  <c r="F7" i="56"/>
  <c r="F8" i="56" s="1"/>
  <c r="F9" i="56" s="1"/>
  <c r="F10" i="56" s="1"/>
  <c r="F11" i="56" s="1"/>
  <c r="F12" i="56" s="1"/>
  <c r="F13" i="56" s="1"/>
  <c r="F14" i="56" s="1"/>
  <c r="F15" i="56" s="1"/>
  <c r="F16" i="56" s="1"/>
  <c r="F17" i="56" s="1"/>
  <c r="F18" i="56" s="1"/>
  <c r="F19" i="56" s="1"/>
  <c r="F20" i="56" s="1"/>
  <c r="F21" i="56" s="1"/>
  <c r="F22" i="56" s="1"/>
  <c r="F23" i="56" s="1"/>
  <c r="F24" i="56" s="1"/>
  <c r="F25" i="56" s="1"/>
  <c r="F26" i="56" s="1"/>
  <c r="F27" i="56" s="1"/>
  <c r="F28" i="56" s="1"/>
  <c r="F29" i="56" s="1"/>
  <c r="F30" i="56" s="1"/>
  <c r="F31" i="56" s="1"/>
  <c r="F32" i="56" s="1"/>
  <c r="F33" i="56" s="1"/>
  <c r="L42" i="56" s="1"/>
  <c r="E7" i="56"/>
  <c r="D15" i="56" s="1"/>
  <c r="G46" i="56"/>
  <c r="AU1" i="56"/>
  <c r="M71" i="52"/>
  <c r="K71" i="52"/>
  <c r="J71" i="52"/>
  <c r="I71" i="52"/>
  <c r="H71" i="52"/>
  <c r="G71" i="52"/>
  <c r="M70" i="52"/>
  <c r="K70" i="52"/>
  <c r="J70" i="52"/>
  <c r="I70" i="52"/>
  <c r="H70" i="52"/>
  <c r="G70" i="52"/>
  <c r="M69" i="52"/>
  <c r="K69" i="52"/>
  <c r="J69" i="52"/>
  <c r="I69" i="52"/>
  <c r="H69" i="52"/>
  <c r="G69" i="52"/>
  <c r="M68" i="52"/>
  <c r="K68" i="52"/>
  <c r="J68" i="52"/>
  <c r="I68" i="52"/>
  <c r="H68" i="52"/>
  <c r="G68" i="52"/>
  <c r="M67" i="52"/>
  <c r="K67" i="52"/>
  <c r="J67" i="52"/>
  <c r="I67" i="52"/>
  <c r="H67" i="52"/>
  <c r="G67" i="52"/>
  <c r="M66" i="52"/>
  <c r="K66" i="52"/>
  <c r="J66" i="52"/>
  <c r="I66" i="52"/>
  <c r="H66" i="52"/>
  <c r="G66" i="52"/>
  <c r="M65" i="52"/>
  <c r="K65" i="52"/>
  <c r="J65" i="52"/>
  <c r="I65" i="52"/>
  <c r="H65" i="52"/>
  <c r="G65" i="52"/>
  <c r="M64" i="52"/>
  <c r="K64" i="52"/>
  <c r="J64" i="52"/>
  <c r="I64" i="52"/>
  <c r="H64" i="52"/>
  <c r="G64" i="52"/>
  <c r="M63" i="52"/>
  <c r="K63" i="52"/>
  <c r="J63" i="52"/>
  <c r="I63" i="52"/>
  <c r="H63" i="52"/>
  <c r="G63" i="52"/>
  <c r="M62" i="52"/>
  <c r="K62" i="52"/>
  <c r="J62" i="52"/>
  <c r="I62" i="52"/>
  <c r="H62" i="52"/>
  <c r="G62" i="52"/>
  <c r="M61" i="52"/>
  <c r="K61" i="52"/>
  <c r="J61" i="52"/>
  <c r="I61" i="52"/>
  <c r="H61" i="52"/>
  <c r="G61" i="52"/>
  <c r="M60" i="52"/>
  <c r="K60" i="52"/>
  <c r="J60" i="52"/>
  <c r="I60" i="52"/>
  <c r="H60" i="52"/>
  <c r="G60" i="52"/>
  <c r="M59" i="52"/>
  <c r="K59" i="52"/>
  <c r="J59" i="52"/>
  <c r="I59" i="52"/>
  <c r="H59" i="52"/>
  <c r="G59" i="52"/>
  <c r="M58" i="52"/>
  <c r="K58" i="52"/>
  <c r="J58" i="52"/>
  <c r="I58" i="52"/>
  <c r="H58" i="52"/>
  <c r="G58" i="52"/>
  <c r="M57" i="52"/>
  <c r="K57" i="52"/>
  <c r="J57" i="52"/>
  <c r="I57" i="52"/>
  <c r="H57" i="52"/>
  <c r="G57" i="52"/>
  <c r="M56" i="52"/>
  <c r="K56" i="52"/>
  <c r="J56" i="52"/>
  <c r="I56" i="52"/>
  <c r="H56" i="52"/>
  <c r="G56" i="52"/>
  <c r="M55" i="52"/>
  <c r="K55" i="52"/>
  <c r="J55" i="52"/>
  <c r="I55" i="52"/>
  <c r="H55" i="52"/>
  <c r="G55" i="52"/>
  <c r="M54" i="52"/>
  <c r="K54" i="52"/>
  <c r="J54" i="52"/>
  <c r="I54" i="52"/>
  <c r="H54" i="52"/>
  <c r="G54" i="52"/>
  <c r="M53" i="52"/>
  <c r="K53" i="52"/>
  <c r="J53" i="52"/>
  <c r="I53" i="52"/>
  <c r="H53" i="52"/>
  <c r="G53" i="52"/>
  <c r="M52" i="52"/>
  <c r="K52" i="52"/>
  <c r="J52" i="52"/>
  <c r="I52" i="52"/>
  <c r="H52" i="52"/>
  <c r="G52" i="52"/>
  <c r="M51" i="52"/>
  <c r="K51" i="52"/>
  <c r="J51" i="52"/>
  <c r="I51" i="52"/>
  <c r="H51" i="52"/>
  <c r="G51" i="52"/>
  <c r="M50" i="52"/>
  <c r="K50" i="52"/>
  <c r="J50" i="52"/>
  <c r="I50" i="52"/>
  <c r="H50" i="52"/>
  <c r="G50" i="52"/>
  <c r="M49" i="52"/>
  <c r="K49" i="52"/>
  <c r="J49" i="52"/>
  <c r="I49" i="52"/>
  <c r="H49" i="52"/>
  <c r="G49" i="52"/>
  <c r="M48" i="52"/>
  <c r="K48" i="52"/>
  <c r="J48" i="52"/>
  <c r="I48" i="52"/>
  <c r="H48" i="52"/>
  <c r="G48" i="52"/>
  <c r="M47" i="52"/>
  <c r="L47" i="52"/>
  <c r="K47" i="52"/>
  <c r="J47" i="52"/>
  <c r="I47" i="52"/>
  <c r="H47" i="52"/>
  <c r="G47" i="52"/>
  <c r="L46" i="52"/>
  <c r="N46" i="52" s="1"/>
  <c r="H46" i="52"/>
  <c r="E34" i="52"/>
  <c r="AH33" i="52"/>
  <c r="AG33" i="52"/>
  <c r="AF33" i="52"/>
  <c r="AE33" i="52"/>
  <c r="E32" i="52"/>
  <c r="E31" i="52"/>
  <c r="E30" i="52"/>
  <c r="E29" i="52"/>
  <c r="E28" i="52"/>
  <c r="E27" i="52"/>
  <c r="E26" i="52"/>
  <c r="E25" i="52"/>
  <c r="D33" i="52" s="1"/>
  <c r="AH24" i="52"/>
  <c r="AG24" i="52"/>
  <c r="AF24" i="52"/>
  <c r="AE24" i="52"/>
  <c r="E18" i="52"/>
  <c r="E17" i="52"/>
  <c r="E16" i="52"/>
  <c r="D24" i="52" s="1"/>
  <c r="AH15" i="52"/>
  <c r="AG15" i="52"/>
  <c r="AF15" i="52"/>
  <c r="AE15" i="52"/>
  <c r="AD15" i="52"/>
  <c r="Q15" i="52"/>
  <c r="O15" i="52"/>
  <c r="N15" i="52"/>
  <c r="M15" i="52"/>
  <c r="L15" i="52"/>
  <c r="K15" i="52"/>
  <c r="J15" i="52"/>
  <c r="I15" i="52"/>
  <c r="G15" i="52"/>
  <c r="E14" i="52"/>
  <c r="E13" i="52"/>
  <c r="E12" i="52"/>
  <c r="E11" i="52"/>
  <c r="E10" i="52"/>
  <c r="E9" i="52"/>
  <c r="E8" i="52"/>
  <c r="AM7" i="52"/>
  <c r="AN7" i="52" s="1"/>
  <c r="AO7" i="52" s="1"/>
  <c r="AK7" i="52"/>
  <c r="AM8" i="52" s="1"/>
  <c r="AN8" i="52" s="1"/>
  <c r="AO8" i="52" s="1"/>
  <c r="AK8" i="52" s="1"/>
  <c r="AM9" i="52" s="1"/>
  <c r="AN9" i="52" s="1"/>
  <c r="AO9" i="52" s="1"/>
  <c r="AK9" i="52" s="1"/>
  <c r="AM10" i="52" s="1"/>
  <c r="AN10" i="52" s="1"/>
  <c r="AO10" i="52" s="1"/>
  <c r="AK10" i="52" s="1"/>
  <c r="AM11" i="52" s="1"/>
  <c r="AN11" i="52" s="1"/>
  <c r="AO11" i="52" s="1"/>
  <c r="AK11" i="52" s="1"/>
  <c r="AM12" i="52" s="1"/>
  <c r="AN12" i="52" s="1"/>
  <c r="AO12" i="52" s="1"/>
  <c r="AK12" i="52" s="1"/>
  <c r="AM13" i="52" s="1"/>
  <c r="AN13" i="52" s="1"/>
  <c r="AO13" i="52" s="1"/>
  <c r="AK13" i="52" s="1"/>
  <c r="AM14" i="52" s="1"/>
  <c r="AN14" i="52" s="1"/>
  <c r="AO14" i="52" s="1"/>
  <c r="AK14" i="52" s="1"/>
  <c r="AK15" i="52" s="1"/>
  <c r="AM16" i="52" s="1"/>
  <c r="AN16" i="52" s="1"/>
  <c r="AO16" i="52" s="1"/>
  <c r="AK16" i="52" s="1"/>
  <c r="AM17" i="52" s="1"/>
  <c r="AN17" i="52" s="1"/>
  <c r="AO17" i="52" s="1"/>
  <c r="AK17" i="52" s="1"/>
  <c r="AM18" i="52" s="1"/>
  <c r="AN18" i="52" s="1"/>
  <c r="AO18" i="52" s="1"/>
  <c r="AK18" i="52" s="1"/>
  <c r="AM19" i="52" s="1"/>
  <c r="AN19" i="52" s="1"/>
  <c r="AO19" i="52" s="1"/>
  <c r="AK19" i="52" s="1"/>
  <c r="AM20" i="52" s="1"/>
  <c r="AN20" i="52" s="1"/>
  <c r="AO20" i="52" s="1"/>
  <c r="AK20" i="52" s="1"/>
  <c r="AM21" i="52" s="1"/>
  <c r="AN21" i="52" s="1"/>
  <c r="AO21" i="52" s="1"/>
  <c r="AM22" i="52" s="1"/>
  <c r="AN22" i="52" s="1"/>
  <c r="AO22" i="52" s="1"/>
  <c r="AM23" i="52" s="1"/>
  <c r="AN23" i="52" s="1"/>
  <c r="AO23" i="52" s="1"/>
  <c r="AM25" i="52" s="1"/>
  <c r="AN25" i="52" s="1"/>
  <c r="AO25" i="52" s="1"/>
  <c r="F7" i="52"/>
  <c r="F8" i="52" s="1"/>
  <c r="F9" i="52" s="1"/>
  <c r="F10" i="52" s="1"/>
  <c r="F11" i="52" s="1"/>
  <c r="F12" i="52" s="1"/>
  <c r="F13" i="52" s="1"/>
  <c r="F14" i="52" s="1"/>
  <c r="F15" i="52" s="1"/>
  <c r="F16" i="52" s="1"/>
  <c r="F17" i="52" s="1"/>
  <c r="F18" i="52" s="1"/>
  <c r="F19" i="52" s="1"/>
  <c r="F20" i="52" s="1"/>
  <c r="F21" i="52" s="1"/>
  <c r="F22" i="52" s="1"/>
  <c r="F23" i="52" s="1"/>
  <c r="F24" i="52" s="1"/>
  <c r="F25" i="52" s="1"/>
  <c r="F26" i="52" s="1"/>
  <c r="F27" i="52" s="1"/>
  <c r="F28" i="52" s="1"/>
  <c r="F29" i="52" s="1"/>
  <c r="F30" i="52" s="1"/>
  <c r="F31" i="52" s="1"/>
  <c r="F32" i="52" s="1"/>
  <c r="F33" i="52" s="1"/>
  <c r="L42" i="52" s="1"/>
  <c r="E7" i="52"/>
  <c r="D15" i="52" s="1"/>
  <c r="G46" i="52"/>
  <c r="AU1" i="52"/>
  <c r="M71" i="51"/>
  <c r="K71" i="51"/>
  <c r="J71" i="51"/>
  <c r="I71" i="51"/>
  <c r="H71" i="51"/>
  <c r="G71" i="51"/>
  <c r="M70" i="51"/>
  <c r="K70" i="51"/>
  <c r="J70" i="51"/>
  <c r="I70" i="51"/>
  <c r="H70" i="51"/>
  <c r="G70" i="51"/>
  <c r="M69" i="51"/>
  <c r="K69" i="51"/>
  <c r="J69" i="51"/>
  <c r="I69" i="51"/>
  <c r="H69" i="51"/>
  <c r="G69" i="51"/>
  <c r="M68" i="51"/>
  <c r="K68" i="51"/>
  <c r="J68" i="51"/>
  <c r="I68" i="51"/>
  <c r="H68" i="51"/>
  <c r="G68" i="51"/>
  <c r="M67" i="51"/>
  <c r="K67" i="51"/>
  <c r="J67" i="51"/>
  <c r="I67" i="51"/>
  <c r="H67" i="51"/>
  <c r="G67" i="51"/>
  <c r="M66" i="51"/>
  <c r="K66" i="51"/>
  <c r="J66" i="51"/>
  <c r="I66" i="51"/>
  <c r="H66" i="51"/>
  <c r="G66" i="51"/>
  <c r="M65" i="51"/>
  <c r="K65" i="51"/>
  <c r="J65" i="51"/>
  <c r="I65" i="51"/>
  <c r="H65" i="51"/>
  <c r="G65" i="51"/>
  <c r="M64" i="51"/>
  <c r="K64" i="51"/>
  <c r="J64" i="51"/>
  <c r="I64" i="51"/>
  <c r="H64" i="51"/>
  <c r="G64" i="51"/>
  <c r="M63" i="51"/>
  <c r="K63" i="51"/>
  <c r="J63" i="51"/>
  <c r="I63" i="51"/>
  <c r="H63" i="51"/>
  <c r="G63" i="51"/>
  <c r="M62" i="51"/>
  <c r="K62" i="51"/>
  <c r="J62" i="51"/>
  <c r="I62" i="51"/>
  <c r="H62" i="51"/>
  <c r="G62" i="51"/>
  <c r="M61" i="51"/>
  <c r="K61" i="51"/>
  <c r="J61" i="51"/>
  <c r="I61" i="51"/>
  <c r="H61" i="51"/>
  <c r="G61" i="51"/>
  <c r="M60" i="51"/>
  <c r="K60" i="51"/>
  <c r="J60" i="51"/>
  <c r="I60" i="51"/>
  <c r="H60" i="51"/>
  <c r="G60" i="51"/>
  <c r="M59" i="51"/>
  <c r="K59" i="51"/>
  <c r="J59" i="51"/>
  <c r="I59" i="51"/>
  <c r="H59" i="51"/>
  <c r="G59" i="51"/>
  <c r="M58" i="51"/>
  <c r="K58" i="51"/>
  <c r="J58" i="51"/>
  <c r="I58" i="51"/>
  <c r="H58" i="51"/>
  <c r="G58" i="51"/>
  <c r="M57" i="51"/>
  <c r="K57" i="51"/>
  <c r="J57" i="51"/>
  <c r="I57" i="51"/>
  <c r="H57" i="51"/>
  <c r="G57" i="51"/>
  <c r="M56" i="51"/>
  <c r="K56" i="51"/>
  <c r="J56" i="51"/>
  <c r="I56" i="51"/>
  <c r="H56" i="51"/>
  <c r="G56" i="51"/>
  <c r="M55" i="51"/>
  <c r="K55" i="51"/>
  <c r="J55" i="51"/>
  <c r="I55" i="51"/>
  <c r="H55" i="51"/>
  <c r="G55" i="51"/>
  <c r="K54" i="51"/>
  <c r="J54" i="51"/>
  <c r="I54" i="51"/>
  <c r="H54" i="51"/>
  <c r="G54" i="51"/>
  <c r="M53" i="51"/>
  <c r="K53" i="51"/>
  <c r="J53" i="51"/>
  <c r="I53" i="51"/>
  <c r="H53" i="51"/>
  <c r="G53" i="51"/>
  <c r="M52" i="51"/>
  <c r="K52" i="51"/>
  <c r="J52" i="51"/>
  <c r="I52" i="51"/>
  <c r="H52" i="51"/>
  <c r="G52" i="51"/>
  <c r="M51" i="51"/>
  <c r="K51" i="51"/>
  <c r="J51" i="51"/>
  <c r="I51" i="51"/>
  <c r="H51" i="51"/>
  <c r="G51" i="51"/>
  <c r="M50" i="51"/>
  <c r="K50" i="51"/>
  <c r="J50" i="51"/>
  <c r="I50" i="51"/>
  <c r="H50" i="51"/>
  <c r="G50" i="51"/>
  <c r="M49" i="51"/>
  <c r="K49" i="51"/>
  <c r="J49" i="51"/>
  <c r="I49" i="51"/>
  <c r="H49" i="51"/>
  <c r="G49" i="51"/>
  <c r="M48" i="51"/>
  <c r="K48" i="51"/>
  <c r="J48" i="51"/>
  <c r="I48" i="51"/>
  <c r="H48" i="51"/>
  <c r="G48" i="51"/>
  <c r="M47" i="51"/>
  <c r="L47" i="51"/>
  <c r="K47" i="51"/>
  <c r="J47" i="51"/>
  <c r="I47" i="51"/>
  <c r="H47" i="51"/>
  <c r="G47" i="51"/>
  <c r="L46" i="51"/>
  <c r="N46" i="51" s="1"/>
  <c r="H46" i="51"/>
  <c r="AH33" i="51"/>
  <c r="AG33" i="51"/>
  <c r="AF33" i="51"/>
  <c r="AE33" i="51"/>
  <c r="E32" i="51"/>
  <c r="E30" i="51"/>
  <c r="E29" i="51"/>
  <c r="E28" i="51"/>
  <c r="E27" i="51"/>
  <c r="E26" i="51"/>
  <c r="E25" i="51"/>
  <c r="D33" i="51" s="1"/>
  <c r="AH24" i="51"/>
  <c r="AG24" i="51"/>
  <c r="AF24" i="51"/>
  <c r="AE24" i="51"/>
  <c r="D24" i="51"/>
  <c r="AH15" i="51"/>
  <c r="AG15" i="51"/>
  <c r="AF15" i="51"/>
  <c r="AE15" i="51"/>
  <c r="AD15" i="51"/>
  <c r="Q15" i="51"/>
  <c r="O15" i="51"/>
  <c r="N15" i="51"/>
  <c r="M15" i="51"/>
  <c r="L15" i="51"/>
  <c r="K15" i="51"/>
  <c r="J15" i="51"/>
  <c r="I15" i="51"/>
  <c r="G15" i="51"/>
  <c r="E14" i="51"/>
  <c r="E13" i="51"/>
  <c r="E12" i="51"/>
  <c r="E11" i="51"/>
  <c r="E10" i="51"/>
  <c r="E9" i="51"/>
  <c r="E8" i="51"/>
  <c r="AM7" i="51"/>
  <c r="AN7" i="51" s="1"/>
  <c r="AO7" i="51" s="1"/>
  <c r="AK7" i="51"/>
  <c r="AM8" i="51" s="1"/>
  <c r="AN8" i="51" s="1"/>
  <c r="AO8" i="51" s="1"/>
  <c r="AK8" i="51" s="1"/>
  <c r="AM9" i="51" s="1"/>
  <c r="AN9" i="51" s="1"/>
  <c r="AO9" i="51" s="1"/>
  <c r="AK9" i="51" s="1"/>
  <c r="AM10" i="51" s="1"/>
  <c r="AN10" i="51" s="1"/>
  <c r="AO10" i="51" s="1"/>
  <c r="AK10" i="51" s="1"/>
  <c r="AM11" i="51" s="1"/>
  <c r="AN11" i="51" s="1"/>
  <c r="AO11" i="51" s="1"/>
  <c r="AK11" i="51" s="1"/>
  <c r="AM12" i="51" s="1"/>
  <c r="AN12" i="51" s="1"/>
  <c r="AO12" i="51" s="1"/>
  <c r="AK12" i="51" s="1"/>
  <c r="AM13" i="51" s="1"/>
  <c r="AN13" i="51" s="1"/>
  <c r="AO13" i="51" s="1"/>
  <c r="AK13" i="51" s="1"/>
  <c r="AM14" i="51" s="1"/>
  <c r="AN14" i="51" s="1"/>
  <c r="AO14" i="51" s="1"/>
  <c r="AK14" i="51" s="1"/>
  <c r="AK15" i="51" s="1"/>
  <c r="AM16" i="51" s="1"/>
  <c r="AN16" i="51" s="1"/>
  <c r="AO16" i="51" s="1"/>
  <c r="AK16" i="51" s="1"/>
  <c r="AM17" i="51" s="1"/>
  <c r="AN17" i="51" s="1"/>
  <c r="AO17" i="51" s="1"/>
  <c r="AK17" i="51" s="1"/>
  <c r="AM18" i="51" s="1"/>
  <c r="AN18" i="51" s="1"/>
  <c r="AO18" i="51" s="1"/>
  <c r="AK18" i="51" s="1"/>
  <c r="AM19" i="51" s="1"/>
  <c r="AN19" i="51" s="1"/>
  <c r="AO19" i="51" s="1"/>
  <c r="AK19" i="51" s="1"/>
  <c r="AM20" i="51" s="1"/>
  <c r="AN20" i="51" s="1"/>
  <c r="AO20" i="51" s="1"/>
  <c r="AK20" i="51" s="1"/>
  <c r="AM21" i="51" s="1"/>
  <c r="AN21" i="51" s="1"/>
  <c r="AO21" i="51" s="1"/>
  <c r="AK21" i="51" s="1"/>
  <c r="AM22" i="51" s="1"/>
  <c r="AN22" i="51" s="1"/>
  <c r="AO22" i="51" s="1"/>
  <c r="AK22" i="51" s="1"/>
  <c r="AM23" i="51" s="1"/>
  <c r="AN23" i="51" s="1"/>
  <c r="AO23" i="51" s="1"/>
  <c r="AK23" i="51" s="1"/>
  <c r="AK24" i="51" s="1"/>
  <c r="AM25" i="51" s="1"/>
  <c r="AN25" i="51" s="1"/>
  <c r="AO25" i="51" s="1"/>
  <c r="AK25" i="51" s="1"/>
  <c r="AM26" i="51" s="1"/>
  <c r="AN26" i="51" s="1"/>
  <c r="AO26" i="51" s="1"/>
  <c r="AK26" i="51" s="1"/>
  <c r="AM27" i="51" s="1"/>
  <c r="AN27" i="51" s="1"/>
  <c r="AO27" i="51" s="1"/>
  <c r="AK27" i="51" s="1"/>
  <c r="AM28" i="51" s="1"/>
  <c r="AN28" i="51" s="1"/>
  <c r="AO28" i="51" s="1"/>
  <c r="AK28" i="51" s="1"/>
  <c r="AM29" i="51" s="1"/>
  <c r="AN29" i="51" s="1"/>
  <c r="AO29" i="51" s="1"/>
  <c r="AK29" i="51" s="1"/>
  <c r="AM30" i="51" s="1"/>
  <c r="AN30" i="51" s="1"/>
  <c r="AO30" i="51" s="1"/>
  <c r="AK30" i="51" s="1"/>
  <c r="AM31" i="51" s="1"/>
  <c r="AN31" i="51" s="1"/>
  <c r="AO31" i="51" s="1"/>
  <c r="AK31" i="51" s="1"/>
  <c r="AM32" i="51" s="1"/>
  <c r="AN32" i="51" s="1"/>
  <c r="AO32" i="51" s="1"/>
  <c r="AK32" i="51" s="1"/>
  <c r="F7" i="51"/>
  <c r="F8" i="51" s="1"/>
  <c r="F9" i="51" s="1"/>
  <c r="F10" i="51" s="1"/>
  <c r="F11" i="51" s="1"/>
  <c r="F12" i="51" s="1"/>
  <c r="F13" i="51" s="1"/>
  <c r="F14" i="51" s="1"/>
  <c r="F15" i="51" s="1"/>
  <c r="F16" i="51" s="1"/>
  <c r="F17" i="51" s="1"/>
  <c r="F18" i="51" s="1"/>
  <c r="F19" i="51" s="1"/>
  <c r="F20" i="51" s="1"/>
  <c r="F21" i="51" s="1"/>
  <c r="F22" i="51" s="1"/>
  <c r="F23" i="51" s="1"/>
  <c r="F24" i="51" s="1"/>
  <c r="F25" i="51" s="1"/>
  <c r="F26" i="51" s="1"/>
  <c r="F27" i="51" s="1"/>
  <c r="F28" i="51" s="1"/>
  <c r="F29" i="51" s="1"/>
  <c r="F30" i="51" s="1"/>
  <c r="F31" i="51" s="1"/>
  <c r="F32" i="51" s="1"/>
  <c r="F33" i="51" s="1"/>
  <c r="L42" i="51" s="1"/>
  <c r="E7" i="51"/>
  <c r="D15" i="51" s="1"/>
  <c r="G46" i="51"/>
  <c r="AU1" i="51"/>
  <c r="M71" i="50"/>
  <c r="K71" i="50"/>
  <c r="J71" i="50"/>
  <c r="I71" i="50"/>
  <c r="H71" i="50"/>
  <c r="G71" i="50"/>
  <c r="M70" i="50"/>
  <c r="K70" i="50"/>
  <c r="J70" i="50"/>
  <c r="I70" i="50"/>
  <c r="H70" i="50"/>
  <c r="G70" i="50"/>
  <c r="M69" i="50"/>
  <c r="K69" i="50"/>
  <c r="J69" i="50"/>
  <c r="I69" i="50"/>
  <c r="H69" i="50"/>
  <c r="G69" i="50"/>
  <c r="M68" i="50"/>
  <c r="K68" i="50"/>
  <c r="J68" i="50"/>
  <c r="I68" i="50"/>
  <c r="H68" i="50"/>
  <c r="G68" i="50"/>
  <c r="M67" i="50"/>
  <c r="K67" i="50"/>
  <c r="J67" i="50"/>
  <c r="I67" i="50"/>
  <c r="H67" i="50"/>
  <c r="G67" i="50"/>
  <c r="M66" i="50"/>
  <c r="K66" i="50"/>
  <c r="J66" i="50"/>
  <c r="I66" i="50"/>
  <c r="H66" i="50"/>
  <c r="G66" i="50"/>
  <c r="M65" i="50"/>
  <c r="K65" i="50"/>
  <c r="J65" i="50"/>
  <c r="I65" i="50"/>
  <c r="H65" i="50"/>
  <c r="G65" i="50"/>
  <c r="M64" i="50"/>
  <c r="K64" i="50"/>
  <c r="J64" i="50"/>
  <c r="I64" i="50"/>
  <c r="H64" i="50"/>
  <c r="G64" i="50"/>
  <c r="M63" i="50"/>
  <c r="K63" i="50"/>
  <c r="J63" i="50"/>
  <c r="I63" i="50"/>
  <c r="H63" i="50"/>
  <c r="G63" i="50"/>
  <c r="M62" i="50"/>
  <c r="K62" i="50"/>
  <c r="J62" i="50"/>
  <c r="I62" i="50"/>
  <c r="H62" i="50"/>
  <c r="G62" i="50"/>
  <c r="M61" i="50"/>
  <c r="K61" i="50"/>
  <c r="J61" i="50"/>
  <c r="I61" i="50"/>
  <c r="H61" i="50"/>
  <c r="G61" i="50"/>
  <c r="M60" i="50"/>
  <c r="K60" i="50"/>
  <c r="J60" i="50"/>
  <c r="I60" i="50"/>
  <c r="H60" i="50"/>
  <c r="G60" i="50"/>
  <c r="M59" i="50"/>
  <c r="K59" i="50"/>
  <c r="J59" i="50"/>
  <c r="I59" i="50"/>
  <c r="H59" i="50"/>
  <c r="G59" i="50"/>
  <c r="M58" i="50"/>
  <c r="K58" i="50"/>
  <c r="J58" i="50"/>
  <c r="I58" i="50"/>
  <c r="H58" i="50"/>
  <c r="G58" i="50"/>
  <c r="M57" i="50"/>
  <c r="K57" i="50"/>
  <c r="J57" i="50"/>
  <c r="I57" i="50"/>
  <c r="H57" i="50"/>
  <c r="G57" i="50"/>
  <c r="M56" i="50"/>
  <c r="K56" i="50"/>
  <c r="J56" i="50"/>
  <c r="I56" i="50"/>
  <c r="H56" i="50"/>
  <c r="G56" i="50"/>
  <c r="M55" i="50"/>
  <c r="K55" i="50"/>
  <c r="J55" i="50"/>
  <c r="I55" i="50"/>
  <c r="H55" i="50"/>
  <c r="G55" i="50"/>
  <c r="M54" i="50"/>
  <c r="K54" i="50"/>
  <c r="J54" i="50"/>
  <c r="I54" i="50"/>
  <c r="H54" i="50"/>
  <c r="G54" i="50"/>
  <c r="M53" i="50"/>
  <c r="K53" i="50"/>
  <c r="J53" i="50"/>
  <c r="I53" i="50"/>
  <c r="H53" i="50"/>
  <c r="G53" i="50"/>
  <c r="M52" i="50"/>
  <c r="K52" i="50"/>
  <c r="J52" i="50"/>
  <c r="I52" i="50"/>
  <c r="H52" i="50"/>
  <c r="G52" i="50"/>
  <c r="M51" i="50"/>
  <c r="K51" i="50"/>
  <c r="J51" i="50"/>
  <c r="I51" i="50"/>
  <c r="H51" i="50"/>
  <c r="G51" i="50"/>
  <c r="M50" i="50"/>
  <c r="K50" i="50"/>
  <c r="J50" i="50"/>
  <c r="I50" i="50"/>
  <c r="H50" i="50"/>
  <c r="G50" i="50"/>
  <c r="M49" i="50"/>
  <c r="K49" i="50"/>
  <c r="J49" i="50"/>
  <c r="I49" i="50"/>
  <c r="H49" i="50"/>
  <c r="G49" i="50"/>
  <c r="M48" i="50"/>
  <c r="K48" i="50"/>
  <c r="J48" i="50"/>
  <c r="I48" i="50"/>
  <c r="H48" i="50"/>
  <c r="G48" i="50"/>
  <c r="M47" i="50"/>
  <c r="L47" i="50"/>
  <c r="K47" i="50"/>
  <c r="J47" i="50"/>
  <c r="I47" i="50"/>
  <c r="H47" i="50"/>
  <c r="G47" i="50"/>
  <c r="L46" i="50"/>
  <c r="N46" i="50" s="1"/>
  <c r="H46" i="50"/>
  <c r="E34" i="50"/>
  <c r="AH33" i="50"/>
  <c r="AG33" i="50"/>
  <c r="AF33" i="50"/>
  <c r="AE33" i="50"/>
  <c r="E32" i="50"/>
  <c r="E31" i="50"/>
  <c r="E28" i="50"/>
  <c r="E27" i="50"/>
  <c r="E26" i="50"/>
  <c r="E25" i="50"/>
  <c r="D33" i="50" s="1"/>
  <c r="AH24" i="50"/>
  <c r="AG24" i="50"/>
  <c r="AF24" i="50"/>
  <c r="AE24" i="50"/>
  <c r="E23" i="50"/>
  <c r="E22" i="50"/>
  <c r="E21" i="50"/>
  <c r="E20" i="50"/>
  <c r="E19" i="50"/>
  <c r="E18" i="50"/>
  <c r="E17" i="50"/>
  <c r="E16" i="50"/>
  <c r="AH15" i="50"/>
  <c r="AG15" i="50"/>
  <c r="AF15" i="50"/>
  <c r="AE15" i="50"/>
  <c r="AD15" i="50"/>
  <c r="Q15" i="50"/>
  <c r="O15" i="50"/>
  <c r="N15" i="50"/>
  <c r="M15" i="50"/>
  <c r="L15" i="50"/>
  <c r="K15" i="50"/>
  <c r="J15" i="50"/>
  <c r="I15" i="50"/>
  <c r="G15" i="50"/>
  <c r="E14" i="50"/>
  <c r="E13" i="50"/>
  <c r="E12" i="50"/>
  <c r="E11" i="50"/>
  <c r="E10" i="50"/>
  <c r="E9" i="50"/>
  <c r="E8" i="50"/>
  <c r="AM7" i="50"/>
  <c r="AN7" i="50" s="1"/>
  <c r="AO7" i="50" s="1"/>
  <c r="AK7" i="50"/>
  <c r="AM8" i="50" s="1"/>
  <c r="AN8" i="50" s="1"/>
  <c r="AO8" i="50" s="1"/>
  <c r="AK8" i="50" s="1"/>
  <c r="AM9" i="50" s="1"/>
  <c r="AN9" i="50" s="1"/>
  <c r="AO9" i="50" s="1"/>
  <c r="AK9" i="50" s="1"/>
  <c r="AM10" i="50" s="1"/>
  <c r="AN10" i="50" s="1"/>
  <c r="AO10" i="50" s="1"/>
  <c r="AK10" i="50" s="1"/>
  <c r="AM11" i="50" s="1"/>
  <c r="AN11" i="50" s="1"/>
  <c r="AO11" i="50" s="1"/>
  <c r="AK11" i="50" s="1"/>
  <c r="AM12" i="50" s="1"/>
  <c r="AN12" i="50" s="1"/>
  <c r="AO12" i="50" s="1"/>
  <c r="AK12" i="50" s="1"/>
  <c r="AM13" i="50" s="1"/>
  <c r="AN13" i="50" s="1"/>
  <c r="AO13" i="50" s="1"/>
  <c r="AK13" i="50" s="1"/>
  <c r="AM14" i="50" s="1"/>
  <c r="AN14" i="50" s="1"/>
  <c r="AO14" i="50" s="1"/>
  <c r="AK14" i="50" s="1"/>
  <c r="AK15" i="50" s="1"/>
  <c r="AM16" i="50" s="1"/>
  <c r="AN16" i="50" s="1"/>
  <c r="AO16" i="50" s="1"/>
  <c r="AK16" i="50" s="1"/>
  <c r="AM17" i="50" s="1"/>
  <c r="AN17" i="50" s="1"/>
  <c r="AO17" i="50" s="1"/>
  <c r="AK17" i="50" s="1"/>
  <c r="AM18" i="50" s="1"/>
  <c r="AN18" i="50" s="1"/>
  <c r="AO18" i="50" s="1"/>
  <c r="AK18" i="50" s="1"/>
  <c r="AM19" i="50" s="1"/>
  <c r="AN19" i="50" s="1"/>
  <c r="AO19" i="50" s="1"/>
  <c r="AK19" i="50" s="1"/>
  <c r="AM20" i="50" s="1"/>
  <c r="AN20" i="50" s="1"/>
  <c r="AO20" i="50" s="1"/>
  <c r="AK20" i="50" s="1"/>
  <c r="AM21" i="50" s="1"/>
  <c r="AN21" i="50" s="1"/>
  <c r="AO21" i="50" s="1"/>
  <c r="AK21" i="50" s="1"/>
  <c r="AM22" i="50" s="1"/>
  <c r="AN22" i="50" s="1"/>
  <c r="AO22" i="50" s="1"/>
  <c r="AK22" i="50" s="1"/>
  <c r="AM23" i="50" s="1"/>
  <c r="AN23" i="50" s="1"/>
  <c r="AO23" i="50" s="1"/>
  <c r="AK23" i="50" s="1"/>
  <c r="AK24" i="50" s="1"/>
  <c r="AM25" i="50" s="1"/>
  <c r="AN25" i="50" s="1"/>
  <c r="AO25" i="50" s="1"/>
  <c r="AK25" i="50" s="1"/>
  <c r="AM26" i="50" s="1"/>
  <c r="AN26" i="50" s="1"/>
  <c r="AO26" i="50" s="1"/>
  <c r="AK26" i="50" s="1"/>
  <c r="AM27" i="50" s="1"/>
  <c r="AN27" i="50" s="1"/>
  <c r="AO27" i="50" s="1"/>
  <c r="AK27" i="50" s="1"/>
  <c r="AM28" i="50" s="1"/>
  <c r="AN28" i="50" s="1"/>
  <c r="AO28" i="50" s="1"/>
  <c r="AK28" i="50" s="1"/>
  <c r="AM29" i="50" s="1"/>
  <c r="AN29" i="50" s="1"/>
  <c r="AO29" i="50" s="1"/>
  <c r="AK29" i="50" s="1"/>
  <c r="AM30" i="50" s="1"/>
  <c r="AN30" i="50" s="1"/>
  <c r="AO30" i="50" s="1"/>
  <c r="AK30" i="50" s="1"/>
  <c r="AM31" i="50" s="1"/>
  <c r="AN31" i="50" s="1"/>
  <c r="AO31" i="50" s="1"/>
  <c r="AK31" i="50" s="1"/>
  <c r="AM32" i="50" s="1"/>
  <c r="AN32" i="50" s="1"/>
  <c r="AO32" i="50" s="1"/>
  <c r="AK32" i="50" s="1"/>
  <c r="F7" i="50"/>
  <c r="F8" i="50" s="1"/>
  <c r="F9" i="50" s="1"/>
  <c r="F10" i="50" s="1"/>
  <c r="F11" i="50" s="1"/>
  <c r="F12" i="50" s="1"/>
  <c r="F13" i="50" s="1"/>
  <c r="F14" i="50" s="1"/>
  <c r="F15" i="50" s="1"/>
  <c r="F16" i="50" s="1"/>
  <c r="F17" i="50" s="1"/>
  <c r="F18" i="50" s="1"/>
  <c r="F19" i="50" s="1"/>
  <c r="F20" i="50" s="1"/>
  <c r="F21" i="50" s="1"/>
  <c r="F22" i="50" s="1"/>
  <c r="F23" i="50" s="1"/>
  <c r="F24" i="50" s="1"/>
  <c r="F25" i="50" s="1"/>
  <c r="F26" i="50" s="1"/>
  <c r="F27" i="50" s="1"/>
  <c r="F28" i="50" s="1"/>
  <c r="F31" i="50" s="1"/>
  <c r="F32" i="50" s="1"/>
  <c r="F33" i="50" s="1"/>
  <c r="L42" i="50" s="1"/>
  <c r="E7" i="50"/>
  <c r="D15" i="50" s="1"/>
  <c r="G46" i="50"/>
  <c r="AU1" i="50"/>
  <c r="M71" i="49"/>
  <c r="K71" i="49"/>
  <c r="J71" i="49"/>
  <c r="I71" i="49"/>
  <c r="H71" i="49"/>
  <c r="G71" i="49"/>
  <c r="M70" i="49"/>
  <c r="K70" i="49"/>
  <c r="J70" i="49"/>
  <c r="I70" i="49"/>
  <c r="H70" i="49"/>
  <c r="G70" i="49"/>
  <c r="M69" i="49"/>
  <c r="K69" i="49"/>
  <c r="J69" i="49"/>
  <c r="I69" i="49"/>
  <c r="H69" i="49"/>
  <c r="G69" i="49"/>
  <c r="M68" i="49"/>
  <c r="K68" i="49"/>
  <c r="J68" i="49"/>
  <c r="I68" i="49"/>
  <c r="H68" i="49"/>
  <c r="G68" i="49"/>
  <c r="M67" i="49"/>
  <c r="K67" i="49"/>
  <c r="J67" i="49"/>
  <c r="I67" i="49"/>
  <c r="H67" i="49"/>
  <c r="G67" i="49"/>
  <c r="M66" i="49"/>
  <c r="K66" i="49"/>
  <c r="J66" i="49"/>
  <c r="I66" i="49"/>
  <c r="H66" i="49"/>
  <c r="G66" i="49"/>
  <c r="M65" i="49"/>
  <c r="K65" i="49"/>
  <c r="J65" i="49"/>
  <c r="I65" i="49"/>
  <c r="H65" i="49"/>
  <c r="G65" i="49"/>
  <c r="M64" i="49"/>
  <c r="K64" i="49"/>
  <c r="J64" i="49"/>
  <c r="I64" i="49"/>
  <c r="H64" i="49"/>
  <c r="G64" i="49"/>
  <c r="M63" i="49"/>
  <c r="K63" i="49"/>
  <c r="J63" i="49"/>
  <c r="I63" i="49"/>
  <c r="H63" i="49"/>
  <c r="G63" i="49"/>
  <c r="M62" i="49"/>
  <c r="K62" i="49"/>
  <c r="J62" i="49"/>
  <c r="I62" i="49"/>
  <c r="H62" i="49"/>
  <c r="G62" i="49"/>
  <c r="M61" i="49"/>
  <c r="K61" i="49"/>
  <c r="J61" i="49"/>
  <c r="I61" i="49"/>
  <c r="H61" i="49"/>
  <c r="G61" i="49"/>
  <c r="M60" i="49"/>
  <c r="K60" i="49"/>
  <c r="J60" i="49"/>
  <c r="I60" i="49"/>
  <c r="H60" i="49"/>
  <c r="G60" i="49"/>
  <c r="M59" i="49"/>
  <c r="K59" i="49"/>
  <c r="J59" i="49"/>
  <c r="I59" i="49"/>
  <c r="H59" i="49"/>
  <c r="G59" i="49"/>
  <c r="M58" i="49"/>
  <c r="K58" i="49"/>
  <c r="J58" i="49"/>
  <c r="I58" i="49"/>
  <c r="H58" i="49"/>
  <c r="G58" i="49"/>
  <c r="M57" i="49"/>
  <c r="K57" i="49"/>
  <c r="J57" i="49"/>
  <c r="I57" i="49"/>
  <c r="H57" i="49"/>
  <c r="G57" i="49"/>
  <c r="M56" i="49"/>
  <c r="K56" i="49"/>
  <c r="J56" i="49"/>
  <c r="I56" i="49"/>
  <c r="H56" i="49"/>
  <c r="G56" i="49"/>
  <c r="M55" i="49"/>
  <c r="K55" i="49"/>
  <c r="J55" i="49"/>
  <c r="I55" i="49"/>
  <c r="H55" i="49"/>
  <c r="G55" i="49"/>
  <c r="M54" i="49"/>
  <c r="K54" i="49"/>
  <c r="J54" i="49"/>
  <c r="I54" i="49"/>
  <c r="H54" i="49"/>
  <c r="G54" i="49"/>
  <c r="M53" i="49"/>
  <c r="K53" i="49"/>
  <c r="J53" i="49"/>
  <c r="I53" i="49"/>
  <c r="H53" i="49"/>
  <c r="G53" i="49"/>
  <c r="M52" i="49"/>
  <c r="K52" i="49"/>
  <c r="J52" i="49"/>
  <c r="I52" i="49"/>
  <c r="H52" i="49"/>
  <c r="G52" i="49"/>
  <c r="M51" i="49"/>
  <c r="K51" i="49"/>
  <c r="J51" i="49"/>
  <c r="I51" i="49"/>
  <c r="H51" i="49"/>
  <c r="G51" i="49"/>
  <c r="M50" i="49"/>
  <c r="K50" i="49"/>
  <c r="J50" i="49"/>
  <c r="I50" i="49"/>
  <c r="H50" i="49"/>
  <c r="G50" i="49"/>
  <c r="M49" i="49"/>
  <c r="K49" i="49"/>
  <c r="J49" i="49"/>
  <c r="I49" i="49"/>
  <c r="H49" i="49"/>
  <c r="G49" i="49"/>
  <c r="M48" i="49"/>
  <c r="K48" i="49"/>
  <c r="J48" i="49"/>
  <c r="I48" i="49"/>
  <c r="H48" i="49"/>
  <c r="G48" i="49"/>
  <c r="M47" i="49"/>
  <c r="L47" i="49"/>
  <c r="K47" i="49"/>
  <c r="J47" i="49"/>
  <c r="I47" i="49"/>
  <c r="H47" i="49"/>
  <c r="G47" i="49"/>
  <c r="L46" i="49"/>
  <c r="N46" i="49" s="1"/>
  <c r="H46" i="49"/>
  <c r="E34" i="49"/>
  <c r="AH33" i="49"/>
  <c r="AG33" i="49"/>
  <c r="AF33" i="49"/>
  <c r="AE33" i="49"/>
  <c r="E32" i="49"/>
  <c r="E30" i="49"/>
  <c r="E29" i="49"/>
  <c r="E27" i="49"/>
  <c r="E26" i="49"/>
  <c r="E25" i="49"/>
  <c r="D33" i="49" s="1"/>
  <c r="AH24" i="49"/>
  <c r="AG24" i="49"/>
  <c r="AF24" i="49"/>
  <c r="AE24" i="49"/>
  <c r="E23" i="49"/>
  <c r="E22" i="49"/>
  <c r="E21" i="49"/>
  <c r="E20" i="49"/>
  <c r="E19" i="49"/>
  <c r="E18" i="49"/>
  <c r="E17" i="49"/>
  <c r="E16" i="49"/>
  <c r="I40" i="49" s="1"/>
  <c r="AH15" i="49"/>
  <c r="AG15" i="49"/>
  <c r="AF15" i="49"/>
  <c r="AE15" i="49"/>
  <c r="AD15" i="49"/>
  <c r="Q15" i="49"/>
  <c r="O15" i="49"/>
  <c r="N15" i="49"/>
  <c r="M15" i="49"/>
  <c r="L15" i="49"/>
  <c r="K15" i="49"/>
  <c r="J15" i="49"/>
  <c r="I15" i="49"/>
  <c r="G15" i="49"/>
  <c r="E14" i="49"/>
  <c r="E13" i="49"/>
  <c r="E12" i="49"/>
  <c r="E11" i="49"/>
  <c r="E10" i="49"/>
  <c r="E9" i="49"/>
  <c r="E8" i="49"/>
  <c r="AM7" i="49"/>
  <c r="AN7" i="49" s="1"/>
  <c r="AO7" i="49" s="1"/>
  <c r="AK7" i="49"/>
  <c r="AM8" i="49" s="1"/>
  <c r="AN8" i="49" s="1"/>
  <c r="AO8" i="49" s="1"/>
  <c r="AK8" i="49" s="1"/>
  <c r="AM9" i="49" s="1"/>
  <c r="AN9" i="49" s="1"/>
  <c r="AO9" i="49" s="1"/>
  <c r="AK9" i="49" s="1"/>
  <c r="AM10" i="49" s="1"/>
  <c r="AN10" i="49" s="1"/>
  <c r="AO10" i="49" s="1"/>
  <c r="AK10" i="49" s="1"/>
  <c r="AM11" i="49" s="1"/>
  <c r="AN11" i="49" s="1"/>
  <c r="AO11" i="49" s="1"/>
  <c r="AK11" i="49" s="1"/>
  <c r="AM12" i="49" s="1"/>
  <c r="AN12" i="49" s="1"/>
  <c r="AO12" i="49" s="1"/>
  <c r="AK12" i="49" s="1"/>
  <c r="AM13" i="49" s="1"/>
  <c r="AN13" i="49" s="1"/>
  <c r="AO13" i="49" s="1"/>
  <c r="AK13" i="49" s="1"/>
  <c r="AM14" i="49" s="1"/>
  <c r="AN14" i="49" s="1"/>
  <c r="AO14" i="49" s="1"/>
  <c r="AK14" i="49" s="1"/>
  <c r="AK15" i="49" s="1"/>
  <c r="AM16" i="49" s="1"/>
  <c r="AN16" i="49" s="1"/>
  <c r="AO16" i="49" s="1"/>
  <c r="AK16" i="49" s="1"/>
  <c r="AM17" i="49" s="1"/>
  <c r="AN17" i="49" s="1"/>
  <c r="AO17" i="49" s="1"/>
  <c r="AK17" i="49" s="1"/>
  <c r="AM18" i="49" s="1"/>
  <c r="AN18" i="49" s="1"/>
  <c r="AO18" i="49" s="1"/>
  <c r="AK18" i="49" s="1"/>
  <c r="AM19" i="49" s="1"/>
  <c r="AN19" i="49" s="1"/>
  <c r="AO19" i="49" s="1"/>
  <c r="AK19" i="49" s="1"/>
  <c r="AM20" i="49" s="1"/>
  <c r="AN20" i="49" s="1"/>
  <c r="AO20" i="49" s="1"/>
  <c r="AK20" i="49" s="1"/>
  <c r="AM21" i="49" s="1"/>
  <c r="AN21" i="49" s="1"/>
  <c r="AO21" i="49" s="1"/>
  <c r="AK21" i="49" s="1"/>
  <c r="AM22" i="49" s="1"/>
  <c r="AN22" i="49" s="1"/>
  <c r="AO22" i="49" s="1"/>
  <c r="AK22" i="49" s="1"/>
  <c r="AM23" i="49" s="1"/>
  <c r="AN23" i="49" s="1"/>
  <c r="AO23" i="49" s="1"/>
  <c r="AK23" i="49" s="1"/>
  <c r="AK24" i="49" s="1"/>
  <c r="AM25" i="49" s="1"/>
  <c r="AN25" i="49" s="1"/>
  <c r="AO25" i="49" s="1"/>
  <c r="AK25" i="49" s="1"/>
  <c r="AM26" i="49" s="1"/>
  <c r="AN26" i="49" s="1"/>
  <c r="AO26" i="49" s="1"/>
  <c r="AK26" i="49" s="1"/>
  <c r="AM27" i="49" s="1"/>
  <c r="AN27" i="49" s="1"/>
  <c r="AO27" i="49" s="1"/>
  <c r="AK27" i="49" s="1"/>
  <c r="AM28" i="49" s="1"/>
  <c r="AN28" i="49" s="1"/>
  <c r="AO28" i="49" s="1"/>
  <c r="AK28" i="49" s="1"/>
  <c r="AM29" i="49" s="1"/>
  <c r="AN29" i="49" s="1"/>
  <c r="AO29" i="49" s="1"/>
  <c r="AK29" i="49" s="1"/>
  <c r="AM30" i="49" s="1"/>
  <c r="AN30" i="49" s="1"/>
  <c r="AO30" i="49" s="1"/>
  <c r="AK30" i="49" s="1"/>
  <c r="AM31" i="49" s="1"/>
  <c r="AN31" i="49" s="1"/>
  <c r="AO31" i="49" s="1"/>
  <c r="AK31" i="49" s="1"/>
  <c r="AM32" i="49" s="1"/>
  <c r="AN32" i="49" s="1"/>
  <c r="AO32" i="49" s="1"/>
  <c r="AK32" i="49" s="1"/>
  <c r="F7" i="49"/>
  <c r="F8" i="49" s="1"/>
  <c r="F9" i="49" s="1"/>
  <c r="F10" i="49" s="1"/>
  <c r="F11" i="49" s="1"/>
  <c r="F12" i="49" s="1"/>
  <c r="F13" i="49" s="1"/>
  <c r="F14" i="49" s="1"/>
  <c r="F15" i="49" s="1"/>
  <c r="F16" i="49" s="1"/>
  <c r="F17" i="49" s="1"/>
  <c r="F18" i="49" s="1"/>
  <c r="F19" i="49" s="1"/>
  <c r="F20" i="49" s="1"/>
  <c r="F21" i="49" s="1"/>
  <c r="F22" i="49" s="1"/>
  <c r="F23" i="49" s="1"/>
  <c r="F24" i="49" s="1"/>
  <c r="F25" i="49" s="1"/>
  <c r="F26" i="49" s="1"/>
  <c r="F27" i="49" s="1"/>
  <c r="F28" i="49" s="1"/>
  <c r="F29" i="49" s="1"/>
  <c r="F30" i="49" s="1"/>
  <c r="F31" i="49" s="1"/>
  <c r="F32" i="49" s="1"/>
  <c r="F33" i="49" s="1"/>
  <c r="L42" i="49" s="1"/>
  <c r="E7" i="49"/>
  <c r="D15" i="49" s="1"/>
  <c r="G46" i="49"/>
  <c r="AU1" i="49"/>
  <c r="M71" i="27"/>
  <c r="K71" i="27"/>
  <c r="J71" i="27"/>
  <c r="I71" i="27"/>
  <c r="H71" i="27"/>
  <c r="G71" i="27"/>
  <c r="M70" i="27"/>
  <c r="K70" i="27"/>
  <c r="J70" i="27"/>
  <c r="I70" i="27"/>
  <c r="H70" i="27"/>
  <c r="G70" i="27"/>
  <c r="M69" i="27"/>
  <c r="K69" i="27"/>
  <c r="J69" i="27"/>
  <c r="I69" i="27"/>
  <c r="H69" i="27"/>
  <c r="G69" i="27"/>
  <c r="M68" i="27"/>
  <c r="K68" i="27"/>
  <c r="J68" i="27"/>
  <c r="I68" i="27"/>
  <c r="H68" i="27"/>
  <c r="G68" i="27"/>
  <c r="M67" i="27"/>
  <c r="K67" i="27"/>
  <c r="J67" i="27"/>
  <c r="I67" i="27"/>
  <c r="H67" i="27"/>
  <c r="G67" i="27"/>
  <c r="M66" i="27"/>
  <c r="K66" i="27"/>
  <c r="J66" i="27"/>
  <c r="I66" i="27"/>
  <c r="H66" i="27"/>
  <c r="G66" i="27"/>
  <c r="M65" i="27"/>
  <c r="K65" i="27"/>
  <c r="J65" i="27"/>
  <c r="I65" i="27"/>
  <c r="H65" i="27"/>
  <c r="G65" i="27"/>
  <c r="M64" i="27"/>
  <c r="K64" i="27"/>
  <c r="J64" i="27"/>
  <c r="I64" i="27"/>
  <c r="H64" i="27"/>
  <c r="G64" i="27"/>
  <c r="M63" i="27"/>
  <c r="K63" i="27"/>
  <c r="J63" i="27"/>
  <c r="I63" i="27"/>
  <c r="H63" i="27"/>
  <c r="G63" i="27"/>
  <c r="M62" i="27"/>
  <c r="K62" i="27"/>
  <c r="J62" i="27"/>
  <c r="I62" i="27"/>
  <c r="H62" i="27"/>
  <c r="G62" i="27"/>
  <c r="M61" i="27"/>
  <c r="K61" i="27"/>
  <c r="J61" i="27"/>
  <c r="I61" i="27"/>
  <c r="H61" i="27"/>
  <c r="G61" i="27"/>
  <c r="M60" i="27"/>
  <c r="K60" i="27"/>
  <c r="J60" i="27"/>
  <c r="I60" i="27"/>
  <c r="H60" i="27"/>
  <c r="G60" i="27"/>
  <c r="M59" i="27"/>
  <c r="K59" i="27"/>
  <c r="J59" i="27"/>
  <c r="I59" i="27"/>
  <c r="H59" i="27"/>
  <c r="G59" i="27"/>
  <c r="M58" i="27"/>
  <c r="K58" i="27"/>
  <c r="J58" i="27"/>
  <c r="I58" i="27"/>
  <c r="H58" i="27"/>
  <c r="G58" i="27"/>
  <c r="M57" i="27"/>
  <c r="K57" i="27"/>
  <c r="J57" i="27"/>
  <c r="I57" i="27"/>
  <c r="H57" i="27"/>
  <c r="G57" i="27"/>
  <c r="M56" i="27"/>
  <c r="K56" i="27"/>
  <c r="J56" i="27"/>
  <c r="I56" i="27"/>
  <c r="H56" i="27"/>
  <c r="G56" i="27"/>
  <c r="M55" i="27"/>
  <c r="K55" i="27"/>
  <c r="J55" i="27"/>
  <c r="I55" i="27"/>
  <c r="H55" i="27"/>
  <c r="G55" i="27"/>
  <c r="M54" i="27"/>
  <c r="K54" i="27"/>
  <c r="J54" i="27"/>
  <c r="I54" i="27"/>
  <c r="H54" i="27"/>
  <c r="G54" i="27"/>
  <c r="M53" i="27"/>
  <c r="K53" i="27"/>
  <c r="J53" i="27"/>
  <c r="I53" i="27"/>
  <c r="H53" i="27"/>
  <c r="G53" i="27"/>
  <c r="M52" i="27"/>
  <c r="K52" i="27"/>
  <c r="J52" i="27"/>
  <c r="I52" i="27"/>
  <c r="H52" i="27"/>
  <c r="G52" i="27"/>
  <c r="M51" i="27"/>
  <c r="K51" i="27"/>
  <c r="J51" i="27"/>
  <c r="I51" i="27"/>
  <c r="H51" i="27"/>
  <c r="G51" i="27"/>
  <c r="M50" i="27"/>
  <c r="K50" i="27"/>
  <c r="J50" i="27"/>
  <c r="I50" i="27"/>
  <c r="H50" i="27"/>
  <c r="G50" i="27"/>
  <c r="M49" i="27"/>
  <c r="K49" i="27"/>
  <c r="J49" i="27"/>
  <c r="I49" i="27"/>
  <c r="H49" i="27"/>
  <c r="G49" i="27"/>
  <c r="M48" i="27"/>
  <c r="K48" i="27"/>
  <c r="J48" i="27"/>
  <c r="I48" i="27"/>
  <c r="H48" i="27"/>
  <c r="G48" i="27"/>
  <c r="M47" i="27"/>
  <c r="L47" i="27"/>
  <c r="K47" i="27"/>
  <c r="J47" i="27"/>
  <c r="I47" i="27"/>
  <c r="H47" i="27"/>
  <c r="G47" i="27"/>
  <c r="L46" i="27"/>
  <c r="N46" i="27" s="1"/>
  <c r="H46" i="27"/>
  <c r="E34" i="27"/>
  <c r="AH33" i="27"/>
  <c r="AG33" i="27"/>
  <c r="AF33" i="27"/>
  <c r="AE33" i="27"/>
  <c r="E32" i="27"/>
  <c r="E31" i="27"/>
  <c r="E30" i="27"/>
  <c r="E29" i="27"/>
  <c r="E28" i="27"/>
  <c r="E27" i="27"/>
  <c r="E26" i="27"/>
  <c r="E25" i="27"/>
  <c r="D33" i="27" s="1"/>
  <c r="AH24" i="27"/>
  <c r="AG24" i="27"/>
  <c r="AF24" i="27"/>
  <c r="AE24" i="27"/>
  <c r="E23" i="27"/>
  <c r="E22" i="27"/>
  <c r="E21" i="27"/>
  <c r="E20" i="27"/>
  <c r="E19" i="27"/>
  <c r="E18" i="27"/>
  <c r="E17" i="27"/>
  <c r="E16" i="27"/>
  <c r="D24" i="27" s="1"/>
  <c r="AH15" i="27"/>
  <c r="AG15" i="27"/>
  <c r="AF15" i="27"/>
  <c r="AE15" i="27"/>
  <c r="AD15" i="27"/>
  <c r="Q15" i="27"/>
  <c r="O15" i="27"/>
  <c r="N15" i="27"/>
  <c r="M15" i="27"/>
  <c r="L15" i="27"/>
  <c r="K15" i="27"/>
  <c r="J15" i="27"/>
  <c r="I15" i="27"/>
  <c r="G15" i="27"/>
  <c r="E14" i="27"/>
  <c r="E13" i="27"/>
  <c r="E12" i="27"/>
  <c r="E11" i="27"/>
  <c r="E10" i="27"/>
  <c r="E9" i="27"/>
  <c r="E8" i="27"/>
  <c r="AM7" i="27"/>
  <c r="AN7" i="27" s="1"/>
  <c r="AO7" i="27" s="1"/>
  <c r="AK7" i="27"/>
  <c r="AM8" i="27" s="1"/>
  <c r="AN8" i="27" s="1"/>
  <c r="AO8" i="27" s="1"/>
  <c r="AK8" i="27" s="1"/>
  <c r="AM9" i="27" s="1"/>
  <c r="AN9" i="27" s="1"/>
  <c r="AO9" i="27" s="1"/>
  <c r="AK9" i="27" s="1"/>
  <c r="AM10" i="27" s="1"/>
  <c r="AN10" i="27" s="1"/>
  <c r="AO10" i="27" s="1"/>
  <c r="AK10" i="27" s="1"/>
  <c r="AM11" i="27" s="1"/>
  <c r="AN11" i="27" s="1"/>
  <c r="AO11" i="27" s="1"/>
  <c r="AK11" i="27" s="1"/>
  <c r="AM12" i="27" s="1"/>
  <c r="AN12" i="27" s="1"/>
  <c r="AO12" i="27" s="1"/>
  <c r="AK12" i="27" s="1"/>
  <c r="AM13" i="27" s="1"/>
  <c r="AN13" i="27" s="1"/>
  <c r="AO13" i="27" s="1"/>
  <c r="AK13" i="27" s="1"/>
  <c r="AM14" i="27" s="1"/>
  <c r="AN14" i="27" s="1"/>
  <c r="AO14" i="27" s="1"/>
  <c r="AK14" i="27" s="1"/>
  <c r="AK15" i="27" s="1"/>
  <c r="AM16" i="27" s="1"/>
  <c r="AN16" i="27" s="1"/>
  <c r="AO16" i="27" s="1"/>
  <c r="AK16" i="27" s="1"/>
  <c r="AM17" i="27" s="1"/>
  <c r="AN17" i="27" s="1"/>
  <c r="AO17" i="27" s="1"/>
  <c r="AK17" i="27" s="1"/>
  <c r="AM18" i="27" s="1"/>
  <c r="AN18" i="27" s="1"/>
  <c r="AO18" i="27" s="1"/>
  <c r="AK18" i="27" s="1"/>
  <c r="AM19" i="27" s="1"/>
  <c r="AN19" i="27" s="1"/>
  <c r="AO19" i="27" s="1"/>
  <c r="AK19" i="27" s="1"/>
  <c r="AM20" i="27" s="1"/>
  <c r="AN20" i="27" s="1"/>
  <c r="AO20" i="27" s="1"/>
  <c r="AK20" i="27" s="1"/>
  <c r="AM21" i="27" s="1"/>
  <c r="AN21" i="27" s="1"/>
  <c r="AO21" i="27" s="1"/>
  <c r="AK21" i="27" s="1"/>
  <c r="AM22" i="27" s="1"/>
  <c r="AN22" i="27" s="1"/>
  <c r="AO22" i="27" s="1"/>
  <c r="AK22" i="27" s="1"/>
  <c r="AM23" i="27" s="1"/>
  <c r="AN23" i="27" s="1"/>
  <c r="AO23" i="27" s="1"/>
  <c r="AK23" i="27" s="1"/>
  <c r="AK24" i="27" s="1"/>
  <c r="AM25" i="27" s="1"/>
  <c r="AN25" i="27" s="1"/>
  <c r="AO25" i="27" s="1"/>
  <c r="AK25" i="27" s="1"/>
  <c r="AM26" i="27" s="1"/>
  <c r="AN26" i="27" s="1"/>
  <c r="AO26" i="27" s="1"/>
  <c r="AK26" i="27" s="1"/>
  <c r="AM27" i="27" s="1"/>
  <c r="AN27" i="27" s="1"/>
  <c r="AO27" i="27" s="1"/>
  <c r="AK27" i="27" s="1"/>
  <c r="AM28" i="27" s="1"/>
  <c r="AN28" i="27" s="1"/>
  <c r="AO28" i="27" s="1"/>
  <c r="AK28" i="27" s="1"/>
  <c r="AM29" i="27" s="1"/>
  <c r="AN29" i="27" s="1"/>
  <c r="AO29" i="27" s="1"/>
  <c r="AK29" i="27" s="1"/>
  <c r="AM30" i="27" s="1"/>
  <c r="AN30" i="27" s="1"/>
  <c r="AO30" i="27" s="1"/>
  <c r="AK30" i="27" s="1"/>
  <c r="AM31" i="27" s="1"/>
  <c r="AN31" i="27" s="1"/>
  <c r="AO31" i="27" s="1"/>
  <c r="AK31" i="27" s="1"/>
  <c r="AM32" i="27" s="1"/>
  <c r="AN32" i="27" s="1"/>
  <c r="AO32" i="27" s="1"/>
  <c r="AK32" i="27" s="1"/>
  <c r="F7" i="27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L42" i="27" s="1"/>
  <c r="E7" i="27"/>
  <c r="D15" i="27" s="1"/>
  <c r="D6" i="27"/>
  <c r="G46" i="27" s="1"/>
  <c r="AU1" i="27"/>
  <c r="M71" i="48"/>
  <c r="K71" i="48"/>
  <c r="J71" i="48"/>
  <c r="I71" i="48"/>
  <c r="H71" i="48"/>
  <c r="G71" i="48"/>
  <c r="M70" i="48"/>
  <c r="K70" i="48"/>
  <c r="J70" i="48"/>
  <c r="I70" i="48"/>
  <c r="H70" i="48"/>
  <c r="G70" i="48"/>
  <c r="M69" i="48"/>
  <c r="K69" i="48"/>
  <c r="J69" i="48"/>
  <c r="I69" i="48"/>
  <c r="H69" i="48"/>
  <c r="G69" i="48"/>
  <c r="M68" i="48"/>
  <c r="K68" i="48"/>
  <c r="J68" i="48"/>
  <c r="I68" i="48"/>
  <c r="H68" i="48"/>
  <c r="G68" i="48"/>
  <c r="M67" i="48"/>
  <c r="K67" i="48"/>
  <c r="J67" i="48"/>
  <c r="I67" i="48"/>
  <c r="H67" i="48"/>
  <c r="G67" i="48"/>
  <c r="M66" i="48"/>
  <c r="K66" i="48"/>
  <c r="J66" i="48"/>
  <c r="I66" i="48"/>
  <c r="H66" i="48"/>
  <c r="G66" i="48"/>
  <c r="M65" i="48"/>
  <c r="K65" i="48"/>
  <c r="J65" i="48"/>
  <c r="I65" i="48"/>
  <c r="H65" i="48"/>
  <c r="G65" i="48"/>
  <c r="M64" i="48"/>
  <c r="K64" i="48"/>
  <c r="J64" i="48"/>
  <c r="I64" i="48"/>
  <c r="H64" i="48"/>
  <c r="G64" i="48"/>
  <c r="M63" i="48"/>
  <c r="K63" i="48"/>
  <c r="J63" i="48"/>
  <c r="I63" i="48"/>
  <c r="H63" i="48"/>
  <c r="G63" i="48"/>
  <c r="M62" i="48"/>
  <c r="K62" i="48"/>
  <c r="J62" i="48"/>
  <c r="I62" i="48"/>
  <c r="H62" i="48"/>
  <c r="G62" i="48"/>
  <c r="M61" i="48"/>
  <c r="K61" i="48"/>
  <c r="J61" i="48"/>
  <c r="I61" i="48"/>
  <c r="H61" i="48"/>
  <c r="G61" i="48"/>
  <c r="M60" i="48"/>
  <c r="K60" i="48"/>
  <c r="J60" i="48"/>
  <c r="I60" i="48"/>
  <c r="H60" i="48"/>
  <c r="G60" i="48"/>
  <c r="M59" i="48"/>
  <c r="K59" i="48"/>
  <c r="J59" i="48"/>
  <c r="I59" i="48"/>
  <c r="H59" i="48"/>
  <c r="G59" i="48"/>
  <c r="M58" i="48"/>
  <c r="K58" i="48"/>
  <c r="J58" i="48"/>
  <c r="I58" i="48"/>
  <c r="H58" i="48"/>
  <c r="G58" i="48"/>
  <c r="M57" i="48"/>
  <c r="K57" i="48"/>
  <c r="J57" i="48"/>
  <c r="I57" i="48"/>
  <c r="H57" i="48"/>
  <c r="G57" i="48"/>
  <c r="M56" i="48"/>
  <c r="K56" i="48"/>
  <c r="J56" i="48"/>
  <c r="I56" i="48"/>
  <c r="H56" i="48"/>
  <c r="G56" i="48"/>
  <c r="M55" i="48"/>
  <c r="K55" i="48"/>
  <c r="J55" i="48"/>
  <c r="I55" i="48"/>
  <c r="H55" i="48"/>
  <c r="G55" i="48"/>
  <c r="M54" i="48"/>
  <c r="K54" i="48"/>
  <c r="J54" i="48"/>
  <c r="I54" i="48"/>
  <c r="H54" i="48"/>
  <c r="G54" i="48"/>
  <c r="M53" i="48"/>
  <c r="K53" i="48"/>
  <c r="J53" i="48"/>
  <c r="I53" i="48"/>
  <c r="H53" i="48"/>
  <c r="G53" i="48"/>
  <c r="M52" i="48"/>
  <c r="K52" i="48"/>
  <c r="J52" i="48"/>
  <c r="I52" i="48"/>
  <c r="H52" i="48"/>
  <c r="G52" i="48"/>
  <c r="M51" i="48"/>
  <c r="K51" i="48"/>
  <c r="J51" i="48"/>
  <c r="I51" i="48"/>
  <c r="H51" i="48"/>
  <c r="G51" i="48"/>
  <c r="M50" i="48"/>
  <c r="K50" i="48"/>
  <c r="J50" i="48"/>
  <c r="I50" i="48"/>
  <c r="H50" i="48"/>
  <c r="G50" i="48"/>
  <c r="M49" i="48"/>
  <c r="K49" i="48"/>
  <c r="J49" i="48"/>
  <c r="I49" i="48"/>
  <c r="H49" i="48"/>
  <c r="G49" i="48"/>
  <c r="M48" i="48"/>
  <c r="K48" i="48"/>
  <c r="J48" i="48"/>
  <c r="I48" i="48"/>
  <c r="H48" i="48"/>
  <c r="G48" i="48"/>
  <c r="M47" i="48"/>
  <c r="L47" i="48"/>
  <c r="K47" i="48"/>
  <c r="J47" i="48"/>
  <c r="I47" i="48"/>
  <c r="H47" i="48"/>
  <c r="G47" i="48"/>
  <c r="L46" i="48"/>
  <c r="N46" i="48" s="1"/>
  <c r="H46" i="48"/>
  <c r="E34" i="48"/>
  <c r="AH33" i="48"/>
  <c r="AG33" i="48"/>
  <c r="AF33" i="48"/>
  <c r="AE33" i="48"/>
  <c r="E32" i="48"/>
  <c r="E31" i="48"/>
  <c r="E30" i="48"/>
  <c r="E29" i="48"/>
  <c r="E28" i="48"/>
  <c r="E27" i="48"/>
  <c r="E26" i="48"/>
  <c r="E25" i="48"/>
  <c r="D33" i="48" s="1"/>
  <c r="AH24" i="48"/>
  <c r="AG24" i="48"/>
  <c r="AF24" i="48"/>
  <c r="AE24" i="48"/>
  <c r="E23" i="48"/>
  <c r="E22" i="48"/>
  <c r="E21" i="48"/>
  <c r="E20" i="48"/>
  <c r="E19" i="48"/>
  <c r="E18" i="48"/>
  <c r="E17" i="48"/>
  <c r="E16" i="48"/>
  <c r="D24" i="48" s="1"/>
  <c r="AH15" i="48"/>
  <c r="AG15" i="48"/>
  <c r="AF15" i="48"/>
  <c r="AE15" i="48"/>
  <c r="AD15" i="48"/>
  <c r="Q15" i="48"/>
  <c r="O15" i="48"/>
  <c r="N15" i="48"/>
  <c r="M15" i="48"/>
  <c r="L15" i="48"/>
  <c r="K15" i="48"/>
  <c r="J15" i="48"/>
  <c r="I15" i="48"/>
  <c r="G15" i="48"/>
  <c r="E14" i="48"/>
  <c r="E13" i="48"/>
  <c r="E12" i="48"/>
  <c r="E11" i="48"/>
  <c r="E10" i="48"/>
  <c r="E9" i="48"/>
  <c r="E8" i="48"/>
  <c r="AM7" i="48"/>
  <c r="AN7" i="48" s="1"/>
  <c r="AO7" i="48" s="1"/>
  <c r="AK7" i="48"/>
  <c r="AM8" i="48" s="1"/>
  <c r="AN8" i="48" s="1"/>
  <c r="AO8" i="48" s="1"/>
  <c r="AK8" i="48" s="1"/>
  <c r="AM9" i="48" s="1"/>
  <c r="AN9" i="48" s="1"/>
  <c r="AO9" i="48" s="1"/>
  <c r="AK9" i="48" s="1"/>
  <c r="AM10" i="48" s="1"/>
  <c r="AN10" i="48" s="1"/>
  <c r="AO10" i="48" s="1"/>
  <c r="AK10" i="48" s="1"/>
  <c r="AM11" i="48" s="1"/>
  <c r="AN11" i="48" s="1"/>
  <c r="AO11" i="48" s="1"/>
  <c r="AK11" i="48" s="1"/>
  <c r="AM12" i="48" s="1"/>
  <c r="AN12" i="48" s="1"/>
  <c r="AO12" i="48" s="1"/>
  <c r="AK12" i="48" s="1"/>
  <c r="AM13" i="48" s="1"/>
  <c r="AN13" i="48" s="1"/>
  <c r="AO13" i="48" s="1"/>
  <c r="AK13" i="48" s="1"/>
  <c r="AM14" i="48" s="1"/>
  <c r="AN14" i="48" s="1"/>
  <c r="AO14" i="48" s="1"/>
  <c r="AK14" i="48" s="1"/>
  <c r="AK15" i="48" s="1"/>
  <c r="AM16" i="48" s="1"/>
  <c r="AN16" i="48" s="1"/>
  <c r="AO16" i="48" s="1"/>
  <c r="AK16" i="48" s="1"/>
  <c r="AM17" i="48" s="1"/>
  <c r="AN17" i="48" s="1"/>
  <c r="AO17" i="48" s="1"/>
  <c r="AK17" i="48" s="1"/>
  <c r="AM18" i="48" s="1"/>
  <c r="AN18" i="48" s="1"/>
  <c r="AO18" i="48" s="1"/>
  <c r="AK18" i="48" s="1"/>
  <c r="AM19" i="48" s="1"/>
  <c r="AN19" i="48" s="1"/>
  <c r="AO19" i="48" s="1"/>
  <c r="AK19" i="48" s="1"/>
  <c r="AM20" i="48" s="1"/>
  <c r="AN20" i="48" s="1"/>
  <c r="AO20" i="48" s="1"/>
  <c r="AK20" i="48" s="1"/>
  <c r="AM21" i="48" s="1"/>
  <c r="AN21" i="48" s="1"/>
  <c r="AO21" i="48" s="1"/>
  <c r="AK21" i="48" s="1"/>
  <c r="AM22" i="48" s="1"/>
  <c r="AN22" i="48" s="1"/>
  <c r="AO22" i="48" s="1"/>
  <c r="AK22" i="48" s="1"/>
  <c r="AM23" i="48" s="1"/>
  <c r="AN23" i="48" s="1"/>
  <c r="AO23" i="48" s="1"/>
  <c r="AK23" i="48" s="1"/>
  <c r="AK24" i="48" s="1"/>
  <c r="AM25" i="48" s="1"/>
  <c r="AN25" i="48" s="1"/>
  <c r="AO25" i="48" s="1"/>
  <c r="AK25" i="48" s="1"/>
  <c r="AM26" i="48" s="1"/>
  <c r="AN26" i="48" s="1"/>
  <c r="AO26" i="48" s="1"/>
  <c r="AK26" i="48" s="1"/>
  <c r="AM27" i="48" s="1"/>
  <c r="AN27" i="48" s="1"/>
  <c r="AO27" i="48" s="1"/>
  <c r="AK27" i="48" s="1"/>
  <c r="AM28" i="48" s="1"/>
  <c r="AN28" i="48" s="1"/>
  <c r="AO28" i="48" s="1"/>
  <c r="AK28" i="48" s="1"/>
  <c r="AM29" i="48" s="1"/>
  <c r="AN29" i="48" s="1"/>
  <c r="AO29" i="48" s="1"/>
  <c r="AK29" i="48" s="1"/>
  <c r="AM30" i="48" s="1"/>
  <c r="AN30" i="48" s="1"/>
  <c r="AO30" i="48" s="1"/>
  <c r="AK30" i="48" s="1"/>
  <c r="AM31" i="48" s="1"/>
  <c r="AN31" i="48" s="1"/>
  <c r="AO31" i="48" s="1"/>
  <c r="AK31" i="48" s="1"/>
  <c r="AM32" i="48" s="1"/>
  <c r="AN32" i="48" s="1"/>
  <c r="AO32" i="48" s="1"/>
  <c r="AK32" i="48" s="1"/>
  <c r="F7" i="48"/>
  <c r="F8" i="48" s="1"/>
  <c r="F9" i="48" s="1"/>
  <c r="F10" i="48" s="1"/>
  <c r="F11" i="48" s="1"/>
  <c r="F12" i="48" s="1"/>
  <c r="F13" i="48" s="1"/>
  <c r="F14" i="48" s="1"/>
  <c r="F15" i="48" s="1"/>
  <c r="F16" i="48" s="1"/>
  <c r="F17" i="48" s="1"/>
  <c r="F18" i="48" s="1"/>
  <c r="F19" i="48" s="1"/>
  <c r="F20" i="48" s="1"/>
  <c r="F21" i="48" s="1"/>
  <c r="F22" i="48" s="1"/>
  <c r="F23" i="48" s="1"/>
  <c r="F24" i="48" s="1"/>
  <c r="F25" i="48" s="1"/>
  <c r="F26" i="48" s="1"/>
  <c r="F27" i="48" s="1"/>
  <c r="F28" i="48" s="1"/>
  <c r="F29" i="48" s="1"/>
  <c r="F30" i="48" s="1"/>
  <c r="F31" i="48" s="1"/>
  <c r="F32" i="48" s="1"/>
  <c r="F33" i="48" s="1"/>
  <c r="L42" i="48" s="1"/>
  <c r="E7" i="48"/>
  <c r="D15" i="48" s="1"/>
  <c r="D6" i="48"/>
  <c r="G46" i="48" s="1"/>
  <c r="AU1" i="48"/>
  <c r="M71" i="25"/>
  <c r="K71" i="25"/>
  <c r="J71" i="25"/>
  <c r="I71" i="25"/>
  <c r="H71" i="25"/>
  <c r="G71" i="25"/>
  <c r="M70" i="25"/>
  <c r="K70" i="25"/>
  <c r="J70" i="25"/>
  <c r="I70" i="25"/>
  <c r="H70" i="25"/>
  <c r="G70" i="25"/>
  <c r="M69" i="25"/>
  <c r="K69" i="25"/>
  <c r="J69" i="25"/>
  <c r="I69" i="25"/>
  <c r="H69" i="25"/>
  <c r="G69" i="25"/>
  <c r="M68" i="25"/>
  <c r="K68" i="25"/>
  <c r="J68" i="25"/>
  <c r="I68" i="25"/>
  <c r="H68" i="25"/>
  <c r="G68" i="25"/>
  <c r="M67" i="25"/>
  <c r="K67" i="25"/>
  <c r="J67" i="25"/>
  <c r="I67" i="25"/>
  <c r="H67" i="25"/>
  <c r="G67" i="25"/>
  <c r="M66" i="25"/>
  <c r="K66" i="25"/>
  <c r="J66" i="25"/>
  <c r="I66" i="25"/>
  <c r="H66" i="25"/>
  <c r="G66" i="25"/>
  <c r="M65" i="25"/>
  <c r="K65" i="25"/>
  <c r="J65" i="25"/>
  <c r="I65" i="25"/>
  <c r="H65" i="25"/>
  <c r="G65" i="25"/>
  <c r="M64" i="25"/>
  <c r="K64" i="25"/>
  <c r="J64" i="25"/>
  <c r="I64" i="25"/>
  <c r="H64" i="25"/>
  <c r="G64" i="25"/>
  <c r="M63" i="25"/>
  <c r="K63" i="25"/>
  <c r="J63" i="25"/>
  <c r="I63" i="25"/>
  <c r="H63" i="25"/>
  <c r="G63" i="25"/>
  <c r="M62" i="25"/>
  <c r="K62" i="25"/>
  <c r="J62" i="25"/>
  <c r="I62" i="25"/>
  <c r="H62" i="25"/>
  <c r="G62" i="25"/>
  <c r="M61" i="25"/>
  <c r="K61" i="25"/>
  <c r="J61" i="25"/>
  <c r="I61" i="25"/>
  <c r="H61" i="25"/>
  <c r="G61" i="25"/>
  <c r="M60" i="25"/>
  <c r="K60" i="25"/>
  <c r="J60" i="25"/>
  <c r="I60" i="25"/>
  <c r="H60" i="25"/>
  <c r="G60" i="25"/>
  <c r="M59" i="25"/>
  <c r="K59" i="25"/>
  <c r="J59" i="25"/>
  <c r="I59" i="25"/>
  <c r="H59" i="25"/>
  <c r="G59" i="25"/>
  <c r="M58" i="25"/>
  <c r="K58" i="25"/>
  <c r="J58" i="25"/>
  <c r="I58" i="25"/>
  <c r="H58" i="25"/>
  <c r="G58" i="25"/>
  <c r="M57" i="25"/>
  <c r="K57" i="25"/>
  <c r="J57" i="25"/>
  <c r="I57" i="25"/>
  <c r="H57" i="25"/>
  <c r="G57" i="25"/>
  <c r="M56" i="25"/>
  <c r="K56" i="25"/>
  <c r="J56" i="25"/>
  <c r="I56" i="25"/>
  <c r="H56" i="25"/>
  <c r="G56" i="25"/>
  <c r="M55" i="25"/>
  <c r="K55" i="25"/>
  <c r="J55" i="25"/>
  <c r="I55" i="25"/>
  <c r="H55" i="25"/>
  <c r="G55" i="25"/>
  <c r="M54" i="25"/>
  <c r="K54" i="25"/>
  <c r="J54" i="25"/>
  <c r="I54" i="25"/>
  <c r="H54" i="25"/>
  <c r="G54" i="25"/>
  <c r="M53" i="25"/>
  <c r="K53" i="25"/>
  <c r="J53" i="25"/>
  <c r="I53" i="25"/>
  <c r="H53" i="25"/>
  <c r="G53" i="25"/>
  <c r="M52" i="25"/>
  <c r="K52" i="25"/>
  <c r="J52" i="25"/>
  <c r="I52" i="25"/>
  <c r="H52" i="25"/>
  <c r="G52" i="25"/>
  <c r="M51" i="25"/>
  <c r="K51" i="25"/>
  <c r="J51" i="25"/>
  <c r="I51" i="25"/>
  <c r="H51" i="25"/>
  <c r="G51" i="25"/>
  <c r="M50" i="25"/>
  <c r="K50" i="25"/>
  <c r="J50" i="25"/>
  <c r="I50" i="25"/>
  <c r="H50" i="25"/>
  <c r="G50" i="25"/>
  <c r="M49" i="25"/>
  <c r="K49" i="25"/>
  <c r="J49" i="25"/>
  <c r="I49" i="25"/>
  <c r="H49" i="25"/>
  <c r="G49" i="25"/>
  <c r="M48" i="25"/>
  <c r="K48" i="25"/>
  <c r="J48" i="25"/>
  <c r="I48" i="25"/>
  <c r="H48" i="25"/>
  <c r="G48" i="25"/>
  <c r="M47" i="25"/>
  <c r="L47" i="25"/>
  <c r="K47" i="25"/>
  <c r="J47" i="25"/>
  <c r="I47" i="25"/>
  <c r="H47" i="25"/>
  <c r="G47" i="25"/>
  <c r="L46" i="25"/>
  <c r="N46" i="25" s="1"/>
  <c r="H46" i="25"/>
  <c r="E34" i="25"/>
  <c r="AH33" i="25"/>
  <c r="AG33" i="25"/>
  <c r="AF33" i="25"/>
  <c r="AE33" i="25"/>
  <c r="E32" i="25"/>
  <c r="E31" i="25"/>
  <c r="E30" i="25"/>
  <c r="E29" i="25"/>
  <c r="E28" i="25"/>
  <c r="E27" i="25"/>
  <c r="E26" i="25"/>
  <c r="E25" i="25"/>
  <c r="D33" i="25" s="1"/>
  <c r="AH24" i="25"/>
  <c r="AG24" i="25"/>
  <c r="AF24" i="25"/>
  <c r="AE24" i="25"/>
  <c r="E23" i="25"/>
  <c r="E22" i="25"/>
  <c r="E21" i="25"/>
  <c r="E20" i="25"/>
  <c r="E19" i="25"/>
  <c r="E18" i="25"/>
  <c r="E17" i="25"/>
  <c r="E16" i="25"/>
  <c r="D24" i="25" s="1"/>
  <c r="AH15" i="25"/>
  <c r="AG15" i="25"/>
  <c r="AF15" i="25"/>
  <c r="AE15" i="25"/>
  <c r="AD15" i="25"/>
  <c r="Q15" i="25"/>
  <c r="O15" i="25"/>
  <c r="N15" i="25"/>
  <c r="M15" i="25"/>
  <c r="L15" i="25"/>
  <c r="K15" i="25"/>
  <c r="J15" i="25"/>
  <c r="I15" i="25"/>
  <c r="G15" i="25"/>
  <c r="E14" i="25"/>
  <c r="E13" i="25"/>
  <c r="E12" i="25"/>
  <c r="E11" i="25"/>
  <c r="E10" i="25"/>
  <c r="E9" i="25"/>
  <c r="E8" i="25"/>
  <c r="AM7" i="25"/>
  <c r="AN7" i="25" s="1"/>
  <c r="AO7" i="25" s="1"/>
  <c r="AK7" i="25"/>
  <c r="AM8" i="25" s="1"/>
  <c r="AN8" i="25" s="1"/>
  <c r="AO8" i="25" s="1"/>
  <c r="AK8" i="25" s="1"/>
  <c r="AM9" i="25" s="1"/>
  <c r="AN9" i="25" s="1"/>
  <c r="AO9" i="25" s="1"/>
  <c r="AK9" i="25" s="1"/>
  <c r="AM10" i="25" s="1"/>
  <c r="AN10" i="25" s="1"/>
  <c r="AO10" i="25" s="1"/>
  <c r="AK10" i="25" s="1"/>
  <c r="AM11" i="25" s="1"/>
  <c r="AN11" i="25" s="1"/>
  <c r="AO11" i="25" s="1"/>
  <c r="AK11" i="25" s="1"/>
  <c r="AM12" i="25" s="1"/>
  <c r="AN12" i="25" s="1"/>
  <c r="AO12" i="25" s="1"/>
  <c r="AK12" i="25" s="1"/>
  <c r="AM13" i="25" s="1"/>
  <c r="AN13" i="25" s="1"/>
  <c r="AO13" i="25" s="1"/>
  <c r="AK13" i="25" s="1"/>
  <c r="AM14" i="25" s="1"/>
  <c r="AN14" i="25" s="1"/>
  <c r="AO14" i="25" s="1"/>
  <c r="AK14" i="25" s="1"/>
  <c r="AK15" i="25" s="1"/>
  <c r="AM16" i="25" s="1"/>
  <c r="AN16" i="25" s="1"/>
  <c r="AO16" i="25" s="1"/>
  <c r="AK16" i="25" s="1"/>
  <c r="AM17" i="25" s="1"/>
  <c r="AN17" i="25" s="1"/>
  <c r="AO17" i="25" s="1"/>
  <c r="AK17" i="25" s="1"/>
  <c r="AM18" i="25" s="1"/>
  <c r="AN18" i="25" s="1"/>
  <c r="AO18" i="25" s="1"/>
  <c r="AK18" i="25" s="1"/>
  <c r="AM19" i="25" s="1"/>
  <c r="AN19" i="25" s="1"/>
  <c r="AO19" i="25" s="1"/>
  <c r="AK19" i="25" s="1"/>
  <c r="AM20" i="25" s="1"/>
  <c r="AN20" i="25" s="1"/>
  <c r="AO20" i="25" s="1"/>
  <c r="AK20" i="25" s="1"/>
  <c r="AM21" i="25" s="1"/>
  <c r="AN21" i="25" s="1"/>
  <c r="AO21" i="25" s="1"/>
  <c r="AK21" i="25" s="1"/>
  <c r="AM22" i="25" s="1"/>
  <c r="AN22" i="25" s="1"/>
  <c r="AO22" i="25" s="1"/>
  <c r="AK22" i="25" s="1"/>
  <c r="AM23" i="25" s="1"/>
  <c r="AN23" i="25" s="1"/>
  <c r="AO23" i="25" s="1"/>
  <c r="AK23" i="25" s="1"/>
  <c r="AK24" i="25" s="1"/>
  <c r="AM25" i="25" s="1"/>
  <c r="AN25" i="25" s="1"/>
  <c r="AO25" i="25" s="1"/>
  <c r="AK25" i="25" s="1"/>
  <c r="AM26" i="25" s="1"/>
  <c r="AN26" i="25" s="1"/>
  <c r="AO26" i="25" s="1"/>
  <c r="AK26" i="25" s="1"/>
  <c r="AM27" i="25" s="1"/>
  <c r="AN27" i="25" s="1"/>
  <c r="AO27" i="25" s="1"/>
  <c r="AK27" i="25" s="1"/>
  <c r="AM28" i="25" s="1"/>
  <c r="AN28" i="25" s="1"/>
  <c r="AO28" i="25" s="1"/>
  <c r="AK28" i="25" s="1"/>
  <c r="AM29" i="25" s="1"/>
  <c r="AN29" i="25" s="1"/>
  <c r="AO29" i="25" s="1"/>
  <c r="AK29" i="25" s="1"/>
  <c r="AM30" i="25" s="1"/>
  <c r="AN30" i="25" s="1"/>
  <c r="AO30" i="25" s="1"/>
  <c r="AK30" i="25" s="1"/>
  <c r="AM31" i="25" s="1"/>
  <c r="AN31" i="25" s="1"/>
  <c r="AO31" i="25" s="1"/>
  <c r="AK31" i="25" s="1"/>
  <c r="AM32" i="25" s="1"/>
  <c r="AN32" i="25" s="1"/>
  <c r="AO32" i="25" s="1"/>
  <c r="AK32" i="25" s="1"/>
  <c r="F7" i="25"/>
  <c r="F8" i="25" s="1"/>
  <c r="F9" i="25" s="1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L42" i="25" s="1"/>
  <c r="E7" i="25"/>
  <c r="G46" i="25"/>
  <c r="AU1" i="25"/>
  <c r="J33" i="69"/>
  <c r="I7" i="69"/>
  <c r="I8" i="69" s="1"/>
  <c r="I9" i="69" s="1"/>
  <c r="I10" i="69" s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B1" i="31" l="1"/>
  <c r="A18" i="69"/>
  <c r="AT29" i="52"/>
  <c r="AT30" i="52"/>
  <c r="AT31" i="52"/>
  <c r="AT32" i="52"/>
  <c r="AT33" i="52"/>
  <c r="AT34" i="52"/>
  <c r="AT35" i="52"/>
  <c r="AM26" i="52"/>
  <c r="AN26" i="52" s="1"/>
  <c r="AO26" i="52" s="1"/>
  <c r="E3" i="69"/>
  <c r="E4" i="69" s="1"/>
  <c r="E5" i="69" s="1"/>
  <c r="E6" i="69" s="1"/>
  <c r="E7" i="69" s="1"/>
  <c r="E8" i="69" s="1"/>
  <c r="E9" i="69" s="1"/>
  <c r="E10" i="69" s="1"/>
  <c r="E11" i="69" s="1"/>
  <c r="E12" i="69" s="1"/>
  <c r="E13" i="69" s="1"/>
  <c r="E14" i="69" s="1"/>
  <c r="E15" i="69" s="1"/>
  <c r="E16" i="69" s="1"/>
  <c r="E17" i="69" s="1"/>
  <c r="E18" i="69" s="1"/>
  <c r="E19" i="69" s="1"/>
  <c r="E20" i="69" s="1"/>
  <c r="E21" i="69" s="1"/>
  <c r="E22" i="69" s="1"/>
  <c r="E23" i="69" s="1"/>
  <c r="E24" i="69" s="1"/>
  <c r="E25" i="69" s="1"/>
  <c r="E26" i="69" s="1"/>
  <c r="E27" i="69" s="1"/>
  <c r="E28" i="69" s="1"/>
  <c r="E29" i="69" s="1"/>
  <c r="E30" i="69" s="1"/>
  <c r="E31" i="69" s="1"/>
  <c r="E32" i="69"/>
  <c r="G39" i="68"/>
  <c r="AP32" i="68"/>
  <c r="AL32" i="68"/>
  <c r="A32" i="68"/>
  <c r="AP31" i="68"/>
  <c r="AL31" i="68"/>
  <c r="A31" i="68"/>
  <c r="AP30" i="68"/>
  <c r="AL30" i="68"/>
  <c r="A30" i="68"/>
  <c r="AP29" i="68"/>
  <c r="AL29" i="68"/>
  <c r="A29" i="68"/>
  <c r="AP28" i="68"/>
  <c r="AL28" i="68"/>
  <c r="A28" i="68"/>
  <c r="AP27" i="68"/>
  <c r="AL27" i="68"/>
  <c r="A27" i="68"/>
  <c r="AP26" i="68"/>
  <c r="AL26" i="68"/>
  <c r="A26" i="68"/>
  <c r="AP25" i="68"/>
  <c r="AL25" i="68"/>
  <c r="A25" i="68"/>
  <c r="AP23" i="68"/>
  <c r="AL23" i="68"/>
  <c r="A23" i="68"/>
  <c r="AP22" i="68"/>
  <c r="AL22" i="68"/>
  <c r="A22" i="68"/>
  <c r="AP21" i="68"/>
  <c r="AL21" i="68"/>
  <c r="A21" i="68"/>
  <c r="AP20" i="68"/>
  <c r="AL20" i="68"/>
  <c r="A20" i="68"/>
  <c r="AP19" i="68"/>
  <c r="AL19" i="68"/>
  <c r="A19" i="68"/>
  <c r="AP18" i="68"/>
  <c r="AL18" i="68"/>
  <c r="A18" i="68"/>
  <c r="AP17" i="68"/>
  <c r="AL17" i="68"/>
  <c r="A17" i="68"/>
  <c r="AP16" i="68"/>
  <c r="AL16" i="68"/>
  <c r="A16" i="68"/>
  <c r="AP14" i="68"/>
  <c r="AL14" i="68"/>
  <c r="A14" i="68"/>
  <c r="AP13" i="68"/>
  <c r="AL13" i="68"/>
  <c r="A13" i="68"/>
  <c r="AP12" i="68"/>
  <c r="AL12" i="68"/>
  <c r="A12" i="68"/>
  <c r="AP11" i="68"/>
  <c r="AL11" i="68"/>
  <c r="A11" i="68"/>
  <c r="AP10" i="68"/>
  <c r="AL10" i="68"/>
  <c r="A10" i="68"/>
  <c r="AP9" i="68"/>
  <c r="AL9" i="68"/>
  <c r="A9" i="68"/>
  <c r="AP8" i="68"/>
  <c r="AL8" i="68"/>
  <c r="A8" i="68"/>
  <c r="AP7" i="68"/>
  <c r="AL7" i="68"/>
  <c r="A7" i="68"/>
  <c r="H40" i="68"/>
  <c r="I40" i="68"/>
  <c r="D35" i="68"/>
  <c r="J40" i="68"/>
  <c r="G39" i="67"/>
  <c r="AP32" i="67"/>
  <c r="AL32" i="67"/>
  <c r="A32" i="67"/>
  <c r="AP31" i="67"/>
  <c r="AL31" i="67"/>
  <c r="A31" i="67"/>
  <c r="AP30" i="67"/>
  <c r="AL30" i="67"/>
  <c r="A30" i="67"/>
  <c r="AP29" i="67"/>
  <c r="AL29" i="67"/>
  <c r="A29" i="67"/>
  <c r="AP28" i="67"/>
  <c r="AL28" i="67"/>
  <c r="A28" i="67"/>
  <c r="AP27" i="67"/>
  <c r="AL27" i="67"/>
  <c r="A27" i="67"/>
  <c r="AP26" i="67"/>
  <c r="AL26" i="67"/>
  <c r="A26" i="67"/>
  <c r="AP25" i="67"/>
  <c r="AL25" i="67"/>
  <c r="A25" i="67"/>
  <c r="AP23" i="67"/>
  <c r="AL23" i="67"/>
  <c r="A23" i="67"/>
  <c r="AP22" i="67"/>
  <c r="AL22" i="67"/>
  <c r="A22" i="67"/>
  <c r="AP21" i="67"/>
  <c r="AL21" i="67"/>
  <c r="A21" i="67"/>
  <c r="AP20" i="67"/>
  <c r="AL20" i="67"/>
  <c r="A20" i="67"/>
  <c r="AP19" i="67"/>
  <c r="AL19" i="67"/>
  <c r="A19" i="67"/>
  <c r="AP18" i="67"/>
  <c r="AL18" i="67"/>
  <c r="A18" i="67"/>
  <c r="AP17" i="67"/>
  <c r="AL17" i="67"/>
  <c r="A17" i="67"/>
  <c r="AP16" i="67"/>
  <c r="AL16" i="67"/>
  <c r="A16" i="67"/>
  <c r="AP14" i="67"/>
  <c r="AL14" i="67"/>
  <c r="A14" i="67"/>
  <c r="AP13" i="67"/>
  <c r="AL13" i="67"/>
  <c r="A13" i="67"/>
  <c r="AP12" i="67"/>
  <c r="AL12" i="67"/>
  <c r="A12" i="67"/>
  <c r="AP11" i="67"/>
  <c r="AL11" i="67"/>
  <c r="A11" i="67"/>
  <c r="AP10" i="67"/>
  <c r="AL10" i="67"/>
  <c r="A10" i="67"/>
  <c r="AP9" i="67"/>
  <c r="AL9" i="67"/>
  <c r="A9" i="67"/>
  <c r="AP8" i="67"/>
  <c r="AL8" i="67"/>
  <c r="A8" i="67"/>
  <c r="AP7" i="67"/>
  <c r="AL7" i="67"/>
  <c r="A7" i="67"/>
  <c r="H40" i="67"/>
  <c r="I40" i="67"/>
  <c r="D35" i="67"/>
  <c r="J40" i="67"/>
  <c r="G39" i="65"/>
  <c r="AP32" i="65"/>
  <c r="AL32" i="65"/>
  <c r="A32" i="65"/>
  <c r="AP31" i="65"/>
  <c r="AL31" i="65"/>
  <c r="A31" i="65"/>
  <c r="AP30" i="65"/>
  <c r="AL30" i="65"/>
  <c r="A30" i="65"/>
  <c r="AP29" i="65"/>
  <c r="AL29" i="65"/>
  <c r="A29" i="65"/>
  <c r="AP28" i="65"/>
  <c r="AL28" i="65"/>
  <c r="A28" i="65"/>
  <c r="AP27" i="65"/>
  <c r="AL27" i="65"/>
  <c r="A27" i="65"/>
  <c r="AP26" i="65"/>
  <c r="AL26" i="65"/>
  <c r="A26" i="65"/>
  <c r="AP25" i="65"/>
  <c r="AL25" i="65"/>
  <c r="A25" i="65"/>
  <c r="AP23" i="65"/>
  <c r="AL23" i="65"/>
  <c r="A23" i="65"/>
  <c r="AP22" i="65"/>
  <c r="AL22" i="65"/>
  <c r="A22" i="65"/>
  <c r="AP21" i="65"/>
  <c r="AL21" i="65"/>
  <c r="A21" i="65"/>
  <c r="AP20" i="65"/>
  <c r="AL20" i="65"/>
  <c r="A20" i="65"/>
  <c r="AP19" i="65"/>
  <c r="AL19" i="65"/>
  <c r="A19" i="65"/>
  <c r="AP18" i="65"/>
  <c r="AL18" i="65"/>
  <c r="A18" i="65"/>
  <c r="AP17" i="65"/>
  <c r="AL17" i="65"/>
  <c r="A17" i="65"/>
  <c r="AP16" i="65"/>
  <c r="AL16" i="65"/>
  <c r="A16" i="65"/>
  <c r="AP14" i="65"/>
  <c r="AL14" i="65"/>
  <c r="A14" i="65"/>
  <c r="AP13" i="65"/>
  <c r="AL13" i="65"/>
  <c r="A13" i="65"/>
  <c r="AP12" i="65"/>
  <c r="AL12" i="65"/>
  <c r="A12" i="65"/>
  <c r="AP11" i="65"/>
  <c r="AL11" i="65"/>
  <c r="A11" i="65"/>
  <c r="AP10" i="65"/>
  <c r="AL10" i="65"/>
  <c r="A10" i="65"/>
  <c r="AP9" i="65"/>
  <c r="AL9" i="65"/>
  <c r="A9" i="65"/>
  <c r="AP8" i="65"/>
  <c r="AL8" i="65"/>
  <c r="A8" i="65"/>
  <c r="AP7" i="65"/>
  <c r="AL7" i="65"/>
  <c r="A7" i="65"/>
  <c r="H40" i="65"/>
  <c r="I40" i="65"/>
  <c r="D35" i="65"/>
  <c r="J40" i="65"/>
  <c r="H40" i="64"/>
  <c r="I40" i="64"/>
  <c r="D35" i="64"/>
  <c r="J40" i="64"/>
  <c r="G39" i="31"/>
  <c r="AP32" i="31"/>
  <c r="AL32" i="31"/>
  <c r="A32" i="31"/>
  <c r="AP31" i="31"/>
  <c r="AL31" i="31"/>
  <c r="A31" i="31"/>
  <c r="AP30" i="31"/>
  <c r="AL30" i="31"/>
  <c r="A30" i="31"/>
  <c r="AP29" i="31"/>
  <c r="AL29" i="31"/>
  <c r="A29" i="31"/>
  <c r="AP28" i="31"/>
  <c r="AL28" i="31"/>
  <c r="A28" i="31"/>
  <c r="AP27" i="31"/>
  <c r="AL27" i="31"/>
  <c r="A27" i="31"/>
  <c r="AP26" i="31"/>
  <c r="AL26" i="31"/>
  <c r="A26" i="31"/>
  <c r="AP25" i="31"/>
  <c r="AL25" i="31"/>
  <c r="A25" i="31"/>
  <c r="AP23" i="31"/>
  <c r="AL23" i="31"/>
  <c r="A23" i="31"/>
  <c r="AP22" i="31"/>
  <c r="AL22" i="31"/>
  <c r="A22" i="31"/>
  <c r="AP21" i="31"/>
  <c r="AL21" i="31"/>
  <c r="A21" i="31"/>
  <c r="AP20" i="31"/>
  <c r="AL20" i="31"/>
  <c r="A20" i="31"/>
  <c r="AP19" i="31"/>
  <c r="AL19" i="31"/>
  <c r="A19" i="31"/>
  <c r="AP18" i="31"/>
  <c r="AL18" i="31"/>
  <c r="A18" i="31"/>
  <c r="AP17" i="31"/>
  <c r="AL17" i="31"/>
  <c r="A17" i="31"/>
  <c r="AP16" i="31"/>
  <c r="AL16" i="31"/>
  <c r="A16" i="31"/>
  <c r="AP14" i="31"/>
  <c r="AL14" i="31"/>
  <c r="A14" i="31"/>
  <c r="AP13" i="31"/>
  <c r="AL13" i="31"/>
  <c r="A13" i="31"/>
  <c r="AP12" i="31"/>
  <c r="AL12" i="31"/>
  <c r="A12" i="31"/>
  <c r="AP11" i="31"/>
  <c r="AL11" i="31"/>
  <c r="A11" i="31"/>
  <c r="AP10" i="31"/>
  <c r="AL10" i="31"/>
  <c r="A10" i="31"/>
  <c r="AP9" i="31"/>
  <c r="AL9" i="31"/>
  <c r="A9" i="31"/>
  <c r="AP8" i="31"/>
  <c r="AL8" i="31"/>
  <c r="A8" i="31"/>
  <c r="AP7" i="31"/>
  <c r="AL7" i="31"/>
  <c r="A7" i="31"/>
  <c r="H40" i="31"/>
  <c r="I40" i="31"/>
  <c r="D35" i="31"/>
  <c r="J40" i="31"/>
  <c r="G39" i="62"/>
  <c r="AP32" i="62"/>
  <c r="AL32" i="62"/>
  <c r="A32" i="62"/>
  <c r="AP31" i="62"/>
  <c r="AL31" i="62"/>
  <c r="A31" i="62"/>
  <c r="AP30" i="62"/>
  <c r="AL30" i="62"/>
  <c r="A30" i="62"/>
  <c r="AP29" i="62"/>
  <c r="AL29" i="62"/>
  <c r="A29" i="62"/>
  <c r="AP28" i="62"/>
  <c r="AL28" i="62"/>
  <c r="A28" i="62"/>
  <c r="AP27" i="62"/>
  <c r="AL27" i="62"/>
  <c r="A27" i="62"/>
  <c r="AP26" i="62"/>
  <c r="AL26" i="62"/>
  <c r="A26" i="62"/>
  <c r="AP25" i="62"/>
  <c r="AL25" i="62"/>
  <c r="A25" i="62"/>
  <c r="AP23" i="62"/>
  <c r="AL23" i="62"/>
  <c r="A23" i="62"/>
  <c r="AP22" i="62"/>
  <c r="AL22" i="62"/>
  <c r="A22" i="62"/>
  <c r="AP21" i="62"/>
  <c r="AL21" i="62"/>
  <c r="A21" i="62"/>
  <c r="AP20" i="62"/>
  <c r="AL20" i="62"/>
  <c r="A20" i="62"/>
  <c r="AP19" i="62"/>
  <c r="AL19" i="62"/>
  <c r="A19" i="62"/>
  <c r="AP18" i="62"/>
  <c r="AL18" i="62"/>
  <c r="A18" i="62"/>
  <c r="AP17" i="62"/>
  <c r="AL17" i="62"/>
  <c r="A17" i="62"/>
  <c r="AP16" i="62"/>
  <c r="AL16" i="62"/>
  <c r="A16" i="62"/>
  <c r="AP14" i="62"/>
  <c r="AL14" i="62"/>
  <c r="A14" i="62"/>
  <c r="AP13" i="62"/>
  <c r="AL13" i="62"/>
  <c r="A13" i="62"/>
  <c r="AP12" i="62"/>
  <c r="AL12" i="62"/>
  <c r="A12" i="62"/>
  <c r="AP11" i="62"/>
  <c r="AL11" i="62"/>
  <c r="A11" i="62"/>
  <c r="AP10" i="62"/>
  <c r="AL10" i="62"/>
  <c r="A10" i="62"/>
  <c r="AP9" i="62"/>
  <c r="AL9" i="62"/>
  <c r="A9" i="62"/>
  <c r="AP8" i="62"/>
  <c r="AL8" i="62"/>
  <c r="A8" i="62"/>
  <c r="AP7" i="62"/>
  <c r="AL7" i="62"/>
  <c r="A7" i="62"/>
  <c r="H40" i="62"/>
  <c r="I40" i="62"/>
  <c r="D35" i="62"/>
  <c r="J40" i="62"/>
  <c r="G39" i="61"/>
  <c r="AP32" i="61"/>
  <c r="AL32" i="61"/>
  <c r="A32" i="61"/>
  <c r="AP31" i="61"/>
  <c r="AL31" i="61"/>
  <c r="A31" i="61"/>
  <c r="AP30" i="61"/>
  <c r="AL30" i="61"/>
  <c r="A30" i="61"/>
  <c r="AP29" i="61"/>
  <c r="AL29" i="61"/>
  <c r="A29" i="61"/>
  <c r="AP28" i="61"/>
  <c r="AL28" i="61"/>
  <c r="A28" i="61"/>
  <c r="AP27" i="61"/>
  <c r="AL27" i="61"/>
  <c r="A27" i="61"/>
  <c r="AP26" i="61"/>
  <c r="AL26" i="61"/>
  <c r="A26" i="61"/>
  <c r="AP25" i="61"/>
  <c r="AL25" i="61"/>
  <c r="A25" i="61"/>
  <c r="AP23" i="61"/>
  <c r="AL23" i="61"/>
  <c r="A23" i="61"/>
  <c r="AP22" i="61"/>
  <c r="AL22" i="61"/>
  <c r="A22" i="61"/>
  <c r="AP21" i="61"/>
  <c r="AL21" i="61"/>
  <c r="A21" i="61"/>
  <c r="AP20" i="61"/>
  <c r="AL20" i="61"/>
  <c r="A20" i="61"/>
  <c r="AP19" i="61"/>
  <c r="AL19" i="61"/>
  <c r="A19" i="61"/>
  <c r="AP18" i="61"/>
  <c r="AL18" i="61"/>
  <c r="A18" i="61"/>
  <c r="AP17" i="61"/>
  <c r="AL17" i="61"/>
  <c r="A17" i="61"/>
  <c r="AP16" i="61"/>
  <c r="AL16" i="61"/>
  <c r="A16" i="61"/>
  <c r="AP14" i="61"/>
  <c r="AL14" i="61"/>
  <c r="A14" i="61"/>
  <c r="AP13" i="61"/>
  <c r="AL13" i="61"/>
  <c r="A13" i="61"/>
  <c r="AP12" i="61"/>
  <c r="AL12" i="61"/>
  <c r="A12" i="61"/>
  <c r="AP11" i="61"/>
  <c r="AL11" i="61"/>
  <c r="A11" i="61"/>
  <c r="AP10" i="61"/>
  <c r="AL10" i="61"/>
  <c r="A10" i="61"/>
  <c r="AP9" i="61"/>
  <c r="AL9" i="61"/>
  <c r="A9" i="61"/>
  <c r="AP8" i="61"/>
  <c r="AL8" i="61"/>
  <c r="A8" i="61"/>
  <c r="AP7" i="61"/>
  <c r="AL7" i="61"/>
  <c r="A7" i="61"/>
  <c r="H40" i="61"/>
  <c r="I40" i="61"/>
  <c r="D35" i="61"/>
  <c r="J40" i="61"/>
  <c r="G39" i="60"/>
  <c r="AP32" i="60"/>
  <c r="AL32" i="60"/>
  <c r="A32" i="60"/>
  <c r="AP31" i="60"/>
  <c r="AL31" i="60"/>
  <c r="A31" i="60"/>
  <c r="AP30" i="60"/>
  <c r="AL30" i="60"/>
  <c r="A30" i="60"/>
  <c r="AP29" i="60"/>
  <c r="AL29" i="60"/>
  <c r="A29" i="60"/>
  <c r="AP28" i="60"/>
  <c r="AL28" i="60"/>
  <c r="A28" i="60"/>
  <c r="AP27" i="60"/>
  <c r="AL27" i="60"/>
  <c r="A27" i="60"/>
  <c r="AP26" i="60"/>
  <c r="AL26" i="60"/>
  <c r="A26" i="60"/>
  <c r="AP25" i="60"/>
  <c r="AL25" i="60"/>
  <c r="A25" i="60"/>
  <c r="AP23" i="60"/>
  <c r="AL23" i="60"/>
  <c r="A23" i="60"/>
  <c r="AP22" i="60"/>
  <c r="AL22" i="60"/>
  <c r="A22" i="60"/>
  <c r="AP21" i="60"/>
  <c r="AL21" i="60"/>
  <c r="A21" i="60"/>
  <c r="AP20" i="60"/>
  <c r="AL20" i="60"/>
  <c r="A20" i="60"/>
  <c r="AP19" i="60"/>
  <c r="AL19" i="60"/>
  <c r="A19" i="60"/>
  <c r="AP18" i="60"/>
  <c r="AL18" i="60"/>
  <c r="A18" i="60"/>
  <c r="AP17" i="60"/>
  <c r="AL17" i="60"/>
  <c r="A17" i="60"/>
  <c r="AP16" i="60"/>
  <c r="AL16" i="60"/>
  <c r="A16" i="60"/>
  <c r="AP14" i="60"/>
  <c r="AL14" i="60"/>
  <c r="A14" i="60"/>
  <c r="AP13" i="60"/>
  <c r="AL13" i="60"/>
  <c r="A13" i="60"/>
  <c r="AP12" i="60"/>
  <c r="AL12" i="60"/>
  <c r="A12" i="60"/>
  <c r="AP11" i="60"/>
  <c r="AL11" i="60"/>
  <c r="A11" i="60"/>
  <c r="AP10" i="60"/>
  <c r="AL10" i="60"/>
  <c r="A10" i="60"/>
  <c r="AP9" i="60"/>
  <c r="AL9" i="60"/>
  <c r="A9" i="60"/>
  <c r="AP8" i="60"/>
  <c r="AL8" i="60"/>
  <c r="A8" i="60"/>
  <c r="AP7" i="60"/>
  <c r="AL7" i="60"/>
  <c r="A7" i="60"/>
  <c r="H40" i="60"/>
  <c r="I40" i="60"/>
  <c r="D35" i="60"/>
  <c r="J40" i="60"/>
  <c r="G39" i="59"/>
  <c r="AP32" i="59"/>
  <c r="AL32" i="59"/>
  <c r="A32" i="59"/>
  <c r="AP31" i="59"/>
  <c r="AL31" i="59"/>
  <c r="A31" i="59"/>
  <c r="AP30" i="59"/>
  <c r="AL30" i="59"/>
  <c r="A30" i="59"/>
  <c r="AP29" i="59"/>
  <c r="AL29" i="59"/>
  <c r="A29" i="59"/>
  <c r="AP28" i="59"/>
  <c r="AL28" i="59"/>
  <c r="A28" i="59"/>
  <c r="AP27" i="59"/>
  <c r="AL27" i="59"/>
  <c r="A27" i="59"/>
  <c r="AP26" i="59"/>
  <c r="AL26" i="59"/>
  <c r="A26" i="59"/>
  <c r="AP25" i="59"/>
  <c r="AL25" i="59"/>
  <c r="A25" i="59"/>
  <c r="AP23" i="59"/>
  <c r="AL23" i="59"/>
  <c r="A23" i="59"/>
  <c r="AP22" i="59"/>
  <c r="AL22" i="59"/>
  <c r="A22" i="59"/>
  <c r="AP21" i="59"/>
  <c r="AL21" i="59"/>
  <c r="A21" i="59"/>
  <c r="AP20" i="59"/>
  <c r="AL20" i="59"/>
  <c r="A20" i="59"/>
  <c r="AP19" i="59"/>
  <c r="AL19" i="59"/>
  <c r="A19" i="59"/>
  <c r="AP18" i="59"/>
  <c r="AL18" i="59"/>
  <c r="A18" i="59"/>
  <c r="AP17" i="59"/>
  <c r="AL17" i="59"/>
  <c r="A17" i="59"/>
  <c r="AP16" i="59"/>
  <c r="AL16" i="59"/>
  <c r="A16" i="59"/>
  <c r="AP14" i="59"/>
  <c r="AL14" i="59"/>
  <c r="A14" i="59"/>
  <c r="AP13" i="59"/>
  <c r="AL13" i="59"/>
  <c r="A13" i="59"/>
  <c r="AP12" i="59"/>
  <c r="AL12" i="59"/>
  <c r="A12" i="59"/>
  <c r="AP11" i="59"/>
  <c r="AL11" i="59"/>
  <c r="A11" i="59"/>
  <c r="AP10" i="59"/>
  <c r="AL10" i="59"/>
  <c r="A10" i="59"/>
  <c r="AP9" i="59"/>
  <c r="AL9" i="59"/>
  <c r="A9" i="59"/>
  <c r="AP8" i="59"/>
  <c r="AL8" i="59"/>
  <c r="A8" i="59"/>
  <c r="AP7" i="59"/>
  <c r="AL7" i="59"/>
  <c r="A7" i="59"/>
  <c r="H40" i="59"/>
  <c r="I40" i="59"/>
  <c r="D35" i="59"/>
  <c r="J40" i="59"/>
  <c r="G39" i="58"/>
  <c r="AP32" i="58"/>
  <c r="AL32" i="58"/>
  <c r="A32" i="58"/>
  <c r="AP31" i="58"/>
  <c r="AL31" i="58"/>
  <c r="A31" i="58"/>
  <c r="AP30" i="58"/>
  <c r="AL30" i="58"/>
  <c r="A30" i="58"/>
  <c r="AP29" i="58"/>
  <c r="AL29" i="58"/>
  <c r="A29" i="58"/>
  <c r="AP28" i="58"/>
  <c r="AL28" i="58"/>
  <c r="A28" i="58"/>
  <c r="AP27" i="58"/>
  <c r="AL27" i="58"/>
  <c r="A27" i="58"/>
  <c r="AP26" i="58"/>
  <c r="AL26" i="58"/>
  <c r="A26" i="58"/>
  <c r="AP25" i="58"/>
  <c r="AL25" i="58"/>
  <c r="A25" i="58"/>
  <c r="AP23" i="58"/>
  <c r="AL23" i="58"/>
  <c r="A23" i="58"/>
  <c r="AP22" i="58"/>
  <c r="AL22" i="58"/>
  <c r="A22" i="58"/>
  <c r="AP21" i="58"/>
  <c r="AL21" i="58"/>
  <c r="A21" i="58"/>
  <c r="AP20" i="58"/>
  <c r="AL20" i="58"/>
  <c r="A20" i="58"/>
  <c r="AP19" i="58"/>
  <c r="AL19" i="58"/>
  <c r="A19" i="58"/>
  <c r="AP18" i="58"/>
  <c r="AL18" i="58"/>
  <c r="A18" i="58"/>
  <c r="AP17" i="58"/>
  <c r="AL17" i="58"/>
  <c r="A17" i="58"/>
  <c r="AP16" i="58"/>
  <c r="AL16" i="58"/>
  <c r="A16" i="58"/>
  <c r="AP14" i="58"/>
  <c r="AL14" i="58"/>
  <c r="A14" i="58"/>
  <c r="AP13" i="58"/>
  <c r="AL13" i="58"/>
  <c r="A13" i="58"/>
  <c r="AP12" i="58"/>
  <c r="AL12" i="58"/>
  <c r="A12" i="58"/>
  <c r="AP11" i="58"/>
  <c r="AL11" i="58"/>
  <c r="A11" i="58"/>
  <c r="AP10" i="58"/>
  <c r="AL10" i="58"/>
  <c r="A10" i="58"/>
  <c r="AP9" i="58"/>
  <c r="AL9" i="58"/>
  <c r="A9" i="58"/>
  <c r="AP8" i="58"/>
  <c r="AL8" i="58"/>
  <c r="A8" i="58"/>
  <c r="AP7" i="58"/>
  <c r="AL7" i="58"/>
  <c r="A7" i="58"/>
  <c r="H40" i="58"/>
  <c r="I40" i="58"/>
  <c r="D35" i="58"/>
  <c r="J40" i="58"/>
  <c r="G39" i="55"/>
  <c r="AP32" i="55"/>
  <c r="AL32" i="55"/>
  <c r="A32" i="55"/>
  <c r="AP31" i="55"/>
  <c r="AL31" i="55"/>
  <c r="A31" i="55"/>
  <c r="AP30" i="55"/>
  <c r="AL30" i="55"/>
  <c r="A30" i="55"/>
  <c r="AP29" i="55"/>
  <c r="AL29" i="55"/>
  <c r="A29" i="55"/>
  <c r="AP28" i="55"/>
  <c r="AL28" i="55"/>
  <c r="A28" i="55"/>
  <c r="AP27" i="55"/>
  <c r="AL27" i="55"/>
  <c r="A27" i="55"/>
  <c r="AP26" i="55"/>
  <c r="AL26" i="55"/>
  <c r="A26" i="55"/>
  <c r="AP25" i="55"/>
  <c r="AL25" i="55"/>
  <c r="A25" i="55"/>
  <c r="AP23" i="55"/>
  <c r="AL23" i="55"/>
  <c r="A23" i="55"/>
  <c r="AP22" i="55"/>
  <c r="AL22" i="55"/>
  <c r="A22" i="55"/>
  <c r="AP21" i="55"/>
  <c r="AL21" i="55"/>
  <c r="A21" i="55"/>
  <c r="AP20" i="55"/>
  <c r="AL20" i="55"/>
  <c r="A20" i="55"/>
  <c r="AP19" i="55"/>
  <c r="AL19" i="55"/>
  <c r="A19" i="55"/>
  <c r="AP18" i="55"/>
  <c r="AL18" i="55"/>
  <c r="A18" i="55"/>
  <c r="AP17" i="55"/>
  <c r="AL17" i="55"/>
  <c r="A17" i="55"/>
  <c r="AP16" i="55"/>
  <c r="AL16" i="55"/>
  <c r="A16" i="55"/>
  <c r="AP14" i="55"/>
  <c r="AL14" i="55"/>
  <c r="A14" i="55"/>
  <c r="AP13" i="55"/>
  <c r="AL13" i="55"/>
  <c r="A13" i="55"/>
  <c r="AP12" i="55"/>
  <c r="AL12" i="55"/>
  <c r="A12" i="55"/>
  <c r="AP11" i="55"/>
  <c r="AL11" i="55"/>
  <c r="A11" i="55"/>
  <c r="AP10" i="55"/>
  <c r="AL10" i="55"/>
  <c r="A10" i="55"/>
  <c r="AP9" i="55"/>
  <c r="AL9" i="55"/>
  <c r="A9" i="55"/>
  <c r="AP8" i="55"/>
  <c r="AL8" i="55"/>
  <c r="A8" i="55"/>
  <c r="AP7" i="55"/>
  <c r="AL7" i="55"/>
  <c r="A7" i="55"/>
  <c r="H40" i="55"/>
  <c r="I40" i="55"/>
  <c r="D35" i="55"/>
  <c r="J40" i="55"/>
  <c r="G39" i="57"/>
  <c r="A12" i="69" s="1"/>
  <c r="AP32" i="57"/>
  <c r="AL32" i="57"/>
  <c r="A32" i="57"/>
  <c r="AP31" i="57"/>
  <c r="AL31" i="57"/>
  <c r="A31" i="57"/>
  <c r="AP30" i="57"/>
  <c r="AL30" i="57"/>
  <c r="A30" i="57"/>
  <c r="AP29" i="57"/>
  <c r="AL29" i="57"/>
  <c r="A29" i="57"/>
  <c r="AP28" i="57"/>
  <c r="AL28" i="57"/>
  <c r="A28" i="57"/>
  <c r="AP27" i="57"/>
  <c r="AL27" i="57"/>
  <c r="A27" i="57"/>
  <c r="AP26" i="57"/>
  <c r="AL26" i="57"/>
  <c r="A26" i="57"/>
  <c r="AP25" i="57"/>
  <c r="AL25" i="57"/>
  <c r="A25" i="57"/>
  <c r="AP23" i="57"/>
  <c r="AL23" i="57"/>
  <c r="A23" i="57"/>
  <c r="AP22" i="57"/>
  <c r="AL22" i="57"/>
  <c r="A22" i="57"/>
  <c r="AP21" i="57"/>
  <c r="AL21" i="57"/>
  <c r="A21" i="57"/>
  <c r="AP20" i="57"/>
  <c r="AL20" i="57"/>
  <c r="A20" i="57"/>
  <c r="AP19" i="57"/>
  <c r="AL19" i="57"/>
  <c r="A19" i="57"/>
  <c r="AP18" i="57"/>
  <c r="AL18" i="57"/>
  <c r="A18" i="57"/>
  <c r="AP17" i="57"/>
  <c r="AL17" i="57"/>
  <c r="A17" i="57"/>
  <c r="AP16" i="57"/>
  <c r="AL16" i="57"/>
  <c r="A16" i="57"/>
  <c r="AP14" i="57"/>
  <c r="AL14" i="57"/>
  <c r="A14" i="57"/>
  <c r="AP13" i="57"/>
  <c r="AL13" i="57"/>
  <c r="A13" i="57"/>
  <c r="AP12" i="57"/>
  <c r="AL12" i="57"/>
  <c r="A12" i="57"/>
  <c r="AP11" i="57"/>
  <c r="AL11" i="57"/>
  <c r="A11" i="57"/>
  <c r="AP10" i="57"/>
  <c r="AL10" i="57"/>
  <c r="A10" i="57"/>
  <c r="AP9" i="57"/>
  <c r="AL9" i="57"/>
  <c r="A9" i="57"/>
  <c r="AP8" i="57"/>
  <c r="AL8" i="57"/>
  <c r="A8" i="57"/>
  <c r="AP7" i="57"/>
  <c r="AL7" i="57"/>
  <c r="A7" i="57"/>
  <c r="H40" i="57"/>
  <c r="I40" i="57"/>
  <c r="D35" i="57"/>
  <c r="J40" i="57"/>
  <c r="G39" i="56"/>
  <c r="A11" i="69" s="1"/>
  <c r="AP32" i="56"/>
  <c r="AL32" i="56"/>
  <c r="A32" i="56"/>
  <c r="AP31" i="56"/>
  <c r="AL31" i="56"/>
  <c r="A31" i="56"/>
  <c r="AP30" i="56"/>
  <c r="AL30" i="56"/>
  <c r="A30" i="56"/>
  <c r="AP29" i="56"/>
  <c r="AL29" i="56"/>
  <c r="A29" i="56"/>
  <c r="AP28" i="56"/>
  <c r="AL28" i="56"/>
  <c r="A28" i="56"/>
  <c r="AP27" i="56"/>
  <c r="AL27" i="56"/>
  <c r="A27" i="56"/>
  <c r="AP26" i="56"/>
  <c r="AL26" i="56"/>
  <c r="A26" i="56"/>
  <c r="AP25" i="56"/>
  <c r="AL25" i="56"/>
  <c r="A25" i="56"/>
  <c r="AP23" i="56"/>
  <c r="AL23" i="56"/>
  <c r="A23" i="56"/>
  <c r="AP22" i="56"/>
  <c r="AL22" i="56"/>
  <c r="A22" i="56"/>
  <c r="AP21" i="56"/>
  <c r="AL21" i="56"/>
  <c r="A21" i="56"/>
  <c r="AP20" i="56"/>
  <c r="AL20" i="56"/>
  <c r="A20" i="56"/>
  <c r="AP19" i="56"/>
  <c r="AL19" i="56"/>
  <c r="A19" i="56"/>
  <c r="AP18" i="56"/>
  <c r="AL18" i="56"/>
  <c r="A18" i="56"/>
  <c r="AP17" i="56"/>
  <c r="AL17" i="56"/>
  <c r="A17" i="56"/>
  <c r="AP16" i="56"/>
  <c r="AL16" i="56"/>
  <c r="A16" i="56"/>
  <c r="AP14" i="56"/>
  <c r="AL14" i="56"/>
  <c r="A14" i="56"/>
  <c r="AP13" i="56"/>
  <c r="AL13" i="56"/>
  <c r="A13" i="56"/>
  <c r="AP12" i="56"/>
  <c r="AL12" i="56"/>
  <c r="A12" i="56"/>
  <c r="AP11" i="56"/>
  <c r="AL11" i="56"/>
  <c r="A11" i="56"/>
  <c r="AP10" i="56"/>
  <c r="AL10" i="56"/>
  <c r="A10" i="56"/>
  <c r="AP9" i="56"/>
  <c r="AL9" i="56"/>
  <c r="A9" i="56"/>
  <c r="AP8" i="56"/>
  <c r="AL8" i="56"/>
  <c r="A8" i="56"/>
  <c r="AP7" i="56"/>
  <c r="AL7" i="56"/>
  <c r="A7" i="56"/>
  <c r="H40" i="56"/>
  <c r="I40" i="56"/>
  <c r="D35" i="56"/>
  <c r="K40" i="56" s="1"/>
  <c r="B11" i="69" s="1"/>
  <c r="J40" i="56"/>
  <c r="G39" i="52"/>
  <c r="A10" i="69" s="1"/>
  <c r="AP32" i="52"/>
  <c r="AL32" i="52"/>
  <c r="A32" i="52"/>
  <c r="AP31" i="52"/>
  <c r="AL31" i="52"/>
  <c r="A31" i="52"/>
  <c r="AP30" i="52"/>
  <c r="AL30" i="52"/>
  <c r="A30" i="52"/>
  <c r="AP29" i="52"/>
  <c r="AL29" i="52"/>
  <c r="A29" i="52"/>
  <c r="AP28" i="52"/>
  <c r="AL28" i="52"/>
  <c r="A28" i="52"/>
  <c r="AP27" i="52"/>
  <c r="AL27" i="52"/>
  <c r="A27" i="52"/>
  <c r="AP26" i="52"/>
  <c r="AL26" i="52"/>
  <c r="A26" i="52"/>
  <c r="AP25" i="52"/>
  <c r="AL25" i="52"/>
  <c r="A25" i="52"/>
  <c r="AP23" i="52"/>
  <c r="AL23" i="52"/>
  <c r="A23" i="52"/>
  <c r="AP22" i="52"/>
  <c r="AL22" i="52"/>
  <c r="A22" i="52"/>
  <c r="AP21" i="52"/>
  <c r="AL21" i="52"/>
  <c r="A21" i="52"/>
  <c r="AP20" i="52"/>
  <c r="AL20" i="52"/>
  <c r="A20" i="52"/>
  <c r="AP19" i="52"/>
  <c r="AL19" i="52"/>
  <c r="A19" i="52"/>
  <c r="AP18" i="52"/>
  <c r="AL18" i="52"/>
  <c r="A18" i="52"/>
  <c r="AP17" i="52"/>
  <c r="AL17" i="52"/>
  <c r="A17" i="52"/>
  <c r="AP16" i="52"/>
  <c r="AL16" i="52"/>
  <c r="A16" i="52"/>
  <c r="AP14" i="52"/>
  <c r="AL14" i="52"/>
  <c r="A14" i="52"/>
  <c r="AP13" i="52"/>
  <c r="AL13" i="52"/>
  <c r="A13" i="52"/>
  <c r="AP12" i="52"/>
  <c r="AL12" i="52"/>
  <c r="A12" i="52"/>
  <c r="AP11" i="52"/>
  <c r="AL11" i="52"/>
  <c r="A11" i="52"/>
  <c r="AP10" i="52"/>
  <c r="AL10" i="52"/>
  <c r="A10" i="52"/>
  <c r="AP9" i="52"/>
  <c r="AL9" i="52"/>
  <c r="A9" i="52"/>
  <c r="AP8" i="52"/>
  <c r="AL8" i="52"/>
  <c r="A8" i="52"/>
  <c r="AP7" i="52"/>
  <c r="AL7" i="52"/>
  <c r="A7" i="52"/>
  <c r="H40" i="52"/>
  <c r="I40" i="52"/>
  <c r="D35" i="52"/>
  <c r="K40" i="52" s="1"/>
  <c r="B10" i="69" s="1"/>
  <c r="J40" i="52"/>
  <c r="G39" i="51"/>
  <c r="A9" i="69" s="1"/>
  <c r="AP32" i="51"/>
  <c r="AL32" i="51"/>
  <c r="A32" i="51"/>
  <c r="AP31" i="51"/>
  <c r="AL31" i="51"/>
  <c r="A31" i="51"/>
  <c r="AP30" i="51"/>
  <c r="AL30" i="51"/>
  <c r="A30" i="51"/>
  <c r="AP29" i="51"/>
  <c r="AL29" i="51"/>
  <c r="A29" i="51"/>
  <c r="AP28" i="51"/>
  <c r="AL28" i="51"/>
  <c r="A28" i="51"/>
  <c r="AP27" i="51"/>
  <c r="AL27" i="51"/>
  <c r="A27" i="51"/>
  <c r="AP26" i="51"/>
  <c r="AL26" i="51"/>
  <c r="A26" i="51"/>
  <c r="AP25" i="51"/>
  <c r="AL25" i="51"/>
  <c r="A25" i="51"/>
  <c r="AP23" i="51"/>
  <c r="AL23" i="51"/>
  <c r="A23" i="51"/>
  <c r="AP22" i="51"/>
  <c r="AL22" i="51"/>
  <c r="A22" i="51"/>
  <c r="AP21" i="51"/>
  <c r="AL21" i="51"/>
  <c r="A21" i="51"/>
  <c r="AP20" i="51"/>
  <c r="AL20" i="51"/>
  <c r="A20" i="51"/>
  <c r="AP19" i="51"/>
  <c r="AL19" i="51"/>
  <c r="A19" i="51"/>
  <c r="AP18" i="51"/>
  <c r="AL18" i="51"/>
  <c r="A18" i="51"/>
  <c r="AP17" i="51"/>
  <c r="AL17" i="51"/>
  <c r="A17" i="51"/>
  <c r="AP16" i="51"/>
  <c r="AL16" i="51"/>
  <c r="A16" i="51"/>
  <c r="AP14" i="51"/>
  <c r="AL14" i="51"/>
  <c r="A14" i="51"/>
  <c r="AP13" i="51"/>
  <c r="AL13" i="51"/>
  <c r="A13" i="51"/>
  <c r="AP12" i="51"/>
  <c r="AL12" i="51"/>
  <c r="A12" i="51"/>
  <c r="AP11" i="51"/>
  <c r="AL11" i="51"/>
  <c r="A11" i="51"/>
  <c r="AP10" i="51"/>
  <c r="AL10" i="51"/>
  <c r="A10" i="51"/>
  <c r="AP9" i="51"/>
  <c r="AL9" i="51"/>
  <c r="A9" i="51"/>
  <c r="AP8" i="51"/>
  <c r="AL8" i="51"/>
  <c r="A8" i="51"/>
  <c r="AP7" i="51"/>
  <c r="AL7" i="51"/>
  <c r="A7" i="51"/>
  <c r="H40" i="51"/>
  <c r="I40" i="51"/>
  <c r="D35" i="51"/>
  <c r="J40" i="51"/>
  <c r="G39" i="50"/>
  <c r="A8" i="69" s="1"/>
  <c r="AP32" i="50"/>
  <c r="AL32" i="50"/>
  <c r="A32" i="50"/>
  <c r="AP31" i="50"/>
  <c r="AL31" i="50"/>
  <c r="A31" i="50"/>
  <c r="AP30" i="50"/>
  <c r="AL30" i="50"/>
  <c r="A30" i="50"/>
  <c r="AP29" i="50"/>
  <c r="AL29" i="50"/>
  <c r="A29" i="50"/>
  <c r="AP28" i="50"/>
  <c r="AL28" i="50"/>
  <c r="A28" i="50"/>
  <c r="AP27" i="50"/>
  <c r="AL27" i="50"/>
  <c r="A27" i="50"/>
  <c r="AP26" i="50"/>
  <c r="AL26" i="50"/>
  <c r="A26" i="50"/>
  <c r="AP25" i="50"/>
  <c r="AL25" i="50"/>
  <c r="A25" i="50"/>
  <c r="AP23" i="50"/>
  <c r="AL23" i="50"/>
  <c r="A23" i="50"/>
  <c r="AP22" i="50"/>
  <c r="AL22" i="50"/>
  <c r="A22" i="50"/>
  <c r="AP21" i="50"/>
  <c r="AL21" i="50"/>
  <c r="A21" i="50"/>
  <c r="AP20" i="50"/>
  <c r="AL20" i="50"/>
  <c r="A20" i="50"/>
  <c r="AP19" i="50"/>
  <c r="AL19" i="50"/>
  <c r="A19" i="50"/>
  <c r="AP18" i="50"/>
  <c r="AL18" i="50"/>
  <c r="A18" i="50"/>
  <c r="AP17" i="50"/>
  <c r="AL17" i="50"/>
  <c r="A17" i="50"/>
  <c r="AP16" i="50"/>
  <c r="AL16" i="50"/>
  <c r="A16" i="50"/>
  <c r="AP14" i="50"/>
  <c r="AL14" i="50"/>
  <c r="A14" i="50"/>
  <c r="AP13" i="50"/>
  <c r="AL13" i="50"/>
  <c r="A13" i="50"/>
  <c r="AP12" i="50"/>
  <c r="AL12" i="50"/>
  <c r="A12" i="50"/>
  <c r="AP11" i="50"/>
  <c r="AL11" i="50"/>
  <c r="A11" i="50"/>
  <c r="AP10" i="50"/>
  <c r="AL10" i="50"/>
  <c r="A10" i="50"/>
  <c r="AP9" i="50"/>
  <c r="AL9" i="50"/>
  <c r="A9" i="50"/>
  <c r="AP8" i="50"/>
  <c r="AL8" i="50"/>
  <c r="A8" i="50"/>
  <c r="AP7" i="50"/>
  <c r="AL7" i="50"/>
  <c r="A7" i="50"/>
  <c r="H40" i="50"/>
  <c r="I40" i="50"/>
  <c r="D35" i="50"/>
  <c r="K40" i="50" s="1"/>
  <c r="B8" i="69" s="1"/>
  <c r="J40" i="50"/>
  <c r="G39" i="49"/>
  <c r="A7" i="69" s="1"/>
  <c r="AP32" i="49"/>
  <c r="AL32" i="49"/>
  <c r="A32" i="49"/>
  <c r="AP31" i="49"/>
  <c r="AL31" i="49"/>
  <c r="A31" i="49"/>
  <c r="AP30" i="49"/>
  <c r="AL30" i="49"/>
  <c r="A30" i="49"/>
  <c r="AP29" i="49"/>
  <c r="AL29" i="49"/>
  <c r="A29" i="49"/>
  <c r="AP28" i="49"/>
  <c r="AL28" i="49"/>
  <c r="A28" i="49"/>
  <c r="AP27" i="49"/>
  <c r="AL27" i="49"/>
  <c r="A27" i="49"/>
  <c r="AP26" i="49"/>
  <c r="AL26" i="49"/>
  <c r="A26" i="49"/>
  <c r="AP25" i="49"/>
  <c r="AL25" i="49"/>
  <c r="A25" i="49"/>
  <c r="AP23" i="49"/>
  <c r="AL23" i="49"/>
  <c r="A23" i="49"/>
  <c r="AP22" i="49"/>
  <c r="AL22" i="49"/>
  <c r="A22" i="49"/>
  <c r="AP21" i="49"/>
  <c r="AL21" i="49"/>
  <c r="A21" i="49"/>
  <c r="AP20" i="49"/>
  <c r="AL20" i="49"/>
  <c r="A20" i="49"/>
  <c r="AP19" i="49"/>
  <c r="AL19" i="49"/>
  <c r="A19" i="49"/>
  <c r="AP18" i="49"/>
  <c r="AL18" i="49"/>
  <c r="A18" i="49"/>
  <c r="AP17" i="49"/>
  <c r="AL17" i="49"/>
  <c r="A17" i="49"/>
  <c r="AP16" i="49"/>
  <c r="AL16" i="49"/>
  <c r="A16" i="49"/>
  <c r="AP14" i="49"/>
  <c r="AL14" i="49"/>
  <c r="A14" i="49"/>
  <c r="AP13" i="49"/>
  <c r="AL13" i="49"/>
  <c r="A13" i="49"/>
  <c r="AP12" i="49"/>
  <c r="AL12" i="49"/>
  <c r="A12" i="49"/>
  <c r="AP11" i="49"/>
  <c r="AL11" i="49"/>
  <c r="A11" i="49"/>
  <c r="AP10" i="49"/>
  <c r="AL10" i="49"/>
  <c r="A10" i="49"/>
  <c r="AP9" i="49"/>
  <c r="AL9" i="49"/>
  <c r="A9" i="49"/>
  <c r="AP8" i="49"/>
  <c r="AL8" i="49"/>
  <c r="A8" i="49"/>
  <c r="AP7" i="49"/>
  <c r="AL7" i="49"/>
  <c r="A7" i="49"/>
  <c r="H40" i="49"/>
  <c r="D35" i="49"/>
  <c r="K40" i="49" s="1"/>
  <c r="J40" i="49"/>
  <c r="G39" i="27"/>
  <c r="A6" i="69" s="1"/>
  <c r="AP32" i="27"/>
  <c r="AL32" i="27"/>
  <c r="A32" i="27"/>
  <c r="AP31" i="27"/>
  <c r="AL31" i="27"/>
  <c r="A31" i="27"/>
  <c r="AP30" i="27"/>
  <c r="AL30" i="27"/>
  <c r="A30" i="27"/>
  <c r="AP29" i="27"/>
  <c r="AL29" i="27"/>
  <c r="A29" i="27"/>
  <c r="AP28" i="27"/>
  <c r="AL28" i="27"/>
  <c r="A28" i="27"/>
  <c r="AP27" i="27"/>
  <c r="AL27" i="27"/>
  <c r="A27" i="27"/>
  <c r="AP26" i="27"/>
  <c r="AL26" i="27"/>
  <c r="A26" i="27"/>
  <c r="AP25" i="27"/>
  <c r="AL25" i="27"/>
  <c r="A25" i="27"/>
  <c r="AP23" i="27"/>
  <c r="AL23" i="27"/>
  <c r="A23" i="27"/>
  <c r="AP22" i="27"/>
  <c r="AL22" i="27"/>
  <c r="A22" i="27"/>
  <c r="AP21" i="27"/>
  <c r="AL21" i="27"/>
  <c r="A21" i="27"/>
  <c r="AP20" i="27"/>
  <c r="AL20" i="27"/>
  <c r="A20" i="27"/>
  <c r="AP19" i="27"/>
  <c r="AL19" i="27"/>
  <c r="A19" i="27"/>
  <c r="AP18" i="27"/>
  <c r="AL18" i="27"/>
  <c r="A18" i="27"/>
  <c r="AP17" i="27"/>
  <c r="AL17" i="27"/>
  <c r="A17" i="27"/>
  <c r="AP16" i="27"/>
  <c r="AL16" i="27"/>
  <c r="A16" i="27"/>
  <c r="AP14" i="27"/>
  <c r="AL14" i="27"/>
  <c r="A14" i="27"/>
  <c r="AP13" i="27"/>
  <c r="AL13" i="27"/>
  <c r="A13" i="27"/>
  <c r="AP12" i="27"/>
  <c r="AL12" i="27"/>
  <c r="A12" i="27"/>
  <c r="AP11" i="27"/>
  <c r="AL11" i="27"/>
  <c r="A11" i="27"/>
  <c r="AP10" i="27"/>
  <c r="AL10" i="27"/>
  <c r="A10" i="27"/>
  <c r="AP9" i="27"/>
  <c r="AL9" i="27"/>
  <c r="A9" i="27"/>
  <c r="AP8" i="27"/>
  <c r="AL8" i="27"/>
  <c r="A8" i="27"/>
  <c r="AP7" i="27"/>
  <c r="AL7" i="27"/>
  <c r="A7" i="27"/>
  <c r="H40" i="27"/>
  <c r="I40" i="27"/>
  <c r="D35" i="27"/>
  <c r="J40" i="27"/>
  <c r="G39" i="48"/>
  <c r="AP32" i="48"/>
  <c r="AL32" i="48"/>
  <c r="A32" i="48"/>
  <c r="AP31" i="48"/>
  <c r="AL31" i="48"/>
  <c r="A31" i="48"/>
  <c r="AP30" i="48"/>
  <c r="AL30" i="48"/>
  <c r="A30" i="48"/>
  <c r="AP29" i="48"/>
  <c r="AL29" i="48"/>
  <c r="A29" i="48"/>
  <c r="AP28" i="48"/>
  <c r="AL28" i="48"/>
  <c r="A28" i="48"/>
  <c r="AP27" i="48"/>
  <c r="AL27" i="48"/>
  <c r="A27" i="48"/>
  <c r="AP26" i="48"/>
  <c r="AL26" i="48"/>
  <c r="A26" i="48"/>
  <c r="AP25" i="48"/>
  <c r="AL25" i="48"/>
  <c r="A25" i="48"/>
  <c r="AP23" i="48"/>
  <c r="AL23" i="48"/>
  <c r="A23" i="48"/>
  <c r="AP22" i="48"/>
  <c r="AL22" i="48"/>
  <c r="A22" i="48"/>
  <c r="AP21" i="48"/>
  <c r="AL21" i="48"/>
  <c r="A21" i="48"/>
  <c r="AP20" i="48"/>
  <c r="AL20" i="48"/>
  <c r="A20" i="48"/>
  <c r="AP19" i="48"/>
  <c r="AL19" i="48"/>
  <c r="A19" i="48"/>
  <c r="AP18" i="48"/>
  <c r="AL18" i="48"/>
  <c r="A18" i="48"/>
  <c r="AP17" i="48"/>
  <c r="AL17" i="48"/>
  <c r="A17" i="48"/>
  <c r="AP16" i="48"/>
  <c r="AL16" i="48"/>
  <c r="A16" i="48"/>
  <c r="AP14" i="48"/>
  <c r="AL14" i="48"/>
  <c r="A14" i="48"/>
  <c r="AP13" i="48"/>
  <c r="AL13" i="48"/>
  <c r="A13" i="48"/>
  <c r="AP12" i="48"/>
  <c r="AL12" i="48"/>
  <c r="A12" i="48"/>
  <c r="AP11" i="48"/>
  <c r="AL11" i="48"/>
  <c r="A11" i="48"/>
  <c r="AP10" i="48"/>
  <c r="AL10" i="48"/>
  <c r="A10" i="48"/>
  <c r="AP9" i="48"/>
  <c r="AL9" i="48"/>
  <c r="A9" i="48"/>
  <c r="AP8" i="48"/>
  <c r="AL8" i="48"/>
  <c r="A8" i="48"/>
  <c r="AP7" i="48"/>
  <c r="AL7" i="48"/>
  <c r="A7" i="48"/>
  <c r="H40" i="48"/>
  <c r="I40" i="48"/>
  <c r="D35" i="48"/>
  <c r="J40" i="48"/>
  <c r="G39" i="25"/>
  <c r="AP32" i="25"/>
  <c r="AL32" i="25"/>
  <c r="A32" i="25"/>
  <c r="AP31" i="25"/>
  <c r="AL31" i="25"/>
  <c r="A31" i="25"/>
  <c r="AP30" i="25"/>
  <c r="AL30" i="25"/>
  <c r="A30" i="25"/>
  <c r="AP29" i="25"/>
  <c r="AL29" i="25"/>
  <c r="A29" i="25"/>
  <c r="AP28" i="25"/>
  <c r="AL28" i="25"/>
  <c r="A28" i="25"/>
  <c r="AP27" i="25"/>
  <c r="AL27" i="25"/>
  <c r="A27" i="25"/>
  <c r="AP26" i="25"/>
  <c r="AL26" i="25"/>
  <c r="A26" i="25"/>
  <c r="AP25" i="25"/>
  <c r="AL25" i="25"/>
  <c r="A25" i="25"/>
  <c r="AP23" i="25"/>
  <c r="AL23" i="25"/>
  <c r="A23" i="25"/>
  <c r="AP22" i="25"/>
  <c r="AL22" i="25"/>
  <c r="A22" i="25"/>
  <c r="AP21" i="25"/>
  <c r="AL21" i="25"/>
  <c r="A21" i="25"/>
  <c r="AP20" i="25"/>
  <c r="AL20" i="25"/>
  <c r="A20" i="25"/>
  <c r="AP19" i="25"/>
  <c r="AL19" i="25"/>
  <c r="A19" i="25"/>
  <c r="AP18" i="25"/>
  <c r="AL18" i="25"/>
  <c r="A18" i="25"/>
  <c r="AP17" i="25"/>
  <c r="AL17" i="25"/>
  <c r="A17" i="25"/>
  <c r="AP16" i="25"/>
  <c r="AL16" i="25"/>
  <c r="A16" i="25"/>
  <c r="AP14" i="25"/>
  <c r="AL14" i="25"/>
  <c r="A14" i="25"/>
  <c r="AP13" i="25"/>
  <c r="AL13" i="25"/>
  <c r="A13" i="25"/>
  <c r="AP12" i="25"/>
  <c r="AL12" i="25"/>
  <c r="A12" i="25"/>
  <c r="AP11" i="25"/>
  <c r="AL11" i="25"/>
  <c r="A11" i="25"/>
  <c r="AP10" i="25"/>
  <c r="AL10" i="25"/>
  <c r="A10" i="25"/>
  <c r="AP9" i="25"/>
  <c r="AL9" i="25"/>
  <c r="A9" i="25"/>
  <c r="AP8" i="25"/>
  <c r="AL8" i="25"/>
  <c r="A8" i="25"/>
  <c r="AP7" i="25"/>
  <c r="AL7" i="25"/>
  <c r="A7" i="25"/>
  <c r="H40" i="25"/>
  <c r="I40" i="25"/>
  <c r="D35" i="25"/>
  <c r="J40" i="25"/>
  <c r="K40" i="61" l="1"/>
  <c r="B17" i="69" s="1"/>
  <c r="B1" i="64"/>
  <c r="A19" i="69"/>
  <c r="K40" i="60"/>
  <c r="B16" i="69" s="1"/>
  <c r="K40" i="59"/>
  <c r="B15" i="69" s="1"/>
  <c r="K40" i="58"/>
  <c r="B14" i="69" s="1"/>
  <c r="AM27" i="52"/>
  <c r="AN27" i="52" s="1"/>
  <c r="K40" i="51"/>
  <c r="B9" i="69" s="1"/>
  <c r="E35" i="51"/>
  <c r="A5" i="69"/>
  <c r="I46" i="68"/>
  <c r="H35" i="68"/>
  <c r="E35" i="68"/>
  <c r="K42" i="68" s="1"/>
  <c r="AT7" i="68"/>
  <c r="AU7" i="68" s="1"/>
  <c r="AS7" i="68"/>
  <c r="AQ7" i="68"/>
  <c r="AR7" i="68"/>
  <c r="AT8" i="68"/>
  <c r="AU8" i="68" s="1"/>
  <c r="L49" i="68" s="1"/>
  <c r="AS8" i="68"/>
  <c r="AQ8" i="68"/>
  <c r="AR8" i="68"/>
  <c r="AT9" i="68"/>
  <c r="AU9" i="68" s="1"/>
  <c r="L50" i="68" s="1"/>
  <c r="AS9" i="68"/>
  <c r="AQ9" i="68"/>
  <c r="AR9" i="68"/>
  <c r="AT10" i="68"/>
  <c r="AU10" i="68" s="1"/>
  <c r="L51" i="68" s="1"/>
  <c r="AS10" i="68"/>
  <c r="AQ10" i="68"/>
  <c r="AR10" i="68"/>
  <c r="AT11" i="68"/>
  <c r="AU11" i="68" s="1"/>
  <c r="L52" i="68" s="1"/>
  <c r="AS11" i="68"/>
  <c r="AQ11" i="68"/>
  <c r="AR11" i="68"/>
  <c r="AT12" i="68"/>
  <c r="AU12" i="68" s="1"/>
  <c r="L53" i="68" s="1"/>
  <c r="AS12" i="68"/>
  <c r="AQ12" i="68"/>
  <c r="AR12" i="68"/>
  <c r="AT13" i="68"/>
  <c r="AU13" i="68" s="1"/>
  <c r="L54" i="68" s="1"/>
  <c r="AS13" i="68"/>
  <c r="AQ13" i="68"/>
  <c r="AR13" i="68"/>
  <c r="AT14" i="68"/>
  <c r="AU14" i="68" s="1"/>
  <c r="L55" i="68" s="1"/>
  <c r="AS14" i="68"/>
  <c r="AQ14" i="68"/>
  <c r="AR14" i="68"/>
  <c r="AT16" i="68"/>
  <c r="AU16" i="68" s="1"/>
  <c r="AS16" i="68"/>
  <c r="AQ16" i="68"/>
  <c r="AR16" i="68"/>
  <c r="AT17" i="68"/>
  <c r="AU17" i="68" s="1"/>
  <c r="L57" i="68" s="1"/>
  <c r="AS17" i="68"/>
  <c r="AQ17" i="68"/>
  <c r="AR17" i="68"/>
  <c r="AT18" i="68"/>
  <c r="AU18" i="68" s="1"/>
  <c r="L58" i="68" s="1"/>
  <c r="AS18" i="68"/>
  <c r="AQ18" i="68"/>
  <c r="AR18" i="68"/>
  <c r="AT19" i="68"/>
  <c r="AU19" i="68" s="1"/>
  <c r="L59" i="68" s="1"/>
  <c r="AS19" i="68"/>
  <c r="AQ19" i="68"/>
  <c r="AR19" i="68"/>
  <c r="AT20" i="68"/>
  <c r="AU20" i="68" s="1"/>
  <c r="L60" i="68" s="1"/>
  <c r="AS20" i="68"/>
  <c r="AQ20" i="68"/>
  <c r="AR20" i="68"/>
  <c r="AT21" i="68"/>
  <c r="AU21" i="68" s="1"/>
  <c r="L61" i="68" s="1"/>
  <c r="AS21" i="68"/>
  <c r="AQ21" i="68"/>
  <c r="AR21" i="68"/>
  <c r="AT22" i="68"/>
  <c r="AU22" i="68" s="1"/>
  <c r="L62" i="68" s="1"/>
  <c r="AS22" i="68"/>
  <c r="AQ22" i="68"/>
  <c r="AR22" i="68"/>
  <c r="AT23" i="68"/>
  <c r="AU23" i="68" s="1"/>
  <c r="L63" i="68" s="1"/>
  <c r="AS23" i="68"/>
  <c r="AQ23" i="68"/>
  <c r="AR23" i="68"/>
  <c r="AT25" i="68"/>
  <c r="AU25" i="68" s="1"/>
  <c r="AS25" i="68"/>
  <c r="AQ25" i="68"/>
  <c r="AR25" i="68"/>
  <c r="AT26" i="68"/>
  <c r="AU26" i="68" s="1"/>
  <c r="L65" i="68" s="1"/>
  <c r="AS26" i="68"/>
  <c r="AQ26" i="68"/>
  <c r="AR26" i="68"/>
  <c r="AT27" i="68"/>
  <c r="AU27" i="68" s="1"/>
  <c r="L66" i="68" s="1"/>
  <c r="AS27" i="68"/>
  <c r="AQ27" i="68"/>
  <c r="AR27" i="68"/>
  <c r="AT28" i="68"/>
  <c r="AU28" i="68" s="1"/>
  <c r="L67" i="68" s="1"/>
  <c r="AS28" i="68"/>
  <c r="AQ28" i="68"/>
  <c r="AR28" i="68"/>
  <c r="AT29" i="68"/>
  <c r="AU29" i="68" s="1"/>
  <c r="L68" i="68" s="1"/>
  <c r="AS29" i="68"/>
  <c r="AQ29" i="68"/>
  <c r="AR29" i="68"/>
  <c r="AT30" i="68"/>
  <c r="AU30" i="68" s="1"/>
  <c r="L69" i="68" s="1"/>
  <c r="AS30" i="68"/>
  <c r="AQ30" i="68"/>
  <c r="AR30" i="68"/>
  <c r="AT31" i="68"/>
  <c r="AU31" i="68" s="1"/>
  <c r="L70" i="68" s="1"/>
  <c r="AS31" i="68"/>
  <c r="AQ31" i="68"/>
  <c r="AR31" i="68"/>
  <c r="AT32" i="68"/>
  <c r="AU32" i="68" s="1"/>
  <c r="L71" i="68" s="1"/>
  <c r="AS32" i="68"/>
  <c r="AQ32" i="68"/>
  <c r="AR32" i="68"/>
  <c r="I46" i="67"/>
  <c r="H35" i="67"/>
  <c r="E35" i="67"/>
  <c r="K42" i="67" s="1"/>
  <c r="AT7" i="67"/>
  <c r="AU7" i="67" s="1"/>
  <c r="AS7" i="67"/>
  <c r="AQ7" i="67"/>
  <c r="AR7" i="67"/>
  <c r="AT8" i="67"/>
  <c r="AU8" i="67" s="1"/>
  <c r="L49" i="67" s="1"/>
  <c r="AS8" i="67"/>
  <c r="AQ8" i="67"/>
  <c r="AR8" i="67"/>
  <c r="AT9" i="67"/>
  <c r="AU9" i="67" s="1"/>
  <c r="L50" i="67" s="1"/>
  <c r="AS9" i="67"/>
  <c r="AQ9" i="67"/>
  <c r="AR9" i="67"/>
  <c r="AT10" i="67"/>
  <c r="AU10" i="67" s="1"/>
  <c r="L51" i="67" s="1"/>
  <c r="AS10" i="67"/>
  <c r="AQ10" i="67"/>
  <c r="AR10" i="67"/>
  <c r="AT11" i="67"/>
  <c r="AU11" i="67" s="1"/>
  <c r="L52" i="67" s="1"/>
  <c r="AS11" i="67"/>
  <c r="AQ11" i="67"/>
  <c r="AR11" i="67"/>
  <c r="AT12" i="67"/>
  <c r="AU12" i="67" s="1"/>
  <c r="L53" i="67" s="1"/>
  <c r="AS12" i="67"/>
  <c r="AQ12" i="67"/>
  <c r="AR12" i="67"/>
  <c r="AT13" i="67"/>
  <c r="AU13" i="67" s="1"/>
  <c r="L54" i="67" s="1"/>
  <c r="AS13" i="67"/>
  <c r="AQ13" i="67"/>
  <c r="AR13" i="67"/>
  <c r="AT14" i="67"/>
  <c r="AU14" i="67" s="1"/>
  <c r="L55" i="67" s="1"/>
  <c r="AS14" i="67"/>
  <c r="AQ14" i="67"/>
  <c r="AR14" i="67"/>
  <c r="AT16" i="67"/>
  <c r="AU16" i="67" s="1"/>
  <c r="AS16" i="67"/>
  <c r="AQ16" i="67"/>
  <c r="AR16" i="67"/>
  <c r="AT17" i="67"/>
  <c r="AU17" i="67" s="1"/>
  <c r="L57" i="67" s="1"/>
  <c r="AS17" i="67"/>
  <c r="AQ17" i="67"/>
  <c r="AR17" i="67"/>
  <c r="AT18" i="67"/>
  <c r="AU18" i="67" s="1"/>
  <c r="L58" i="67" s="1"/>
  <c r="AS18" i="67"/>
  <c r="AQ18" i="67"/>
  <c r="AR18" i="67"/>
  <c r="AT19" i="67"/>
  <c r="AU19" i="67" s="1"/>
  <c r="L59" i="67" s="1"/>
  <c r="AS19" i="67"/>
  <c r="AQ19" i="67"/>
  <c r="AR19" i="67"/>
  <c r="AT20" i="67"/>
  <c r="AU20" i="67" s="1"/>
  <c r="L60" i="67" s="1"/>
  <c r="AS20" i="67"/>
  <c r="AQ20" i="67"/>
  <c r="AR20" i="67"/>
  <c r="AT21" i="67"/>
  <c r="AU21" i="67" s="1"/>
  <c r="L61" i="67" s="1"/>
  <c r="AS21" i="67"/>
  <c r="AQ21" i="67"/>
  <c r="AR21" i="67"/>
  <c r="AT22" i="67"/>
  <c r="AU22" i="67" s="1"/>
  <c r="L62" i="67" s="1"/>
  <c r="AS22" i="67"/>
  <c r="AQ22" i="67"/>
  <c r="AR22" i="67"/>
  <c r="AT23" i="67"/>
  <c r="AU23" i="67" s="1"/>
  <c r="L63" i="67" s="1"/>
  <c r="AS23" i="67"/>
  <c r="AQ23" i="67"/>
  <c r="AR23" i="67"/>
  <c r="AT25" i="67"/>
  <c r="AU25" i="67" s="1"/>
  <c r="AS25" i="67"/>
  <c r="AQ25" i="67"/>
  <c r="AR25" i="67"/>
  <c r="AT26" i="67"/>
  <c r="AU26" i="67" s="1"/>
  <c r="L65" i="67" s="1"/>
  <c r="AS26" i="67"/>
  <c r="AQ26" i="67"/>
  <c r="AR26" i="67"/>
  <c r="AT27" i="67"/>
  <c r="AU27" i="67" s="1"/>
  <c r="L66" i="67" s="1"/>
  <c r="AS27" i="67"/>
  <c r="AQ27" i="67"/>
  <c r="AR27" i="67"/>
  <c r="AT28" i="67"/>
  <c r="AU28" i="67" s="1"/>
  <c r="L67" i="67" s="1"/>
  <c r="AS28" i="67"/>
  <c r="AQ28" i="67"/>
  <c r="AR28" i="67"/>
  <c r="AT29" i="67"/>
  <c r="AU29" i="67" s="1"/>
  <c r="L68" i="67" s="1"/>
  <c r="AS29" i="67"/>
  <c r="AQ29" i="67"/>
  <c r="AR29" i="67"/>
  <c r="AT30" i="67"/>
  <c r="AU30" i="67" s="1"/>
  <c r="L69" i="67" s="1"/>
  <c r="AS30" i="67"/>
  <c r="AQ30" i="67"/>
  <c r="AR30" i="67"/>
  <c r="AT31" i="67"/>
  <c r="AU31" i="67" s="1"/>
  <c r="L70" i="67" s="1"/>
  <c r="AS31" i="67"/>
  <c r="AQ31" i="67"/>
  <c r="AR31" i="67"/>
  <c r="AT32" i="67"/>
  <c r="AU32" i="67" s="1"/>
  <c r="L71" i="67" s="1"/>
  <c r="AS32" i="67"/>
  <c r="AQ32" i="67"/>
  <c r="AR32" i="67"/>
  <c r="I46" i="65"/>
  <c r="H35" i="65"/>
  <c r="E35" i="65"/>
  <c r="K42" i="65" s="1"/>
  <c r="AT7" i="65"/>
  <c r="AU7" i="65" s="1"/>
  <c r="AS7" i="65"/>
  <c r="AQ7" i="65"/>
  <c r="AR7" i="65"/>
  <c r="AT8" i="65"/>
  <c r="AU8" i="65" s="1"/>
  <c r="L49" i="65" s="1"/>
  <c r="AS8" i="65"/>
  <c r="AQ8" i="65"/>
  <c r="AR8" i="65"/>
  <c r="AT9" i="65"/>
  <c r="AU9" i="65" s="1"/>
  <c r="L50" i="65" s="1"/>
  <c r="AS9" i="65"/>
  <c r="AQ9" i="65"/>
  <c r="AR9" i="65"/>
  <c r="AT10" i="65"/>
  <c r="AU10" i="65" s="1"/>
  <c r="L51" i="65" s="1"/>
  <c r="AS10" i="65"/>
  <c r="AQ10" i="65"/>
  <c r="AR10" i="65"/>
  <c r="AT11" i="65"/>
  <c r="AU11" i="65" s="1"/>
  <c r="L52" i="65" s="1"/>
  <c r="AS11" i="65"/>
  <c r="AQ11" i="65"/>
  <c r="AR11" i="65"/>
  <c r="AT12" i="65"/>
  <c r="AU12" i="65" s="1"/>
  <c r="L53" i="65" s="1"/>
  <c r="AS12" i="65"/>
  <c r="AQ12" i="65"/>
  <c r="AR12" i="65"/>
  <c r="AT13" i="65"/>
  <c r="AU13" i="65" s="1"/>
  <c r="L54" i="65" s="1"/>
  <c r="AS13" i="65"/>
  <c r="AQ13" i="65"/>
  <c r="AR13" i="65"/>
  <c r="AT14" i="65"/>
  <c r="AU14" i="65" s="1"/>
  <c r="L55" i="65" s="1"/>
  <c r="AS14" i="65"/>
  <c r="AQ14" i="65"/>
  <c r="AR14" i="65"/>
  <c r="AT16" i="65"/>
  <c r="AU16" i="65" s="1"/>
  <c r="AS16" i="65"/>
  <c r="AQ16" i="65"/>
  <c r="AR16" i="65"/>
  <c r="AT17" i="65"/>
  <c r="AU17" i="65" s="1"/>
  <c r="L57" i="65" s="1"/>
  <c r="AS17" i="65"/>
  <c r="AQ17" i="65"/>
  <c r="AR17" i="65"/>
  <c r="AT18" i="65"/>
  <c r="AU18" i="65" s="1"/>
  <c r="L58" i="65" s="1"/>
  <c r="AS18" i="65"/>
  <c r="AQ18" i="65"/>
  <c r="AR18" i="65"/>
  <c r="AT19" i="65"/>
  <c r="AU19" i="65" s="1"/>
  <c r="L59" i="65" s="1"/>
  <c r="AS19" i="65"/>
  <c r="AQ19" i="65"/>
  <c r="AR19" i="65"/>
  <c r="AT20" i="65"/>
  <c r="AU20" i="65" s="1"/>
  <c r="L60" i="65" s="1"/>
  <c r="AS20" i="65"/>
  <c r="AQ20" i="65"/>
  <c r="AR20" i="65"/>
  <c r="AT21" i="65"/>
  <c r="AU21" i="65" s="1"/>
  <c r="L61" i="65" s="1"/>
  <c r="AS21" i="65"/>
  <c r="AQ21" i="65"/>
  <c r="AR21" i="65"/>
  <c r="AT22" i="65"/>
  <c r="AU22" i="65" s="1"/>
  <c r="L62" i="65" s="1"/>
  <c r="AS22" i="65"/>
  <c r="AQ22" i="65"/>
  <c r="AR22" i="65"/>
  <c r="AT23" i="65"/>
  <c r="AU23" i="65" s="1"/>
  <c r="L63" i="65" s="1"/>
  <c r="AS23" i="65"/>
  <c r="AQ23" i="65"/>
  <c r="AR23" i="65"/>
  <c r="AT25" i="65"/>
  <c r="AU25" i="65" s="1"/>
  <c r="AS25" i="65"/>
  <c r="AQ25" i="65"/>
  <c r="AR25" i="65"/>
  <c r="AT26" i="65"/>
  <c r="AU26" i="65" s="1"/>
  <c r="L65" i="65" s="1"/>
  <c r="AS26" i="65"/>
  <c r="AQ26" i="65"/>
  <c r="AR26" i="65"/>
  <c r="AT27" i="65"/>
  <c r="AU27" i="65" s="1"/>
  <c r="L66" i="65" s="1"/>
  <c r="AS27" i="65"/>
  <c r="AQ27" i="65"/>
  <c r="AR27" i="65"/>
  <c r="AT28" i="65"/>
  <c r="AU28" i="65" s="1"/>
  <c r="L67" i="65" s="1"/>
  <c r="AS28" i="65"/>
  <c r="AQ28" i="65"/>
  <c r="AR28" i="65"/>
  <c r="AT29" i="65"/>
  <c r="AU29" i="65" s="1"/>
  <c r="L68" i="65" s="1"/>
  <c r="AS29" i="65"/>
  <c r="AQ29" i="65"/>
  <c r="AR29" i="65"/>
  <c r="AT30" i="65"/>
  <c r="AU30" i="65" s="1"/>
  <c r="L69" i="65" s="1"/>
  <c r="AS30" i="65"/>
  <c r="AQ30" i="65"/>
  <c r="AR30" i="65"/>
  <c r="AT31" i="65"/>
  <c r="AU31" i="65" s="1"/>
  <c r="L70" i="65" s="1"/>
  <c r="AS31" i="65"/>
  <c r="AQ31" i="65"/>
  <c r="AR31" i="65"/>
  <c r="AT32" i="65"/>
  <c r="AU32" i="65" s="1"/>
  <c r="L71" i="65" s="1"/>
  <c r="AS32" i="65"/>
  <c r="AQ32" i="65"/>
  <c r="AR32" i="65"/>
  <c r="I46" i="64"/>
  <c r="H35" i="64"/>
  <c r="E35" i="64"/>
  <c r="K42" i="64" s="1"/>
  <c r="I46" i="31"/>
  <c r="H35" i="31"/>
  <c r="E35" i="31"/>
  <c r="K42" i="31" s="1"/>
  <c r="AT7" i="31"/>
  <c r="AU7" i="31" s="1"/>
  <c r="AS7" i="31"/>
  <c r="AQ7" i="31"/>
  <c r="AR7" i="31"/>
  <c r="AT8" i="31"/>
  <c r="AU8" i="31" s="1"/>
  <c r="L49" i="31" s="1"/>
  <c r="AS8" i="31"/>
  <c r="AQ8" i="31"/>
  <c r="AR8" i="31"/>
  <c r="AT9" i="31"/>
  <c r="AU9" i="31" s="1"/>
  <c r="L50" i="31" s="1"/>
  <c r="AS9" i="31"/>
  <c r="AQ9" i="31"/>
  <c r="AR9" i="31"/>
  <c r="AT10" i="31"/>
  <c r="AU10" i="31" s="1"/>
  <c r="L51" i="31" s="1"/>
  <c r="AS10" i="31"/>
  <c r="AQ10" i="31"/>
  <c r="AR10" i="31"/>
  <c r="AT11" i="31"/>
  <c r="AU11" i="31" s="1"/>
  <c r="L52" i="31" s="1"/>
  <c r="AS11" i="31"/>
  <c r="AQ11" i="31"/>
  <c r="AR11" i="31"/>
  <c r="AT12" i="31"/>
  <c r="AU12" i="31" s="1"/>
  <c r="L53" i="31" s="1"/>
  <c r="AS12" i="31"/>
  <c r="AQ12" i="31"/>
  <c r="AR12" i="31"/>
  <c r="AT13" i="31"/>
  <c r="AU13" i="31" s="1"/>
  <c r="L54" i="31" s="1"/>
  <c r="AS13" i="31"/>
  <c r="AQ13" i="31"/>
  <c r="AR13" i="31"/>
  <c r="AT14" i="31"/>
  <c r="AU14" i="31" s="1"/>
  <c r="L55" i="31" s="1"/>
  <c r="AS14" i="31"/>
  <c r="AQ14" i="31"/>
  <c r="AR14" i="31"/>
  <c r="AT16" i="31"/>
  <c r="AU16" i="31" s="1"/>
  <c r="AS16" i="31"/>
  <c r="AQ16" i="31"/>
  <c r="AR16" i="31"/>
  <c r="AT17" i="31"/>
  <c r="AU17" i="31" s="1"/>
  <c r="L57" i="31" s="1"/>
  <c r="AS17" i="31"/>
  <c r="AQ17" i="31"/>
  <c r="AR17" i="31"/>
  <c r="AT18" i="31"/>
  <c r="AU18" i="31" s="1"/>
  <c r="L58" i="31" s="1"/>
  <c r="AS18" i="31"/>
  <c r="AQ18" i="31"/>
  <c r="AR18" i="31"/>
  <c r="AT19" i="31"/>
  <c r="AU19" i="31" s="1"/>
  <c r="L59" i="31" s="1"/>
  <c r="AS19" i="31"/>
  <c r="AQ19" i="31"/>
  <c r="AR19" i="31"/>
  <c r="AT20" i="31"/>
  <c r="AU20" i="31" s="1"/>
  <c r="L60" i="31" s="1"/>
  <c r="AS20" i="31"/>
  <c r="AQ20" i="31"/>
  <c r="AR20" i="31"/>
  <c r="AT21" i="31"/>
  <c r="AU21" i="31" s="1"/>
  <c r="L61" i="31" s="1"/>
  <c r="AS21" i="31"/>
  <c r="AQ21" i="31"/>
  <c r="AR21" i="31"/>
  <c r="AT22" i="31"/>
  <c r="AU22" i="31" s="1"/>
  <c r="L62" i="31" s="1"/>
  <c r="AS22" i="31"/>
  <c r="AQ22" i="31"/>
  <c r="AR22" i="31"/>
  <c r="AT23" i="31"/>
  <c r="AU23" i="31" s="1"/>
  <c r="L63" i="31" s="1"/>
  <c r="AS23" i="31"/>
  <c r="AQ23" i="31"/>
  <c r="AR23" i="31"/>
  <c r="AT25" i="31"/>
  <c r="AU25" i="31" s="1"/>
  <c r="AS25" i="31"/>
  <c r="AQ25" i="31"/>
  <c r="AR25" i="31"/>
  <c r="AT26" i="31"/>
  <c r="AU26" i="31" s="1"/>
  <c r="L65" i="31" s="1"/>
  <c r="AS26" i="31"/>
  <c r="AQ26" i="31"/>
  <c r="AR26" i="31"/>
  <c r="AT27" i="31"/>
  <c r="AU27" i="31" s="1"/>
  <c r="L66" i="31" s="1"/>
  <c r="AS27" i="31"/>
  <c r="AQ27" i="31"/>
  <c r="AR27" i="31"/>
  <c r="AT28" i="31"/>
  <c r="AU28" i="31" s="1"/>
  <c r="L67" i="31" s="1"/>
  <c r="AS28" i="31"/>
  <c r="AQ28" i="31"/>
  <c r="AR28" i="31"/>
  <c r="AT29" i="31"/>
  <c r="AU29" i="31" s="1"/>
  <c r="L68" i="31" s="1"/>
  <c r="AS29" i="31"/>
  <c r="AQ29" i="31"/>
  <c r="AR29" i="31"/>
  <c r="AT30" i="31"/>
  <c r="AU30" i="31" s="1"/>
  <c r="L69" i="31" s="1"/>
  <c r="AS30" i="31"/>
  <c r="AQ30" i="31"/>
  <c r="AR30" i="31"/>
  <c r="AT31" i="31"/>
  <c r="AU31" i="31" s="1"/>
  <c r="L70" i="31" s="1"/>
  <c r="AS31" i="31"/>
  <c r="AQ31" i="31"/>
  <c r="AR31" i="31"/>
  <c r="AT32" i="31"/>
  <c r="AU32" i="31" s="1"/>
  <c r="L71" i="31" s="1"/>
  <c r="AS32" i="31"/>
  <c r="AQ32" i="31"/>
  <c r="AR32" i="31"/>
  <c r="I46" i="62"/>
  <c r="H35" i="62"/>
  <c r="E35" i="62"/>
  <c r="K42" i="62" s="1"/>
  <c r="AT7" i="62"/>
  <c r="AU7" i="62" s="1"/>
  <c r="AS7" i="62"/>
  <c r="AQ7" i="62"/>
  <c r="AR7" i="62"/>
  <c r="AT8" i="62"/>
  <c r="AU8" i="62" s="1"/>
  <c r="L49" i="62" s="1"/>
  <c r="AS8" i="62"/>
  <c r="AQ8" i="62"/>
  <c r="AR8" i="62"/>
  <c r="AT9" i="62"/>
  <c r="AU9" i="62" s="1"/>
  <c r="L50" i="62" s="1"/>
  <c r="AS9" i="62"/>
  <c r="AQ9" i="62"/>
  <c r="AR9" i="62"/>
  <c r="AT10" i="62"/>
  <c r="AU10" i="62" s="1"/>
  <c r="L51" i="62" s="1"/>
  <c r="AS10" i="62"/>
  <c r="AQ10" i="62"/>
  <c r="AR10" i="62"/>
  <c r="AT11" i="62"/>
  <c r="AU11" i="62" s="1"/>
  <c r="L52" i="62" s="1"/>
  <c r="AS11" i="62"/>
  <c r="AQ11" i="62"/>
  <c r="AR11" i="62"/>
  <c r="AT12" i="62"/>
  <c r="AU12" i="62" s="1"/>
  <c r="L53" i="62" s="1"/>
  <c r="AS12" i="62"/>
  <c r="AQ12" i="62"/>
  <c r="AR12" i="62"/>
  <c r="AT13" i="62"/>
  <c r="AU13" i="62" s="1"/>
  <c r="L54" i="62" s="1"/>
  <c r="AS13" i="62"/>
  <c r="AQ13" i="62"/>
  <c r="AR13" i="62"/>
  <c r="AT14" i="62"/>
  <c r="AU14" i="62" s="1"/>
  <c r="L55" i="62" s="1"/>
  <c r="AS14" i="62"/>
  <c r="AQ14" i="62"/>
  <c r="AR14" i="62"/>
  <c r="AT16" i="62"/>
  <c r="AU16" i="62" s="1"/>
  <c r="AS16" i="62"/>
  <c r="AQ16" i="62"/>
  <c r="AR16" i="62"/>
  <c r="AT17" i="62"/>
  <c r="AU17" i="62" s="1"/>
  <c r="L57" i="62" s="1"/>
  <c r="AS17" i="62"/>
  <c r="AQ17" i="62"/>
  <c r="AR17" i="62"/>
  <c r="AT18" i="62"/>
  <c r="AU18" i="62" s="1"/>
  <c r="L58" i="62" s="1"/>
  <c r="AS18" i="62"/>
  <c r="AQ18" i="62"/>
  <c r="AR18" i="62"/>
  <c r="AT19" i="62"/>
  <c r="AU19" i="62" s="1"/>
  <c r="L59" i="62" s="1"/>
  <c r="AS19" i="62"/>
  <c r="AQ19" i="62"/>
  <c r="AR19" i="62"/>
  <c r="AT20" i="62"/>
  <c r="AU20" i="62" s="1"/>
  <c r="L60" i="62" s="1"/>
  <c r="AS20" i="62"/>
  <c r="AQ20" i="62"/>
  <c r="AR20" i="62"/>
  <c r="AT21" i="62"/>
  <c r="AU21" i="62" s="1"/>
  <c r="L61" i="62" s="1"/>
  <c r="AS21" i="62"/>
  <c r="AQ21" i="62"/>
  <c r="AR21" i="62"/>
  <c r="AT22" i="62"/>
  <c r="AU22" i="62" s="1"/>
  <c r="L62" i="62" s="1"/>
  <c r="AS22" i="62"/>
  <c r="AQ22" i="62"/>
  <c r="AR22" i="62"/>
  <c r="AT23" i="62"/>
  <c r="AU23" i="62" s="1"/>
  <c r="L63" i="62" s="1"/>
  <c r="AS23" i="62"/>
  <c r="AQ23" i="62"/>
  <c r="AR23" i="62"/>
  <c r="AT25" i="62"/>
  <c r="AU25" i="62" s="1"/>
  <c r="AS25" i="62"/>
  <c r="AQ25" i="62"/>
  <c r="AR25" i="62"/>
  <c r="AT26" i="62"/>
  <c r="AU26" i="62" s="1"/>
  <c r="L65" i="62" s="1"/>
  <c r="AS26" i="62"/>
  <c r="AQ26" i="62"/>
  <c r="AR26" i="62"/>
  <c r="AT27" i="62"/>
  <c r="AU27" i="62" s="1"/>
  <c r="L66" i="62" s="1"/>
  <c r="AS27" i="62"/>
  <c r="AQ27" i="62"/>
  <c r="AR27" i="62"/>
  <c r="AT28" i="62"/>
  <c r="AU28" i="62" s="1"/>
  <c r="L67" i="62" s="1"/>
  <c r="AS28" i="62"/>
  <c r="AQ28" i="62"/>
  <c r="AR28" i="62"/>
  <c r="AT29" i="62"/>
  <c r="AU29" i="62" s="1"/>
  <c r="L68" i="62" s="1"/>
  <c r="AS29" i="62"/>
  <c r="AQ29" i="62"/>
  <c r="AR29" i="62"/>
  <c r="AT30" i="62"/>
  <c r="AU30" i="62" s="1"/>
  <c r="L69" i="62" s="1"/>
  <c r="AS30" i="62"/>
  <c r="AQ30" i="62"/>
  <c r="AR30" i="62"/>
  <c r="AT31" i="62"/>
  <c r="AU31" i="62" s="1"/>
  <c r="L70" i="62" s="1"/>
  <c r="AS31" i="62"/>
  <c r="AQ31" i="62"/>
  <c r="AR31" i="62"/>
  <c r="AT32" i="62"/>
  <c r="AU32" i="62" s="1"/>
  <c r="L71" i="62" s="1"/>
  <c r="AS32" i="62"/>
  <c r="AQ32" i="62"/>
  <c r="AR32" i="62"/>
  <c r="I46" i="61"/>
  <c r="H35" i="61"/>
  <c r="E35" i="61"/>
  <c r="K42" i="61" s="1"/>
  <c r="AT7" i="61"/>
  <c r="AU7" i="61" s="1"/>
  <c r="AS7" i="61"/>
  <c r="AQ7" i="61"/>
  <c r="AR7" i="61"/>
  <c r="AS8" i="61"/>
  <c r="AQ8" i="61"/>
  <c r="AR8" i="61"/>
  <c r="AS9" i="61"/>
  <c r="AQ9" i="61"/>
  <c r="AR9" i="61"/>
  <c r="AT10" i="61"/>
  <c r="AU10" i="61" s="1"/>
  <c r="L51" i="61" s="1"/>
  <c r="AS10" i="61"/>
  <c r="AQ10" i="61"/>
  <c r="AR10" i="61"/>
  <c r="AS11" i="61"/>
  <c r="AQ11" i="61"/>
  <c r="AR11" i="61"/>
  <c r="AT12" i="61"/>
  <c r="AU12" i="61" s="1"/>
  <c r="L53" i="61" s="1"/>
  <c r="AS12" i="61"/>
  <c r="AQ12" i="61"/>
  <c r="AR12" i="61"/>
  <c r="AT13" i="61"/>
  <c r="AU13" i="61" s="1"/>
  <c r="L54" i="61" s="1"/>
  <c r="AS13" i="61"/>
  <c r="AQ13" i="61"/>
  <c r="AR13" i="61"/>
  <c r="AT14" i="61"/>
  <c r="AU14" i="61" s="1"/>
  <c r="L55" i="61" s="1"/>
  <c r="AS14" i="61"/>
  <c r="AQ14" i="61"/>
  <c r="AR14" i="61"/>
  <c r="AT16" i="61"/>
  <c r="AU16" i="61" s="1"/>
  <c r="AS16" i="61"/>
  <c r="AQ16" i="61"/>
  <c r="AR16" i="61"/>
  <c r="AT17" i="61"/>
  <c r="AU17" i="61" s="1"/>
  <c r="L57" i="61" s="1"/>
  <c r="AS17" i="61"/>
  <c r="AQ17" i="61"/>
  <c r="AR17" i="61"/>
  <c r="AT18" i="61"/>
  <c r="AU18" i="61" s="1"/>
  <c r="L58" i="61" s="1"/>
  <c r="AS18" i="61"/>
  <c r="AQ18" i="61"/>
  <c r="AR18" i="61"/>
  <c r="AT19" i="61"/>
  <c r="AU19" i="61" s="1"/>
  <c r="L59" i="61" s="1"/>
  <c r="AS19" i="61"/>
  <c r="AQ19" i="61"/>
  <c r="AR19" i="61"/>
  <c r="AT20" i="61"/>
  <c r="AU20" i="61" s="1"/>
  <c r="L60" i="61" s="1"/>
  <c r="AS20" i="61"/>
  <c r="AQ20" i="61"/>
  <c r="AR20" i="61"/>
  <c r="AT21" i="61"/>
  <c r="AU21" i="61" s="1"/>
  <c r="L61" i="61" s="1"/>
  <c r="AS21" i="61"/>
  <c r="AQ21" i="61"/>
  <c r="AR21" i="61"/>
  <c r="AT22" i="61"/>
  <c r="AU22" i="61" s="1"/>
  <c r="L62" i="61" s="1"/>
  <c r="AS22" i="61"/>
  <c r="AQ22" i="61"/>
  <c r="AR22" i="61"/>
  <c r="AT23" i="61"/>
  <c r="AU23" i="61" s="1"/>
  <c r="L63" i="61" s="1"/>
  <c r="AS23" i="61"/>
  <c r="AQ23" i="61"/>
  <c r="AR23" i="61"/>
  <c r="AT25" i="61"/>
  <c r="AU25" i="61" s="1"/>
  <c r="AS25" i="61"/>
  <c r="AQ25" i="61"/>
  <c r="AR25" i="61"/>
  <c r="AT26" i="61"/>
  <c r="AU26" i="61" s="1"/>
  <c r="L65" i="61" s="1"/>
  <c r="AS26" i="61"/>
  <c r="AQ26" i="61"/>
  <c r="AR26" i="61"/>
  <c r="AT27" i="61"/>
  <c r="AU27" i="61" s="1"/>
  <c r="L66" i="61" s="1"/>
  <c r="AS27" i="61"/>
  <c r="AQ27" i="61"/>
  <c r="AR27" i="61"/>
  <c r="AT28" i="61"/>
  <c r="AU28" i="61" s="1"/>
  <c r="L67" i="61" s="1"/>
  <c r="AS28" i="61"/>
  <c r="AQ28" i="61"/>
  <c r="AR28" i="61"/>
  <c r="AT29" i="61"/>
  <c r="AU29" i="61" s="1"/>
  <c r="L68" i="61" s="1"/>
  <c r="AS29" i="61"/>
  <c r="AQ29" i="61"/>
  <c r="AR29" i="61"/>
  <c r="AT30" i="61"/>
  <c r="AU30" i="61" s="1"/>
  <c r="L69" i="61" s="1"/>
  <c r="AS30" i="61"/>
  <c r="AQ30" i="61"/>
  <c r="AR30" i="61"/>
  <c r="AT31" i="61"/>
  <c r="AU31" i="61" s="1"/>
  <c r="L70" i="61" s="1"/>
  <c r="AS31" i="61"/>
  <c r="AQ31" i="61"/>
  <c r="AR31" i="61"/>
  <c r="AT32" i="61"/>
  <c r="AU32" i="61" s="1"/>
  <c r="L71" i="61" s="1"/>
  <c r="AS32" i="61"/>
  <c r="AQ32" i="61"/>
  <c r="AR32" i="61"/>
  <c r="I46" i="60"/>
  <c r="H35" i="60"/>
  <c r="E35" i="60"/>
  <c r="K42" i="60" s="1"/>
  <c r="AS7" i="60"/>
  <c r="AQ7" i="60"/>
  <c r="AR7" i="60"/>
  <c r="AS8" i="60"/>
  <c r="AQ8" i="60"/>
  <c r="AR8" i="60"/>
  <c r="AS9" i="60"/>
  <c r="AQ9" i="60"/>
  <c r="AR9" i="60"/>
  <c r="AS10" i="60"/>
  <c r="AQ10" i="60"/>
  <c r="AR10" i="60"/>
  <c r="AS11" i="60"/>
  <c r="AQ11" i="60"/>
  <c r="AR11" i="60"/>
  <c r="AS12" i="60"/>
  <c r="AQ12" i="60"/>
  <c r="AR12" i="60"/>
  <c r="AS13" i="60"/>
  <c r="AQ13" i="60"/>
  <c r="AR13" i="60"/>
  <c r="AS14" i="60"/>
  <c r="AQ14" i="60"/>
  <c r="AR14" i="60"/>
  <c r="AS16" i="60"/>
  <c r="AQ16" i="60"/>
  <c r="AR16" i="60"/>
  <c r="AT17" i="60"/>
  <c r="AU17" i="60" s="1"/>
  <c r="L57" i="60" s="1"/>
  <c r="AS17" i="60"/>
  <c r="AQ17" i="60"/>
  <c r="AR17" i="60"/>
  <c r="AS18" i="60"/>
  <c r="AQ18" i="60"/>
  <c r="AR18" i="60"/>
  <c r="AT19" i="60"/>
  <c r="AU19" i="60" s="1"/>
  <c r="L59" i="60" s="1"/>
  <c r="AS19" i="60"/>
  <c r="AQ19" i="60"/>
  <c r="AR19" i="60"/>
  <c r="AS20" i="60"/>
  <c r="AQ20" i="60"/>
  <c r="AR20" i="60"/>
  <c r="AT20" i="60" s="1"/>
  <c r="AU20" i="60" s="1"/>
  <c r="L60" i="60" s="1"/>
  <c r="AS21" i="60"/>
  <c r="AQ21" i="60"/>
  <c r="AR21" i="60"/>
  <c r="AT22" i="60"/>
  <c r="AU22" i="60" s="1"/>
  <c r="L62" i="60" s="1"/>
  <c r="AS22" i="60"/>
  <c r="AQ22" i="60"/>
  <c r="AR22" i="60"/>
  <c r="AT23" i="60"/>
  <c r="AU23" i="60" s="1"/>
  <c r="L63" i="60" s="1"/>
  <c r="AS23" i="60"/>
  <c r="AQ23" i="60"/>
  <c r="AR23" i="60"/>
  <c r="AT25" i="60"/>
  <c r="AU25" i="60" s="1"/>
  <c r="AS25" i="60"/>
  <c r="AQ25" i="60"/>
  <c r="AR25" i="60"/>
  <c r="AT26" i="60"/>
  <c r="AU26" i="60" s="1"/>
  <c r="L65" i="60" s="1"/>
  <c r="AS26" i="60"/>
  <c r="AQ26" i="60"/>
  <c r="AR26" i="60"/>
  <c r="AT27" i="60"/>
  <c r="AU27" i="60" s="1"/>
  <c r="L66" i="60" s="1"/>
  <c r="AS27" i="60"/>
  <c r="AQ27" i="60"/>
  <c r="AR27" i="60"/>
  <c r="AT28" i="60"/>
  <c r="AU28" i="60" s="1"/>
  <c r="L67" i="60" s="1"/>
  <c r="AS28" i="60"/>
  <c r="AQ28" i="60"/>
  <c r="AR28" i="60"/>
  <c r="AT29" i="60"/>
  <c r="AU29" i="60" s="1"/>
  <c r="L68" i="60" s="1"/>
  <c r="AS29" i="60"/>
  <c r="AQ29" i="60"/>
  <c r="AR29" i="60"/>
  <c r="AS30" i="60"/>
  <c r="AQ30" i="60"/>
  <c r="AR30" i="60"/>
  <c r="AS31" i="60"/>
  <c r="AQ31" i="60"/>
  <c r="AR31" i="60"/>
  <c r="AS32" i="60"/>
  <c r="AQ32" i="60"/>
  <c r="AR32" i="60"/>
  <c r="AT32" i="60" s="1"/>
  <c r="AU32" i="60" s="1"/>
  <c r="L71" i="60" s="1"/>
  <c r="I46" i="59"/>
  <c r="H35" i="59"/>
  <c r="E35" i="59"/>
  <c r="K42" i="59" s="1"/>
  <c r="AS7" i="59"/>
  <c r="AQ7" i="59"/>
  <c r="AR7" i="59"/>
  <c r="AS8" i="59"/>
  <c r="AQ8" i="59"/>
  <c r="AR8" i="59"/>
  <c r="AS9" i="59"/>
  <c r="AQ9" i="59"/>
  <c r="AR9" i="59"/>
  <c r="AS10" i="59"/>
  <c r="AQ10" i="59"/>
  <c r="AR10" i="59"/>
  <c r="AS11" i="59"/>
  <c r="AQ11" i="59"/>
  <c r="AR11" i="59"/>
  <c r="AS12" i="59"/>
  <c r="AQ12" i="59"/>
  <c r="AR12" i="59"/>
  <c r="AS13" i="59"/>
  <c r="AQ13" i="59"/>
  <c r="AR13" i="59"/>
  <c r="AS14" i="59"/>
  <c r="AQ14" i="59"/>
  <c r="AR14" i="59"/>
  <c r="AT14" i="59" s="1"/>
  <c r="AU14" i="59" s="1"/>
  <c r="L55" i="59" s="1"/>
  <c r="AS16" i="59"/>
  <c r="AQ16" i="59"/>
  <c r="AR16" i="59"/>
  <c r="AS17" i="59"/>
  <c r="AQ17" i="59"/>
  <c r="AR17" i="59"/>
  <c r="AS18" i="59"/>
  <c r="AQ18" i="59"/>
  <c r="AR18" i="59"/>
  <c r="AS19" i="59"/>
  <c r="AQ19" i="59"/>
  <c r="AR19" i="59"/>
  <c r="AS20" i="59"/>
  <c r="AQ20" i="59"/>
  <c r="AR20" i="59"/>
  <c r="AS21" i="59"/>
  <c r="AQ21" i="59"/>
  <c r="AR21" i="59"/>
  <c r="AS22" i="59"/>
  <c r="AQ22" i="59"/>
  <c r="AR22" i="59"/>
  <c r="AS23" i="59"/>
  <c r="AQ23" i="59"/>
  <c r="AR23" i="59"/>
  <c r="AS25" i="59"/>
  <c r="AQ25" i="59"/>
  <c r="AR25" i="59"/>
  <c r="AS26" i="59"/>
  <c r="AQ26" i="59"/>
  <c r="AR26" i="59"/>
  <c r="AS27" i="59"/>
  <c r="AQ27" i="59"/>
  <c r="AR27" i="59"/>
  <c r="AS28" i="59"/>
  <c r="AQ28" i="59"/>
  <c r="AR28" i="59"/>
  <c r="AS29" i="59"/>
  <c r="AQ29" i="59"/>
  <c r="AR29" i="59"/>
  <c r="AS30" i="59"/>
  <c r="AQ30" i="59"/>
  <c r="AR30" i="59"/>
  <c r="AS31" i="59"/>
  <c r="AQ31" i="59"/>
  <c r="AR31" i="59"/>
  <c r="AS32" i="59"/>
  <c r="AQ32" i="59"/>
  <c r="AR32" i="59"/>
  <c r="I46" i="58"/>
  <c r="H35" i="58"/>
  <c r="E35" i="58"/>
  <c r="K42" i="58" s="1"/>
  <c r="AS7" i="58"/>
  <c r="AQ7" i="58"/>
  <c r="AR7" i="58"/>
  <c r="AS8" i="58"/>
  <c r="AQ8" i="58"/>
  <c r="AR8" i="58"/>
  <c r="AS9" i="58"/>
  <c r="AQ9" i="58"/>
  <c r="AR9" i="58"/>
  <c r="AS10" i="58"/>
  <c r="AQ10" i="58"/>
  <c r="AR10" i="58"/>
  <c r="AS11" i="58"/>
  <c r="AQ11" i="58"/>
  <c r="AR11" i="58"/>
  <c r="AS12" i="58"/>
  <c r="AQ12" i="58"/>
  <c r="AR12" i="58"/>
  <c r="AS13" i="58"/>
  <c r="AQ13" i="58"/>
  <c r="AR13" i="58"/>
  <c r="AS14" i="58"/>
  <c r="AQ14" i="58"/>
  <c r="AR14" i="58"/>
  <c r="AS16" i="58"/>
  <c r="AQ16" i="58"/>
  <c r="AR16" i="58"/>
  <c r="AS17" i="58"/>
  <c r="AQ17" i="58"/>
  <c r="AR17" i="58"/>
  <c r="AS18" i="58"/>
  <c r="AQ18" i="58"/>
  <c r="AR18" i="58"/>
  <c r="AT18" i="58" s="1"/>
  <c r="AU18" i="58" s="1"/>
  <c r="L58" i="58" s="1"/>
  <c r="AT19" i="58"/>
  <c r="AU19" i="58" s="1"/>
  <c r="L59" i="58" s="1"/>
  <c r="AS19" i="58"/>
  <c r="AQ19" i="58"/>
  <c r="AR19" i="58"/>
  <c r="AT20" i="58"/>
  <c r="AU20" i="58" s="1"/>
  <c r="L60" i="58" s="1"/>
  <c r="AS20" i="58"/>
  <c r="AQ20" i="58"/>
  <c r="AR20" i="58"/>
  <c r="AT21" i="58"/>
  <c r="AU21" i="58" s="1"/>
  <c r="L61" i="58" s="1"/>
  <c r="AS21" i="58"/>
  <c r="AQ21" i="58"/>
  <c r="AR21" i="58"/>
  <c r="AT22" i="58"/>
  <c r="AU22" i="58" s="1"/>
  <c r="L62" i="58" s="1"/>
  <c r="AS22" i="58"/>
  <c r="AQ22" i="58"/>
  <c r="AR22" i="58"/>
  <c r="AT23" i="58"/>
  <c r="AU23" i="58" s="1"/>
  <c r="L63" i="58" s="1"/>
  <c r="AS23" i="58"/>
  <c r="AQ23" i="58"/>
  <c r="AR23" i="58"/>
  <c r="AT25" i="58"/>
  <c r="AU25" i="58" s="1"/>
  <c r="AS25" i="58"/>
  <c r="AQ25" i="58"/>
  <c r="AR25" i="58"/>
  <c r="AT26" i="58"/>
  <c r="AU26" i="58" s="1"/>
  <c r="L65" i="58" s="1"/>
  <c r="AS26" i="58"/>
  <c r="AQ26" i="58"/>
  <c r="AR26" i="58"/>
  <c r="AT27" i="58"/>
  <c r="AU27" i="58" s="1"/>
  <c r="L66" i="58" s="1"/>
  <c r="AS27" i="58"/>
  <c r="AQ27" i="58"/>
  <c r="AR27" i="58"/>
  <c r="AT28" i="58"/>
  <c r="AU28" i="58" s="1"/>
  <c r="L67" i="58" s="1"/>
  <c r="AS28" i="58"/>
  <c r="AQ28" i="58"/>
  <c r="AR28" i="58"/>
  <c r="AT29" i="58"/>
  <c r="AU29" i="58" s="1"/>
  <c r="L68" i="58" s="1"/>
  <c r="AS29" i="58"/>
  <c r="AQ29" i="58"/>
  <c r="AR29" i="58"/>
  <c r="AT30" i="58"/>
  <c r="AU30" i="58" s="1"/>
  <c r="L69" i="58" s="1"/>
  <c r="AS30" i="58"/>
  <c r="AQ30" i="58"/>
  <c r="AR30" i="58"/>
  <c r="AT31" i="58"/>
  <c r="AU31" i="58" s="1"/>
  <c r="L70" i="58" s="1"/>
  <c r="AS31" i="58"/>
  <c r="AQ31" i="58"/>
  <c r="AR31" i="58"/>
  <c r="AT32" i="58"/>
  <c r="AU32" i="58" s="1"/>
  <c r="L71" i="58" s="1"/>
  <c r="AS32" i="58"/>
  <c r="AQ32" i="58"/>
  <c r="AR32" i="58"/>
  <c r="I46" i="55"/>
  <c r="H35" i="55"/>
  <c r="E35" i="55"/>
  <c r="K42" i="55" s="1"/>
  <c r="AS7" i="55"/>
  <c r="AQ7" i="55"/>
  <c r="AR7" i="55"/>
  <c r="AS8" i="55"/>
  <c r="AQ8" i="55"/>
  <c r="AR8" i="55"/>
  <c r="AS9" i="55"/>
  <c r="AQ9" i="55"/>
  <c r="AR9" i="55"/>
  <c r="AS10" i="55"/>
  <c r="AQ10" i="55"/>
  <c r="AR10" i="55"/>
  <c r="AS11" i="55"/>
  <c r="AQ11" i="55"/>
  <c r="AR11" i="55"/>
  <c r="AS12" i="55"/>
  <c r="AQ12" i="55"/>
  <c r="AR12" i="55"/>
  <c r="AS13" i="55"/>
  <c r="AQ13" i="55"/>
  <c r="AR13" i="55"/>
  <c r="AS14" i="55"/>
  <c r="AQ14" i="55"/>
  <c r="AR14" i="55"/>
  <c r="AS16" i="55"/>
  <c r="AQ16" i="55"/>
  <c r="AR16" i="55"/>
  <c r="AS17" i="55"/>
  <c r="AQ17" i="55"/>
  <c r="AR17" i="55"/>
  <c r="AS18" i="55"/>
  <c r="AQ18" i="55"/>
  <c r="AR18" i="55"/>
  <c r="AS19" i="55"/>
  <c r="AQ19" i="55"/>
  <c r="AR19" i="55"/>
  <c r="AS20" i="55"/>
  <c r="AQ20" i="55"/>
  <c r="AR20" i="55"/>
  <c r="AS21" i="55"/>
  <c r="AQ21" i="55"/>
  <c r="AR21" i="55"/>
  <c r="AS22" i="55"/>
  <c r="AQ22" i="55"/>
  <c r="AR22" i="55"/>
  <c r="AS23" i="55"/>
  <c r="AQ23" i="55"/>
  <c r="AR23" i="55"/>
  <c r="AS25" i="55"/>
  <c r="AQ25" i="55"/>
  <c r="AR25" i="55"/>
  <c r="AS26" i="55"/>
  <c r="AQ26" i="55"/>
  <c r="AR26" i="55"/>
  <c r="AS27" i="55"/>
  <c r="AQ27" i="55"/>
  <c r="AR27" i="55"/>
  <c r="AS28" i="55"/>
  <c r="AQ28" i="55"/>
  <c r="AR28" i="55"/>
  <c r="AS29" i="55"/>
  <c r="AQ29" i="55"/>
  <c r="AR29" i="55"/>
  <c r="AS30" i="55"/>
  <c r="AQ30" i="55"/>
  <c r="AR30" i="55"/>
  <c r="AS31" i="55"/>
  <c r="AQ31" i="55"/>
  <c r="AR31" i="55"/>
  <c r="AS32" i="55"/>
  <c r="AQ32" i="55"/>
  <c r="AR32" i="55"/>
  <c r="I46" i="57"/>
  <c r="H35" i="57"/>
  <c r="E35" i="57"/>
  <c r="K42" i="57" s="1"/>
  <c r="AT7" i="57"/>
  <c r="AU7" i="57" s="1"/>
  <c r="AS7" i="57"/>
  <c r="AQ7" i="57"/>
  <c r="AR7" i="57"/>
  <c r="AT8" i="57"/>
  <c r="AU8" i="57" s="1"/>
  <c r="L49" i="57" s="1"/>
  <c r="AS8" i="57"/>
  <c r="AQ8" i="57"/>
  <c r="AR8" i="57"/>
  <c r="AT9" i="57"/>
  <c r="AU9" i="57" s="1"/>
  <c r="L50" i="57" s="1"/>
  <c r="AS9" i="57"/>
  <c r="AQ9" i="57"/>
  <c r="AR9" i="57"/>
  <c r="AT10" i="57"/>
  <c r="AU10" i="57" s="1"/>
  <c r="L51" i="57" s="1"/>
  <c r="AS10" i="57"/>
  <c r="AQ10" i="57"/>
  <c r="AR10" i="57"/>
  <c r="AT11" i="57"/>
  <c r="AU11" i="57" s="1"/>
  <c r="L52" i="57" s="1"/>
  <c r="AS11" i="57"/>
  <c r="AQ11" i="57"/>
  <c r="AR11" i="57"/>
  <c r="AT12" i="57"/>
  <c r="AU12" i="57" s="1"/>
  <c r="L53" i="57" s="1"/>
  <c r="AS12" i="57"/>
  <c r="AQ12" i="57"/>
  <c r="AR12" i="57"/>
  <c r="AT13" i="57"/>
  <c r="AU13" i="57" s="1"/>
  <c r="L54" i="57" s="1"/>
  <c r="AS13" i="57"/>
  <c r="AQ13" i="57"/>
  <c r="AR13" i="57"/>
  <c r="AT14" i="57"/>
  <c r="AU14" i="57" s="1"/>
  <c r="L55" i="57" s="1"/>
  <c r="AS14" i="57"/>
  <c r="AQ14" i="57"/>
  <c r="AR14" i="57"/>
  <c r="AT16" i="57"/>
  <c r="AU16" i="57" s="1"/>
  <c r="AS16" i="57"/>
  <c r="AQ16" i="57"/>
  <c r="AR16" i="57"/>
  <c r="AT17" i="57"/>
  <c r="AU17" i="57" s="1"/>
  <c r="L57" i="57" s="1"/>
  <c r="AS17" i="57"/>
  <c r="AQ17" i="57"/>
  <c r="AR17" i="57"/>
  <c r="AT18" i="57"/>
  <c r="AU18" i="57" s="1"/>
  <c r="L58" i="57" s="1"/>
  <c r="AS18" i="57"/>
  <c r="AQ18" i="57"/>
  <c r="AR18" i="57"/>
  <c r="AT19" i="57"/>
  <c r="AU19" i="57" s="1"/>
  <c r="L59" i="57" s="1"/>
  <c r="AS19" i="57"/>
  <c r="AQ19" i="57"/>
  <c r="AR19" i="57"/>
  <c r="AT20" i="57"/>
  <c r="AU20" i="57" s="1"/>
  <c r="L60" i="57" s="1"/>
  <c r="AS20" i="57"/>
  <c r="AQ20" i="57"/>
  <c r="AR20" i="57"/>
  <c r="AT21" i="57"/>
  <c r="AU21" i="57" s="1"/>
  <c r="L61" i="57" s="1"/>
  <c r="AS21" i="57"/>
  <c r="AQ21" i="57"/>
  <c r="AR21" i="57"/>
  <c r="AT22" i="57"/>
  <c r="AU22" i="57" s="1"/>
  <c r="L62" i="57" s="1"/>
  <c r="AS22" i="57"/>
  <c r="AQ22" i="57"/>
  <c r="AR22" i="57"/>
  <c r="AT23" i="57"/>
  <c r="AU23" i="57" s="1"/>
  <c r="L63" i="57" s="1"/>
  <c r="AS23" i="57"/>
  <c r="AQ23" i="57"/>
  <c r="AR23" i="57"/>
  <c r="AT25" i="57"/>
  <c r="AU25" i="57" s="1"/>
  <c r="AS25" i="57"/>
  <c r="AQ25" i="57"/>
  <c r="AR25" i="57"/>
  <c r="AT26" i="57"/>
  <c r="AU26" i="57" s="1"/>
  <c r="L65" i="57" s="1"/>
  <c r="AS26" i="57"/>
  <c r="AQ26" i="57"/>
  <c r="AR26" i="57"/>
  <c r="AT27" i="57"/>
  <c r="AU27" i="57" s="1"/>
  <c r="L66" i="57" s="1"/>
  <c r="AS27" i="57"/>
  <c r="AQ27" i="57"/>
  <c r="AR27" i="57"/>
  <c r="AT28" i="57"/>
  <c r="AU28" i="57" s="1"/>
  <c r="L67" i="57" s="1"/>
  <c r="AS28" i="57"/>
  <c r="AQ28" i="57"/>
  <c r="AR28" i="57"/>
  <c r="AT29" i="57"/>
  <c r="AU29" i="57" s="1"/>
  <c r="L68" i="57" s="1"/>
  <c r="AS29" i="57"/>
  <c r="AQ29" i="57"/>
  <c r="AR29" i="57"/>
  <c r="AT30" i="57"/>
  <c r="AU30" i="57" s="1"/>
  <c r="L69" i="57" s="1"/>
  <c r="AS30" i="57"/>
  <c r="AQ30" i="57"/>
  <c r="AR30" i="57"/>
  <c r="AT31" i="57"/>
  <c r="AU31" i="57" s="1"/>
  <c r="L70" i="57" s="1"/>
  <c r="AS31" i="57"/>
  <c r="AQ31" i="57"/>
  <c r="AR31" i="57"/>
  <c r="AT32" i="57"/>
  <c r="AU32" i="57" s="1"/>
  <c r="L71" i="57" s="1"/>
  <c r="AS32" i="57"/>
  <c r="AQ32" i="57"/>
  <c r="AR32" i="57"/>
  <c r="I46" i="56"/>
  <c r="H35" i="56"/>
  <c r="E35" i="56"/>
  <c r="K42" i="56" s="1"/>
  <c r="AT7" i="56"/>
  <c r="AU7" i="56" s="1"/>
  <c r="AS7" i="56"/>
  <c r="AQ7" i="56"/>
  <c r="AR7" i="56"/>
  <c r="AT8" i="56"/>
  <c r="AU8" i="56" s="1"/>
  <c r="L49" i="56" s="1"/>
  <c r="AS8" i="56"/>
  <c r="AQ8" i="56"/>
  <c r="AR8" i="56"/>
  <c r="AT9" i="56"/>
  <c r="AU9" i="56" s="1"/>
  <c r="L50" i="56" s="1"/>
  <c r="AS9" i="56"/>
  <c r="AQ9" i="56"/>
  <c r="AR9" i="56"/>
  <c r="AT10" i="56"/>
  <c r="AU10" i="56" s="1"/>
  <c r="L51" i="56" s="1"/>
  <c r="AS10" i="56"/>
  <c r="AQ10" i="56"/>
  <c r="AR10" i="56"/>
  <c r="AT11" i="56"/>
  <c r="AU11" i="56" s="1"/>
  <c r="L52" i="56" s="1"/>
  <c r="AS11" i="56"/>
  <c r="AQ11" i="56"/>
  <c r="AR11" i="56"/>
  <c r="AT12" i="56"/>
  <c r="AU12" i="56" s="1"/>
  <c r="L53" i="56" s="1"/>
  <c r="AS12" i="56"/>
  <c r="AQ12" i="56"/>
  <c r="AR12" i="56"/>
  <c r="AT13" i="56"/>
  <c r="AU13" i="56" s="1"/>
  <c r="L54" i="56" s="1"/>
  <c r="AS13" i="56"/>
  <c r="AQ13" i="56"/>
  <c r="AR13" i="56"/>
  <c r="AT14" i="56"/>
  <c r="AU14" i="56" s="1"/>
  <c r="L55" i="56" s="1"/>
  <c r="AS14" i="56"/>
  <c r="AQ14" i="56"/>
  <c r="AR14" i="56"/>
  <c r="AS16" i="56"/>
  <c r="AQ16" i="56"/>
  <c r="AR16" i="56"/>
  <c r="AS17" i="56"/>
  <c r="AQ17" i="56"/>
  <c r="AR17" i="56"/>
  <c r="AT18" i="56"/>
  <c r="AU18" i="56" s="1"/>
  <c r="L58" i="56" s="1"/>
  <c r="AS18" i="56"/>
  <c r="AQ18" i="56"/>
  <c r="AR18" i="56"/>
  <c r="AT19" i="56"/>
  <c r="AU19" i="56" s="1"/>
  <c r="L59" i="56" s="1"/>
  <c r="AS19" i="56"/>
  <c r="AQ19" i="56"/>
  <c r="AR19" i="56"/>
  <c r="AT20" i="56"/>
  <c r="AU20" i="56" s="1"/>
  <c r="L60" i="56" s="1"/>
  <c r="AS20" i="56"/>
  <c r="AQ20" i="56"/>
  <c r="AR20" i="56"/>
  <c r="AS21" i="56"/>
  <c r="AQ21" i="56"/>
  <c r="AR21" i="56"/>
  <c r="AS22" i="56"/>
  <c r="AQ22" i="56"/>
  <c r="AR22" i="56"/>
  <c r="AS23" i="56"/>
  <c r="AQ23" i="56"/>
  <c r="AR23" i="56"/>
  <c r="AT23" i="56" s="1"/>
  <c r="AU23" i="56" s="1"/>
  <c r="L63" i="56" s="1"/>
  <c r="AS25" i="56"/>
  <c r="AQ25" i="56"/>
  <c r="AR25" i="56"/>
  <c r="AT25" i="56" s="1"/>
  <c r="AU25" i="56" s="1"/>
  <c r="AT26" i="56"/>
  <c r="AU26" i="56" s="1"/>
  <c r="L65" i="56" s="1"/>
  <c r="AS26" i="56"/>
  <c r="AQ26" i="56"/>
  <c r="AR26" i="56"/>
  <c r="AS27" i="56"/>
  <c r="AQ27" i="56"/>
  <c r="AR27" i="56"/>
  <c r="AT28" i="56"/>
  <c r="AU28" i="56" s="1"/>
  <c r="L67" i="56" s="1"/>
  <c r="AS28" i="56"/>
  <c r="AQ28" i="56"/>
  <c r="AR28" i="56"/>
  <c r="AT29" i="56"/>
  <c r="AU29" i="56" s="1"/>
  <c r="L68" i="56" s="1"/>
  <c r="AS29" i="56"/>
  <c r="AQ29" i="56"/>
  <c r="AR29" i="56"/>
  <c r="AT30" i="56"/>
  <c r="AU30" i="56" s="1"/>
  <c r="L69" i="56" s="1"/>
  <c r="AS30" i="56"/>
  <c r="AQ30" i="56"/>
  <c r="AR30" i="56"/>
  <c r="AT31" i="56"/>
  <c r="AU31" i="56" s="1"/>
  <c r="L70" i="56" s="1"/>
  <c r="AS31" i="56"/>
  <c r="AQ31" i="56"/>
  <c r="AR31" i="56"/>
  <c r="AT32" i="56"/>
  <c r="AU32" i="56" s="1"/>
  <c r="L71" i="56" s="1"/>
  <c r="AS32" i="56"/>
  <c r="AQ32" i="56"/>
  <c r="AR32" i="56"/>
  <c r="I46" i="52"/>
  <c r="H35" i="52"/>
  <c r="E35" i="52"/>
  <c r="K42" i="52" s="1"/>
  <c r="AT7" i="52"/>
  <c r="AU7" i="52" s="1"/>
  <c r="AS7" i="52"/>
  <c r="AQ7" i="52"/>
  <c r="AR7" i="52"/>
  <c r="AT8" i="52"/>
  <c r="AU8" i="52" s="1"/>
  <c r="L49" i="52" s="1"/>
  <c r="AS8" i="52"/>
  <c r="AQ8" i="52"/>
  <c r="AR8" i="52"/>
  <c r="AT9" i="52"/>
  <c r="AU9" i="52" s="1"/>
  <c r="L50" i="52" s="1"/>
  <c r="AS9" i="52"/>
  <c r="AQ9" i="52"/>
  <c r="AR9" i="52"/>
  <c r="AT10" i="52"/>
  <c r="AU10" i="52" s="1"/>
  <c r="L51" i="52" s="1"/>
  <c r="AS10" i="52"/>
  <c r="AQ10" i="52"/>
  <c r="AR10" i="52"/>
  <c r="AT11" i="52"/>
  <c r="AU11" i="52" s="1"/>
  <c r="L52" i="52" s="1"/>
  <c r="AS11" i="52"/>
  <c r="AQ11" i="52"/>
  <c r="AR11" i="52"/>
  <c r="AT12" i="52"/>
  <c r="AU12" i="52" s="1"/>
  <c r="L53" i="52" s="1"/>
  <c r="AS12" i="52"/>
  <c r="AQ12" i="52"/>
  <c r="AR12" i="52"/>
  <c r="AT13" i="52"/>
  <c r="AU13" i="52" s="1"/>
  <c r="L54" i="52" s="1"/>
  <c r="AS13" i="52"/>
  <c r="AQ13" i="52"/>
  <c r="AR13" i="52"/>
  <c r="AT14" i="52"/>
  <c r="AU14" i="52" s="1"/>
  <c r="L55" i="52" s="1"/>
  <c r="AS14" i="52"/>
  <c r="AQ14" i="52"/>
  <c r="AR14" i="52"/>
  <c r="AS16" i="52"/>
  <c r="AQ16" i="52"/>
  <c r="AR16" i="52"/>
  <c r="AS17" i="52"/>
  <c r="AQ17" i="52"/>
  <c r="AR17" i="52"/>
  <c r="AT17" i="52" s="1"/>
  <c r="AU17" i="52" s="1"/>
  <c r="L57" i="52" s="1"/>
  <c r="AS18" i="52"/>
  <c r="AQ18" i="52"/>
  <c r="AR18" i="52"/>
  <c r="AS19" i="52"/>
  <c r="AQ19" i="52"/>
  <c r="AR19" i="52"/>
  <c r="AS20" i="52"/>
  <c r="AQ20" i="52"/>
  <c r="AR20" i="52"/>
  <c r="AT21" i="52"/>
  <c r="AU21" i="52" s="1"/>
  <c r="L61" i="52" s="1"/>
  <c r="AS21" i="52"/>
  <c r="AQ21" i="52"/>
  <c r="AR21" i="52"/>
  <c r="AT22" i="52"/>
  <c r="AU22" i="52" s="1"/>
  <c r="L62" i="52" s="1"/>
  <c r="AS22" i="52"/>
  <c r="AQ22" i="52"/>
  <c r="AR22" i="52"/>
  <c r="AT23" i="52"/>
  <c r="AU23" i="52" s="1"/>
  <c r="L63" i="52" s="1"/>
  <c r="AS23" i="52"/>
  <c r="AQ23" i="52"/>
  <c r="AR23" i="52"/>
  <c r="AS25" i="52"/>
  <c r="AQ25" i="52"/>
  <c r="AR25" i="52"/>
  <c r="AS26" i="52"/>
  <c r="AQ26" i="52"/>
  <c r="AR26" i="52"/>
  <c r="AS27" i="52"/>
  <c r="AQ27" i="52"/>
  <c r="AR27" i="52"/>
  <c r="AS28" i="52"/>
  <c r="AQ28" i="52"/>
  <c r="AR28" i="52"/>
  <c r="AU29" i="52"/>
  <c r="L68" i="52" s="1"/>
  <c r="AS29" i="52"/>
  <c r="AQ29" i="52"/>
  <c r="AR29" i="52"/>
  <c r="AU30" i="52"/>
  <c r="L69" i="52" s="1"/>
  <c r="AS30" i="52"/>
  <c r="AQ30" i="52"/>
  <c r="AR30" i="52"/>
  <c r="AU31" i="52"/>
  <c r="L70" i="52" s="1"/>
  <c r="AS31" i="52"/>
  <c r="AQ31" i="52"/>
  <c r="AR31" i="52"/>
  <c r="AU32" i="52"/>
  <c r="L71" i="52" s="1"/>
  <c r="AS32" i="52"/>
  <c r="AQ32" i="52"/>
  <c r="AR32" i="52"/>
  <c r="I46" i="51"/>
  <c r="H35" i="51"/>
  <c r="K42" i="51"/>
  <c r="AT7" i="51"/>
  <c r="AU7" i="51" s="1"/>
  <c r="AS7" i="51"/>
  <c r="AQ7" i="51"/>
  <c r="AR7" i="51"/>
  <c r="AT8" i="51"/>
  <c r="AU8" i="51" s="1"/>
  <c r="L49" i="51" s="1"/>
  <c r="AS8" i="51"/>
  <c r="AQ8" i="51"/>
  <c r="AR8" i="51"/>
  <c r="AT9" i="51"/>
  <c r="AU9" i="51" s="1"/>
  <c r="L50" i="51" s="1"/>
  <c r="AS9" i="51"/>
  <c r="AQ9" i="51"/>
  <c r="AR9" i="51"/>
  <c r="AT10" i="51"/>
  <c r="AU10" i="51" s="1"/>
  <c r="L51" i="51" s="1"/>
  <c r="AS10" i="51"/>
  <c r="AQ10" i="51"/>
  <c r="AR10" i="51"/>
  <c r="AT11" i="51"/>
  <c r="AU11" i="51" s="1"/>
  <c r="L52" i="51" s="1"/>
  <c r="AS11" i="51"/>
  <c r="AQ11" i="51"/>
  <c r="AR11" i="51"/>
  <c r="AT12" i="51"/>
  <c r="AU12" i="51" s="1"/>
  <c r="L53" i="51" s="1"/>
  <c r="AS12" i="51"/>
  <c r="AQ12" i="51"/>
  <c r="AR12" i="51"/>
  <c r="AT13" i="51"/>
  <c r="AU13" i="51" s="1"/>
  <c r="L54" i="51" s="1"/>
  <c r="AS13" i="51"/>
  <c r="AQ13" i="51"/>
  <c r="AR13" i="51"/>
  <c r="AT14" i="51"/>
  <c r="AU14" i="51" s="1"/>
  <c r="L55" i="51" s="1"/>
  <c r="AS14" i="51"/>
  <c r="AQ14" i="51"/>
  <c r="AR14" i="51"/>
  <c r="AS16" i="51"/>
  <c r="AQ16" i="51"/>
  <c r="AR16" i="51"/>
  <c r="AT17" i="51"/>
  <c r="AU17" i="51" s="1"/>
  <c r="L57" i="51" s="1"/>
  <c r="AS17" i="51"/>
  <c r="AQ17" i="51"/>
  <c r="AR17" i="51"/>
  <c r="AS18" i="51"/>
  <c r="AQ18" i="51"/>
  <c r="AR18" i="51"/>
  <c r="AT18" i="51" s="1"/>
  <c r="AU18" i="51" s="1"/>
  <c r="L58" i="51" s="1"/>
  <c r="AT19" i="51"/>
  <c r="AU19" i="51" s="1"/>
  <c r="L59" i="51" s="1"/>
  <c r="AS19" i="51"/>
  <c r="AQ19" i="51"/>
  <c r="AR19" i="51"/>
  <c r="AS20" i="51"/>
  <c r="AQ20" i="51"/>
  <c r="AR20" i="51"/>
  <c r="AT20" i="51" s="1"/>
  <c r="AU20" i="51" s="1"/>
  <c r="L60" i="51" s="1"/>
  <c r="AS21" i="51"/>
  <c r="AQ21" i="51"/>
  <c r="AR21" i="51"/>
  <c r="AS22" i="51"/>
  <c r="AQ22" i="51"/>
  <c r="AR22" i="51"/>
  <c r="AT22" i="51" s="1"/>
  <c r="AU22" i="51" s="1"/>
  <c r="L62" i="51" s="1"/>
  <c r="AS23" i="51"/>
  <c r="AQ23" i="51"/>
  <c r="AR23" i="51"/>
  <c r="AS25" i="51"/>
  <c r="AQ25" i="51"/>
  <c r="AR25" i="51"/>
  <c r="AS26" i="51"/>
  <c r="AQ26" i="51"/>
  <c r="AR26" i="51"/>
  <c r="AT26" i="51" s="1"/>
  <c r="AU26" i="51" s="1"/>
  <c r="L65" i="51" s="1"/>
  <c r="AS27" i="51"/>
  <c r="AQ27" i="51"/>
  <c r="AR27" i="51"/>
  <c r="AT27" i="51" s="1"/>
  <c r="AU27" i="51" s="1"/>
  <c r="L66" i="51" s="1"/>
  <c r="AT28" i="51"/>
  <c r="AU28" i="51" s="1"/>
  <c r="L67" i="51" s="1"/>
  <c r="AS28" i="51"/>
  <c r="AQ28" i="51"/>
  <c r="AR28" i="51"/>
  <c r="AS29" i="51"/>
  <c r="AQ29" i="51"/>
  <c r="AR29" i="51"/>
  <c r="AS30" i="51"/>
  <c r="AQ30" i="51"/>
  <c r="AR30" i="51"/>
  <c r="AT31" i="51"/>
  <c r="AU31" i="51" s="1"/>
  <c r="L70" i="51" s="1"/>
  <c r="AS31" i="51"/>
  <c r="AQ31" i="51"/>
  <c r="AR31" i="51"/>
  <c r="AT32" i="51"/>
  <c r="AU32" i="51" s="1"/>
  <c r="L71" i="51" s="1"/>
  <c r="AS32" i="51"/>
  <c r="AQ32" i="51"/>
  <c r="AR32" i="51"/>
  <c r="I46" i="50"/>
  <c r="H35" i="50"/>
  <c r="E35" i="50"/>
  <c r="K42" i="50" s="1"/>
  <c r="AT7" i="50"/>
  <c r="AU7" i="50" s="1"/>
  <c r="AS7" i="50"/>
  <c r="AQ7" i="50"/>
  <c r="AR7" i="50"/>
  <c r="AT8" i="50"/>
  <c r="AU8" i="50" s="1"/>
  <c r="L49" i="50" s="1"/>
  <c r="AS8" i="50"/>
  <c r="AQ8" i="50"/>
  <c r="AR8" i="50"/>
  <c r="AT9" i="50"/>
  <c r="AU9" i="50" s="1"/>
  <c r="L50" i="50" s="1"/>
  <c r="AS9" i="50"/>
  <c r="AQ9" i="50"/>
  <c r="AR9" i="50"/>
  <c r="AT10" i="50"/>
  <c r="AU10" i="50" s="1"/>
  <c r="L51" i="50" s="1"/>
  <c r="AS10" i="50"/>
  <c r="AQ10" i="50"/>
  <c r="AR10" i="50"/>
  <c r="AT11" i="50"/>
  <c r="AU11" i="50" s="1"/>
  <c r="L52" i="50" s="1"/>
  <c r="AS11" i="50"/>
  <c r="AQ11" i="50"/>
  <c r="AR11" i="50"/>
  <c r="AT12" i="50"/>
  <c r="AU12" i="50" s="1"/>
  <c r="L53" i="50" s="1"/>
  <c r="AS12" i="50"/>
  <c r="AQ12" i="50"/>
  <c r="AR12" i="50"/>
  <c r="AT13" i="50"/>
  <c r="AU13" i="50" s="1"/>
  <c r="L54" i="50" s="1"/>
  <c r="AS13" i="50"/>
  <c r="AQ13" i="50"/>
  <c r="AR13" i="50"/>
  <c r="AT14" i="50"/>
  <c r="AU14" i="50" s="1"/>
  <c r="L55" i="50" s="1"/>
  <c r="AS14" i="50"/>
  <c r="AQ14" i="50"/>
  <c r="AR14" i="50"/>
  <c r="AS16" i="50"/>
  <c r="AQ16" i="50"/>
  <c r="AR16" i="50"/>
  <c r="AT17" i="50"/>
  <c r="AU17" i="50" s="1"/>
  <c r="L57" i="50" s="1"/>
  <c r="AS17" i="50"/>
  <c r="AQ17" i="50"/>
  <c r="AR17" i="50"/>
  <c r="AT18" i="50"/>
  <c r="AU18" i="50" s="1"/>
  <c r="L58" i="50" s="1"/>
  <c r="AS18" i="50"/>
  <c r="AQ18" i="50"/>
  <c r="AR18" i="50"/>
  <c r="AT19" i="50"/>
  <c r="AU19" i="50" s="1"/>
  <c r="L59" i="50" s="1"/>
  <c r="AS19" i="50"/>
  <c r="AQ19" i="50"/>
  <c r="AR19" i="50"/>
  <c r="AT20" i="50"/>
  <c r="AU20" i="50" s="1"/>
  <c r="L60" i="50" s="1"/>
  <c r="AS20" i="50"/>
  <c r="AQ20" i="50"/>
  <c r="AR20" i="50"/>
  <c r="AS21" i="50"/>
  <c r="AQ21" i="50"/>
  <c r="AR21" i="50"/>
  <c r="AT21" i="50" s="1"/>
  <c r="AU21" i="50" s="1"/>
  <c r="L61" i="50" s="1"/>
  <c r="AT22" i="50"/>
  <c r="AU22" i="50" s="1"/>
  <c r="L62" i="50" s="1"/>
  <c r="AS22" i="50"/>
  <c r="AQ22" i="50"/>
  <c r="AR22" i="50"/>
  <c r="AT23" i="50"/>
  <c r="AU23" i="50" s="1"/>
  <c r="L63" i="50" s="1"/>
  <c r="AS23" i="50"/>
  <c r="AQ23" i="50"/>
  <c r="AR23" i="50"/>
  <c r="AS25" i="50"/>
  <c r="AQ25" i="50"/>
  <c r="AR25" i="50"/>
  <c r="AT26" i="50"/>
  <c r="AU26" i="50" s="1"/>
  <c r="L65" i="50" s="1"/>
  <c r="AS26" i="50"/>
  <c r="AQ26" i="50"/>
  <c r="AR26" i="50"/>
  <c r="AS27" i="50"/>
  <c r="AQ27" i="50"/>
  <c r="AR27" i="50"/>
  <c r="AS28" i="50"/>
  <c r="AQ28" i="50"/>
  <c r="AR28" i="50"/>
  <c r="AS29" i="50"/>
  <c r="AQ29" i="50"/>
  <c r="AR29" i="50"/>
  <c r="AT29" i="50" s="1"/>
  <c r="AU29" i="50" s="1"/>
  <c r="L68" i="50" s="1"/>
  <c r="AS30" i="50"/>
  <c r="AQ30" i="50"/>
  <c r="AR30" i="50"/>
  <c r="AS31" i="50"/>
  <c r="AQ31" i="50"/>
  <c r="AR31" i="50"/>
  <c r="AS32" i="50"/>
  <c r="AQ32" i="50"/>
  <c r="AR32" i="50"/>
  <c r="AT32" i="50" s="1"/>
  <c r="AU32" i="50" s="1"/>
  <c r="L71" i="50" s="1"/>
  <c r="I46" i="49"/>
  <c r="H35" i="49"/>
  <c r="E35" i="49"/>
  <c r="K42" i="49" s="1"/>
  <c r="AS7" i="49"/>
  <c r="AQ7" i="49"/>
  <c r="AR7" i="49"/>
  <c r="AS8" i="49"/>
  <c r="AQ8" i="49"/>
  <c r="AR8" i="49"/>
  <c r="AS9" i="49"/>
  <c r="AQ9" i="49"/>
  <c r="AR9" i="49"/>
  <c r="AS10" i="49"/>
  <c r="AQ10" i="49"/>
  <c r="AR10" i="49"/>
  <c r="AS11" i="49"/>
  <c r="AQ11" i="49"/>
  <c r="AR11" i="49"/>
  <c r="AS12" i="49"/>
  <c r="AQ12" i="49"/>
  <c r="AR12" i="49"/>
  <c r="AS13" i="49"/>
  <c r="AQ13" i="49"/>
  <c r="AR13" i="49"/>
  <c r="AS14" i="49"/>
  <c r="AQ14" i="49"/>
  <c r="AR14" i="49"/>
  <c r="AS16" i="49"/>
  <c r="AQ16" i="49"/>
  <c r="AR16" i="49"/>
  <c r="AS17" i="49"/>
  <c r="AQ17" i="49"/>
  <c r="AR17" i="49"/>
  <c r="AS18" i="49"/>
  <c r="AQ18" i="49"/>
  <c r="AR18" i="49"/>
  <c r="AT18" i="49" s="1"/>
  <c r="AU18" i="49" s="1"/>
  <c r="L58" i="49" s="1"/>
  <c r="AS19" i="49"/>
  <c r="AQ19" i="49"/>
  <c r="AR19" i="49"/>
  <c r="AS20" i="49"/>
  <c r="AQ20" i="49"/>
  <c r="AR20" i="49"/>
  <c r="AT20" i="49" s="1"/>
  <c r="AU20" i="49" s="1"/>
  <c r="L60" i="49" s="1"/>
  <c r="AS21" i="49"/>
  <c r="AQ21" i="49"/>
  <c r="AR21" i="49"/>
  <c r="AS22" i="49"/>
  <c r="AQ22" i="49"/>
  <c r="AR22" i="49"/>
  <c r="AS23" i="49"/>
  <c r="AQ23" i="49"/>
  <c r="AR23" i="49"/>
  <c r="AS25" i="49"/>
  <c r="AQ25" i="49"/>
  <c r="AR25" i="49"/>
  <c r="AS26" i="49"/>
  <c r="AQ26" i="49"/>
  <c r="AR26" i="49"/>
  <c r="AS27" i="49"/>
  <c r="AQ27" i="49"/>
  <c r="AR27" i="49"/>
  <c r="AS28" i="49"/>
  <c r="AQ28" i="49"/>
  <c r="AR28" i="49"/>
  <c r="AS29" i="49"/>
  <c r="AQ29" i="49"/>
  <c r="AR29" i="49"/>
  <c r="AT29" i="49" s="1"/>
  <c r="AU29" i="49" s="1"/>
  <c r="L68" i="49" s="1"/>
  <c r="AS30" i="49"/>
  <c r="AQ30" i="49"/>
  <c r="AR30" i="49"/>
  <c r="AT30" i="49" s="1"/>
  <c r="AU30" i="49" s="1"/>
  <c r="L69" i="49" s="1"/>
  <c r="AT31" i="49"/>
  <c r="AU31" i="49" s="1"/>
  <c r="L70" i="49" s="1"/>
  <c r="AS31" i="49"/>
  <c r="AQ31" i="49"/>
  <c r="AR31" i="49"/>
  <c r="AT32" i="49"/>
  <c r="AU32" i="49" s="1"/>
  <c r="L71" i="49" s="1"/>
  <c r="AS32" i="49"/>
  <c r="AQ32" i="49"/>
  <c r="AR32" i="49"/>
  <c r="I46" i="27"/>
  <c r="H35" i="27"/>
  <c r="E35" i="27"/>
  <c r="K42" i="27" s="1"/>
  <c r="AT7" i="27"/>
  <c r="AU7" i="27" s="1"/>
  <c r="AS7" i="27"/>
  <c r="AQ7" i="27"/>
  <c r="AR7" i="27"/>
  <c r="AT8" i="27"/>
  <c r="AU8" i="27" s="1"/>
  <c r="L49" i="27" s="1"/>
  <c r="AS8" i="27"/>
  <c r="AQ8" i="27"/>
  <c r="AR8" i="27"/>
  <c r="AT9" i="27"/>
  <c r="AU9" i="27" s="1"/>
  <c r="L50" i="27" s="1"/>
  <c r="AS9" i="27"/>
  <c r="AQ9" i="27"/>
  <c r="AR9" i="27"/>
  <c r="AT10" i="27"/>
  <c r="AU10" i="27" s="1"/>
  <c r="L51" i="27" s="1"/>
  <c r="AS10" i="27"/>
  <c r="AQ10" i="27"/>
  <c r="AR10" i="27"/>
  <c r="AT11" i="27"/>
  <c r="AU11" i="27" s="1"/>
  <c r="L52" i="27" s="1"/>
  <c r="AS11" i="27"/>
  <c r="AQ11" i="27"/>
  <c r="AR11" i="27"/>
  <c r="AT12" i="27"/>
  <c r="AU12" i="27" s="1"/>
  <c r="L53" i="27" s="1"/>
  <c r="AS12" i="27"/>
  <c r="AQ12" i="27"/>
  <c r="AR12" i="27"/>
  <c r="AT13" i="27"/>
  <c r="AU13" i="27" s="1"/>
  <c r="L54" i="27" s="1"/>
  <c r="AS13" i="27"/>
  <c r="AQ13" i="27"/>
  <c r="AR13" i="27"/>
  <c r="AT14" i="27"/>
  <c r="AU14" i="27" s="1"/>
  <c r="L55" i="27" s="1"/>
  <c r="AS14" i="27"/>
  <c r="AQ14" i="27"/>
  <c r="AR14" i="27"/>
  <c r="AT16" i="27"/>
  <c r="AU16" i="27" s="1"/>
  <c r="AS16" i="27"/>
  <c r="AQ16" i="27"/>
  <c r="AR16" i="27"/>
  <c r="AT17" i="27"/>
  <c r="AU17" i="27" s="1"/>
  <c r="L57" i="27" s="1"/>
  <c r="AS17" i="27"/>
  <c r="AQ17" i="27"/>
  <c r="AR17" i="27"/>
  <c r="AT18" i="27"/>
  <c r="AU18" i="27" s="1"/>
  <c r="L58" i="27" s="1"/>
  <c r="AS18" i="27"/>
  <c r="AQ18" i="27"/>
  <c r="AR18" i="27"/>
  <c r="AT19" i="27"/>
  <c r="AU19" i="27" s="1"/>
  <c r="L59" i="27" s="1"/>
  <c r="AS19" i="27"/>
  <c r="AQ19" i="27"/>
  <c r="AR19" i="27"/>
  <c r="AT20" i="27"/>
  <c r="AU20" i="27" s="1"/>
  <c r="L60" i="27" s="1"/>
  <c r="AS20" i="27"/>
  <c r="AQ20" i="27"/>
  <c r="AR20" i="27"/>
  <c r="AT21" i="27"/>
  <c r="AU21" i="27" s="1"/>
  <c r="L61" i="27" s="1"/>
  <c r="AS21" i="27"/>
  <c r="AQ21" i="27"/>
  <c r="AR21" i="27"/>
  <c r="AT22" i="27"/>
  <c r="AU22" i="27" s="1"/>
  <c r="L62" i="27" s="1"/>
  <c r="AS22" i="27"/>
  <c r="AQ22" i="27"/>
  <c r="AR22" i="27"/>
  <c r="AT23" i="27"/>
  <c r="AU23" i="27" s="1"/>
  <c r="L63" i="27" s="1"/>
  <c r="AS23" i="27"/>
  <c r="AQ23" i="27"/>
  <c r="AR23" i="27"/>
  <c r="AT25" i="27"/>
  <c r="AU25" i="27" s="1"/>
  <c r="AS25" i="27"/>
  <c r="AQ25" i="27"/>
  <c r="AR25" i="27"/>
  <c r="AT26" i="27"/>
  <c r="AU26" i="27" s="1"/>
  <c r="L65" i="27" s="1"/>
  <c r="AS26" i="27"/>
  <c r="AQ26" i="27"/>
  <c r="AR26" i="27"/>
  <c r="AT27" i="27"/>
  <c r="AU27" i="27" s="1"/>
  <c r="L66" i="27" s="1"/>
  <c r="AS27" i="27"/>
  <c r="AQ27" i="27"/>
  <c r="AR27" i="27"/>
  <c r="AT28" i="27"/>
  <c r="AU28" i="27" s="1"/>
  <c r="L67" i="27" s="1"/>
  <c r="AS28" i="27"/>
  <c r="AQ28" i="27"/>
  <c r="AR28" i="27"/>
  <c r="AT29" i="27"/>
  <c r="AU29" i="27" s="1"/>
  <c r="L68" i="27" s="1"/>
  <c r="AS29" i="27"/>
  <c r="AQ29" i="27"/>
  <c r="AR29" i="27"/>
  <c r="AT30" i="27"/>
  <c r="AU30" i="27" s="1"/>
  <c r="L69" i="27" s="1"/>
  <c r="AS30" i="27"/>
  <c r="AQ30" i="27"/>
  <c r="AR30" i="27"/>
  <c r="AT31" i="27"/>
  <c r="AU31" i="27" s="1"/>
  <c r="L70" i="27" s="1"/>
  <c r="AS31" i="27"/>
  <c r="AQ31" i="27"/>
  <c r="AR31" i="27"/>
  <c r="AT32" i="27"/>
  <c r="AU32" i="27" s="1"/>
  <c r="L71" i="27" s="1"/>
  <c r="AS32" i="27"/>
  <c r="AQ32" i="27"/>
  <c r="AR32" i="27"/>
  <c r="I46" i="48"/>
  <c r="H35" i="48"/>
  <c r="E35" i="48"/>
  <c r="K42" i="48" s="1"/>
  <c r="AT7" i="48"/>
  <c r="AU7" i="48" s="1"/>
  <c r="AS7" i="48"/>
  <c r="AQ7" i="48"/>
  <c r="AR7" i="48"/>
  <c r="AT8" i="48"/>
  <c r="AU8" i="48" s="1"/>
  <c r="L49" i="48" s="1"/>
  <c r="AS8" i="48"/>
  <c r="AQ8" i="48"/>
  <c r="AR8" i="48"/>
  <c r="AT9" i="48"/>
  <c r="AU9" i="48" s="1"/>
  <c r="L50" i="48" s="1"/>
  <c r="AS9" i="48"/>
  <c r="AQ9" i="48"/>
  <c r="AR9" i="48"/>
  <c r="AT10" i="48"/>
  <c r="AU10" i="48" s="1"/>
  <c r="L51" i="48" s="1"/>
  <c r="AS10" i="48"/>
  <c r="AQ10" i="48"/>
  <c r="AR10" i="48"/>
  <c r="AT11" i="48"/>
  <c r="AU11" i="48" s="1"/>
  <c r="L52" i="48" s="1"/>
  <c r="AS11" i="48"/>
  <c r="AQ11" i="48"/>
  <c r="AR11" i="48"/>
  <c r="AT12" i="48"/>
  <c r="AU12" i="48" s="1"/>
  <c r="L53" i="48" s="1"/>
  <c r="AS12" i="48"/>
  <c r="AQ12" i="48"/>
  <c r="AR12" i="48"/>
  <c r="AT13" i="48"/>
  <c r="AU13" i="48" s="1"/>
  <c r="L54" i="48" s="1"/>
  <c r="AS13" i="48"/>
  <c r="AQ13" i="48"/>
  <c r="AR13" i="48"/>
  <c r="AT14" i="48"/>
  <c r="AU14" i="48" s="1"/>
  <c r="L55" i="48" s="1"/>
  <c r="AS14" i="48"/>
  <c r="AQ14" i="48"/>
  <c r="AR14" i="48"/>
  <c r="AT16" i="48"/>
  <c r="AU16" i="48" s="1"/>
  <c r="AS16" i="48"/>
  <c r="AQ16" i="48"/>
  <c r="AR16" i="48"/>
  <c r="AT17" i="48"/>
  <c r="AU17" i="48" s="1"/>
  <c r="L57" i="48" s="1"/>
  <c r="AS17" i="48"/>
  <c r="AQ17" i="48"/>
  <c r="AR17" i="48"/>
  <c r="AT18" i="48"/>
  <c r="AU18" i="48" s="1"/>
  <c r="L58" i="48" s="1"/>
  <c r="AS18" i="48"/>
  <c r="AQ18" i="48"/>
  <c r="AR18" i="48"/>
  <c r="AT19" i="48"/>
  <c r="AU19" i="48" s="1"/>
  <c r="L59" i="48" s="1"/>
  <c r="AS19" i="48"/>
  <c r="AQ19" i="48"/>
  <c r="AR19" i="48"/>
  <c r="AT20" i="48"/>
  <c r="AU20" i="48" s="1"/>
  <c r="L60" i="48" s="1"/>
  <c r="AS20" i="48"/>
  <c r="AQ20" i="48"/>
  <c r="AR20" i="48"/>
  <c r="AT21" i="48"/>
  <c r="AU21" i="48" s="1"/>
  <c r="L61" i="48" s="1"/>
  <c r="AS21" i="48"/>
  <c r="AQ21" i="48"/>
  <c r="AR21" i="48"/>
  <c r="AT22" i="48"/>
  <c r="AU22" i="48" s="1"/>
  <c r="L62" i="48" s="1"/>
  <c r="AS22" i="48"/>
  <c r="AQ22" i="48"/>
  <c r="AR22" i="48"/>
  <c r="AT23" i="48"/>
  <c r="AU23" i="48" s="1"/>
  <c r="L63" i="48" s="1"/>
  <c r="AS23" i="48"/>
  <c r="AQ23" i="48"/>
  <c r="AR23" i="48"/>
  <c r="AT25" i="48"/>
  <c r="AU25" i="48" s="1"/>
  <c r="AS25" i="48"/>
  <c r="AQ25" i="48"/>
  <c r="AR25" i="48"/>
  <c r="AT26" i="48"/>
  <c r="AU26" i="48" s="1"/>
  <c r="L65" i="48" s="1"/>
  <c r="AS26" i="48"/>
  <c r="AQ26" i="48"/>
  <c r="AR26" i="48"/>
  <c r="AT27" i="48"/>
  <c r="AU27" i="48" s="1"/>
  <c r="L66" i="48" s="1"/>
  <c r="AS27" i="48"/>
  <c r="AQ27" i="48"/>
  <c r="AR27" i="48"/>
  <c r="AT28" i="48"/>
  <c r="AU28" i="48" s="1"/>
  <c r="L67" i="48" s="1"/>
  <c r="AS28" i="48"/>
  <c r="AQ28" i="48"/>
  <c r="AR28" i="48"/>
  <c r="AT29" i="48"/>
  <c r="AU29" i="48" s="1"/>
  <c r="L68" i="48" s="1"/>
  <c r="AS29" i="48"/>
  <c r="AQ29" i="48"/>
  <c r="AR29" i="48"/>
  <c r="AT30" i="48"/>
  <c r="AU30" i="48" s="1"/>
  <c r="L69" i="48" s="1"/>
  <c r="AS30" i="48"/>
  <c r="AQ30" i="48"/>
  <c r="AR30" i="48"/>
  <c r="AT31" i="48"/>
  <c r="AU31" i="48" s="1"/>
  <c r="L70" i="48" s="1"/>
  <c r="AS31" i="48"/>
  <c r="AQ31" i="48"/>
  <c r="AR31" i="48"/>
  <c r="AT32" i="48"/>
  <c r="AU32" i="48" s="1"/>
  <c r="L71" i="48" s="1"/>
  <c r="AS32" i="48"/>
  <c r="AQ32" i="48"/>
  <c r="AR32" i="48"/>
  <c r="I46" i="25"/>
  <c r="H35" i="25"/>
  <c r="E35" i="25"/>
  <c r="K42" i="25" s="1"/>
  <c r="AS7" i="25"/>
  <c r="AQ7" i="25"/>
  <c r="AR7" i="25"/>
  <c r="AT8" i="25"/>
  <c r="AU8" i="25" s="1"/>
  <c r="L49" i="25" s="1"/>
  <c r="AS8" i="25"/>
  <c r="AQ8" i="25"/>
  <c r="AR8" i="25"/>
  <c r="AT9" i="25"/>
  <c r="AU9" i="25" s="1"/>
  <c r="L50" i="25" s="1"/>
  <c r="AS9" i="25"/>
  <c r="AQ9" i="25"/>
  <c r="AR9" i="25"/>
  <c r="AT10" i="25"/>
  <c r="AU10" i="25" s="1"/>
  <c r="L51" i="25" s="1"/>
  <c r="AS10" i="25"/>
  <c r="AQ10" i="25"/>
  <c r="AR10" i="25"/>
  <c r="AT11" i="25"/>
  <c r="AU11" i="25" s="1"/>
  <c r="L52" i="25" s="1"/>
  <c r="AS11" i="25"/>
  <c r="AQ11" i="25"/>
  <c r="AR11" i="25"/>
  <c r="AT12" i="25"/>
  <c r="AU12" i="25" s="1"/>
  <c r="L53" i="25" s="1"/>
  <c r="AS12" i="25"/>
  <c r="AQ12" i="25"/>
  <c r="AR12" i="25"/>
  <c r="AT13" i="25"/>
  <c r="AU13" i="25" s="1"/>
  <c r="L54" i="25" s="1"/>
  <c r="AS13" i="25"/>
  <c r="AQ13" i="25"/>
  <c r="AR13" i="25"/>
  <c r="AS14" i="25"/>
  <c r="AQ14" i="25"/>
  <c r="AR14" i="25"/>
  <c r="AS16" i="25"/>
  <c r="AQ16" i="25"/>
  <c r="AR16" i="25"/>
  <c r="AT16" i="25" s="1"/>
  <c r="AU16" i="25" s="1"/>
  <c r="AS17" i="25"/>
  <c r="AQ17" i="25"/>
  <c r="AR17" i="25"/>
  <c r="AT17" i="25" s="1"/>
  <c r="AU17" i="25" s="1"/>
  <c r="L57" i="25" s="1"/>
  <c r="AT18" i="25"/>
  <c r="AU18" i="25" s="1"/>
  <c r="L58" i="25" s="1"/>
  <c r="AS18" i="25"/>
  <c r="AQ18" i="25"/>
  <c r="AR18" i="25"/>
  <c r="AT19" i="25"/>
  <c r="AU19" i="25" s="1"/>
  <c r="L59" i="25" s="1"/>
  <c r="AS19" i="25"/>
  <c r="AQ19" i="25"/>
  <c r="AR19" i="25"/>
  <c r="AT20" i="25"/>
  <c r="AU20" i="25" s="1"/>
  <c r="L60" i="25" s="1"/>
  <c r="AS20" i="25"/>
  <c r="AQ20" i="25"/>
  <c r="AR20" i="25"/>
  <c r="AT21" i="25"/>
  <c r="AU21" i="25" s="1"/>
  <c r="L61" i="25" s="1"/>
  <c r="AS21" i="25"/>
  <c r="AQ21" i="25"/>
  <c r="AR21" i="25"/>
  <c r="AT22" i="25"/>
  <c r="AU22" i="25" s="1"/>
  <c r="L62" i="25" s="1"/>
  <c r="AS22" i="25"/>
  <c r="AQ22" i="25"/>
  <c r="AR22" i="25"/>
  <c r="AT23" i="25"/>
  <c r="AU23" i="25" s="1"/>
  <c r="L63" i="25" s="1"/>
  <c r="AS23" i="25"/>
  <c r="AQ23" i="25"/>
  <c r="AR23" i="25"/>
  <c r="AS25" i="25"/>
  <c r="AQ25" i="25"/>
  <c r="AR25" i="25"/>
  <c r="AS26" i="25"/>
  <c r="AQ26" i="25"/>
  <c r="AR26" i="25"/>
  <c r="AS27" i="25"/>
  <c r="AQ27" i="25"/>
  <c r="AR27" i="25"/>
  <c r="AT27" i="25" s="1"/>
  <c r="AU27" i="25" s="1"/>
  <c r="L66" i="25" s="1"/>
  <c r="AT28" i="25"/>
  <c r="AU28" i="25" s="1"/>
  <c r="L67" i="25" s="1"/>
  <c r="AS28" i="25"/>
  <c r="AQ28" i="25"/>
  <c r="AR28" i="25"/>
  <c r="AT29" i="25"/>
  <c r="AU29" i="25" s="1"/>
  <c r="L68" i="25" s="1"/>
  <c r="AS29" i="25"/>
  <c r="AQ29" i="25"/>
  <c r="AR29" i="25"/>
  <c r="AT30" i="25"/>
  <c r="AU30" i="25" s="1"/>
  <c r="L69" i="25" s="1"/>
  <c r="AS30" i="25"/>
  <c r="AQ30" i="25"/>
  <c r="AR30" i="25"/>
  <c r="AT31" i="25"/>
  <c r="AU31" i="25" s="1"/>
  <c r="L70" i="25" s="1"/>
  <c r="AS31" i="25"/>
  <c r="AQ31" i="25"/>
  <c r="AR31" i="25"/>
  <c r="AT32" i="25"/>
  <c r="AU32" i="25" s="1"/>
  <c r="L71" i="25" s="1"/>
  <c r="AS32" i="25"/>
  <c r="AQ32" i="25"/>
  <c r="AR32" i="25"/>
  <c r="AT31" i="60" l="1"/>
  <c r="AU31" i="60" s="1"/>
  <c r="L70" i="60" s="1"/>
  <c r="AT8" i="60"/>
  <c r="AU8" i="60" s="1"/>
  <c r="L49" i="60" s="1"/>
  <c r="AT11" i="61"/>
  <c r="AU11" i="61" s="1"/>
  <c r="L52" i="61" s="1"/>
  <c r="AT9" i="61"/>
  <c r="AU9" i="61" s="1"/>
  <c r="L50" i="61" s="1"/>
  <c r="AT8" i="61"/>
  <c r="AU8" i="61" s="1"/>
  <c r="L49" i="61" s="1"/>
  <c r="AT30" i="60"/>
  <c r="AU30" i="60" s="1"/>
  <c r="L69" i="60" s="1"/>
  <c r="AT21" i="60"/>
  <c r="AU21" i="60" s="1"/>
  <c r="L61" i="60" s="1"/>
  <c r="AT18" i="60"/>
  <c r="AU18" i="60" s="1"/>
  <c r="L58" i="60" s="1"/>
  <c r="A20" i="69"/>
  <c r="G39" i="64"/>
  <c r="AP32" i="64"/>
  <c r="AL32" i="64"/>
  <c r="A32" i="64"/>
  <c r="AP31" i="64"/>
  <c r="AL31" i="64"/>
  <c r="A31" i="64"/>
  <c r="AP30" i="64"/>
  <c r="AL30" i="64"/>
  <c r="A30" i="64"/>
  <c r="AP29" i="64"/>
  <c r="AL29" i="64"/>
  <c r="A29" i="64"/>
  <c r="AP28" i="64"/>
  <c r="AL28" i="64"/>
  <c r="A28" i="64"/>
  <c r="AP27" i="64"/>
  <c r="AL27" i="64"/>
  <c r="A27" i="64"/>
  <c r="AP26" i="64"/>
  <c r="AL26" i="64"/>
  <c r="A26" i="64"/>
  <c r="AP25" i="64"/>
  <c r="AL25" i="64"/>
  <c r="A25" i="64"/>
  <c r="AP23" i="64"/>
  <c r="AL23" i="64"/>
  <c r="A23" i="64"/>
  <c r="AP22" i="64"/>
  <c r="AL22" i="64"/>
  <c r="A22" i="64"/>
  <c r="AP21" i="64"/>
  <c r="AL21" i="64"/>
  <c r="A21" i="64"/>
  <c r="AP20" i="64"/>
  <c r="AL20" i="64"/>
  <c r="A20" i="64"/>
  <c r="AP19" i="64"/>
  <c r="AL19" i="64"/>
  <c r="A19" i="64"/>
  <c r="AP18" i="64"/>
  <c r="AL18" i="64"/>
  <c r="A18" i="64"/>
  <c r="AP17" i="64"/>
  <c r="AL17" i="64"/>
  <c r="A17" i="64"/>
  <c r="AP16" i="64"/>
  <c r="AL16" i="64"/>
  <c r="A16" i="64"/>
  <c r="AP14" i="64"/>
  <c r="AL14" i="64"/>
  <c r="A14" i="64"/>
  <c r="AP13" i="64"/>
  <c r="AL13" i="64"/>
  <c r="A13" i="64"/>
  <c r="AP12" i="64"/>
  <c r="AL12" i="64"/>
  <c r="A12" i="64"/>
  <c r="AP11" i="64"/>
  <c r="AL11" i="64"/>
  <c r="A11" i="64"/>
  <c r="AP10" i="64"/>
  <c r="AL10" i="64"/>
  <c r="A10" i="64"/>
  <c r="AP9" i="64"/>
  <c r="AL9" i="64"/>
  <c r="A9" i="64"/>
  <c r="AP8" i="64"/>
  <c r="AL8" i="64"/>
  <c r="A8" i="64"/>
  <c r="AP7" i="64"/>
  <c r="AL7" i="64"/>
  <c r="A7" i="64"/>
  <c r="AT9" i="60"/>
  <c r="AU9" i="60" s="1"/>
  <c r="L50" i="60" s="1"/>
  <c r="AT7" i="60"/>
  <c r="AU7" i="60" s="1"/>
  <c r="L48" i="60" s="1"/>
  <c r="AT7" i="59"/>
  <c r="AU7" i="59" s="1"/>
  <c r="L48" i="59" s="1"/>
  <c r="AT17" i="58"/>
  <c r="AU17" i="58" s="1"/>
  <c r="L57" i="58" s="1"/>
  <c r="AT16" i="58"/>
  <c r="AU16" i="58" s="1"/>
  <c r="L56" i="58" s="1"/>
  <c r="AT7" i="58"/>
  <c r="AU7" i="58" s="1"/>
  <c r="L48" i="58" s="1"/>
  <c r="AT22" i="56"/>
  <c r="AU22" i="56" s="1"/>
  <c r="L62" i="56" s="1"/>
  <c r="AT27" i="56"/>
  <c r="AU27" i="56" s="1"/>
  <c r="L66" i="56" s="1"/>
  <c r="AT21" i="56"/>
  <c r="AU21" i="56" s="1"/>
  <c r="L61" i="56" s="1"/>
  <c r="AT17" i="56"/>
  <c r="AU17" i="56" s="1"/>
  <c r="L57" i="56" s="1"/>
  <c r="AT16" i="56"/>
  <c r="AU16" i="56" s="1"/>
  <c r="L56" i="56" s="1"/>
  <c r="AO27" i="52"/>
  <c r="L66" i="52"/>
  <c r="L65" i="52"/>
  <c r="AM28" i="52"/>
  <c r="AN28" i="52" s="1"/>
  <c r="AT20" i="52"/>
  <c r="AU20" i="52" s="1"/>
  <c r="L60" i="52" s="1"/>
  <c r="AT19" i="52"/>
  <c r="AU19" i="52" s="1"/>
  <c r="L59" i="52" s="1"/>
  <c r="AT18" i="52"/>
  <c r="AU18" i="52" s="1"/>
  <c r="L58" i="52" s="1"/>
  <c r="AT16" i="52"/>
  <c r="AU16" i="52" s="1"/>
  <c r="L56" i="52" s="1"/>
  <c r="AT29" i="51"/>
  <c r="AU29" i="51" s="1"/>
  <c r="L68" i="51" s="1"/>
  <c r="AT30" i="51"/>
  <c r="AU30" i="51" s="1"/>
  <c r="L69" i="51" s="1"/>
  <c r="AU25" i="51"/>
  <c r="L64" i="51" s="1"/>
  <c r="AT28" i="50"/>
  <c r="AU28" i="50" s="1"/>
  <c r="L67" i="50" s="1"/>
  <c r="AT31" i="50"/>
  <c r="AU31" i="50" s="1"/>
  <c r="L70" i="50" s="1"/>
  <c r="AT21" i="51"/>
  <c r="AU21" i="51" s="1"/>
  <c r="L61" i="51" s="1"/>
  <c r="AT16" i="51"/>
  <c r="AU16" i="51" s="1"/>
  <c r="L56" i="51" s="1"/>
  <c r="AT30" i="50"/>
  <c r="AU30" i="50" s="1"/>
  <c r="L69" i="50" s="1"/>
  <c r="AT27" i="50"/>
  <c r="AU27" i="50" s="1"/>
  <c r="L66" i="50" s="1"/>
  <c r="AT25" i="50"/>
  <c r="AU25" i="50" s="1"/>
  <c r="L64" i="50" s="1"/>
  <c r="AT16" i="50"/>
  <c r="AU16" i="50" s="1"/>
  <c r="AU24" i="50" s="1"/>
  <c r="AT28" i="49"/>
  <c r="AU28" i="49" s="1"/>
  <c r="L67" i="49" s="1"/>
  <c r="AT27" i="49"/>
  <c r="AU27" i="49" s="1"/>
  <c r="L66" i="49" s="1"/>
  <c r="AT26" i="49"/>
  <c r="AU26" i="49" s="1"/>
  <c r="L65" i="49" s="1"/>
  <c r="AT19" i="49"/>
  <c r="AU19" i="49" s="1"/>
  <c r="L59" i="49" s="1"/>
  <c r="AT16" i="49"/>
  <c r="AU16" i="49" s="1"/>
  <c r="L56" i="49" s="1"/>
  <c r="AT26" i="25"/>
  <c r="AU26" i="25" s="1"/>
  <c r="L65" i="25" s="1"/>
  <c r="AT25" i="25"/>
  <c r="AU25" i="25" s="1"/>
  <c r="L64" i="25" s="1"/>
  <c r="AT7" i="25"/>
  <c r="AU7" i="25" s="1"/>
  <c r="L48" i="25" s="1"/>
  <c r="AT14" i="25"/>
  <c r="AU14" i="25" s="1"/>
  <c r="L55" i="25" s="1"/>
  <c r="AT33" i="68"/>
  <c r="L64" i="68"/>
  <c r="AU33" i="68"/>
  <c r="AT24" i="68"/>
  <c r="L56" i="68"/>
  <c r="AU24" i="68"/>
  <c r="AT15" i="68"/>
  <c r="L48" i="68"/>
  <c r="AU15" i="68"/>
  <c r="AT33" i="67"/>
  <c r="L64" i="67"/>
  <c r="AU33" i="67"/>
  <c r="AT24" i="67"/>
  <c r="L56" i="67"/>
  <c r="AU24" i="67"/>
  <c r="AT15" i="67"/>
  <c r="L48" i="67"/>
  <c r="AU15" i="67"/>
  <c r="AT33" i="65"/>
  <c r="L64" i="65"/>
  <c r="AU33" i="65"/>
  <c r="AT24" i="65"/>
  <c r="L56" i="65"/>
  <c r="AU24" i="65"/>
  <c r="AT15" i="65"/>
  <c r="L48" i="65"/>
  <c r="AU15" i="65"/>
  <c r="AT33" i="31"/>
  <c r="L64" i="31"/>
  <c r="AU33" i="31"/>
  <c r="AT24" i="31"/>
  <c r="L56" i="31"/>
  <c r="AU24" i="31"/>
  <c r="AT15" i="31"/>
  <c r="L48" i="31"/>
  <c r="AU15" i="31"/>
  <c r="AT33" i="62"/>
  <c r="L64" i="62"/>
  <c r="AU33" i="62"/>
  <c r="AT24" i="62"/>
  <c r="L56" i="62"/>
  <c r="AU24" i="62"/>
  <c r="AT15" i="62"/>
  <c r="L48" i="62"/>
  <c r="AU15" i="62"/>
  <c r="AT33" i="61"/>
  <c r="L64" i="61"/>
  <c r="AU33" i="61"/>
  <c r="AT24" i="61"/>
  <c r="L56" i="61"/>
  <c r="AU24" i="61"/>
  <c r="L48" i="61"/>
  <c r="L64" i="60"/>
  <c r="AT33" i="58"/>
  <c r="L64" i="58"/>
  <c r="AU33" i="58"/>
  <c r="AT33" i="57"/>
  <c r="L64" i="57"/>
  <c r="AU33" i="57"/>
  <c r="AT24" i="57"/>
  <c r="L56" i="57"/>
  <c r="AU24" i="57"/>
  <c r="AT15" i="57"/>
  <c r="L48" i="57"/>
  <c r="AU15" i="57"/>
  <c r="L64" i="56"/>
  <c r="AT15" i="56"/>
  <c r="L48" i="56"/>
  <c r="AU15" i="56"/>
  <c r="L64" i="52"/>
  <c r="AT15" i="52"/>
  <c r="L48" i="52"/>
  <c r="AU15" i="52"/>
  <c r="AT15" i="51"/>
  <c r="L48" i="51"/>
  <c r="AU15" i="51"/>
  <c r="AT15" i="50"/>
  <c r="L48" i="50"/>
  <c r="AU15" i="50"/>
  <c r="AT33" i="27"/>
  <c r="L64" i="27"/>
  <c r="AU33" i="27"/>
  <c r="AT24" i="27"/>
  <c r="L56" i="27"/>
  <c r="AU24" i="27"/>
  <c r="AT15" i="27"/>
  <c r="L48" i="27"/>
  <c r="AU15" i="27"/>
  <c r="AT33" i="48"/>
  <c r="L64" i="48"/>
  <c r="AU33" i="48"/>
  <c r="AT24" i="48"/>
  <c r="L56" i="48"/>
  <c r="AU24" i="48"/>
  <c r="AT15" i="48"/>
  <c r="L48" i="48"/>
  <c r="AU15" i="48"/>
  <c r="AT24" i="25"/>
  <c r="L56" i="25"/>
  <c r="AU24" i="25"/>
  <c r="L56" i="50" l="1"/>
  <c r="AT15" i="61"/>
  <c r="E15" i="61" s="1"/>
  <c r="H42" i="61" s="1"/>
  <c r="AU24" i="56"/>
  <c r="AU15" i="61"/>
  <c r="AU35" i="61" s="1"/>
  <c r="O46" i="61" s="1"/>
  <c r="AT15" i="25"/>
  <c r="E15" i="25" s="1"/>
  <c r="H42" i="25" s="1"/>
  <c r="AT24" i="50"/>
  <c r="E24" i="50" s="1"/>
  <c r="I42" i="50" s="1"/>
  <c r="AU15" i="25"/>
  <c r="AT24" i="56"/>
  <c r="I41" i="56" s="1"/>
  <c r="AU33" i="50"/>
  <c r="AU35" i="50" s="1"/>
  <c r="O46" i="50" s="1"/>
  <c r="AU33" i="60"/>
  <c r="AU33" i="25"/>
  <c r="AU24" i="58"/>
  <c r="AT33" i="51"/>
  <c r="E33" i="51" s="1"/>
  <c r="J42" i="51" s="1"/>
  <c r="AU24" i="52"/>
  <c r="AT33" i="56"/>
  <c r="J41" i="56" s="1"/>
  <c r="AT33" i="25"/>
  <c r="J41" i="25" s="1"/>
  <c r="AT33" i="50"/>
  <c r="E33" i="50" s="1"/>
  <c r="AT24" i="58"/>
  <c r="I41" i="58" s="1"/>
  <c r="AT33" i="60"/>
  <c r="J41" i="60" s="1"/>
  <c r="AU33" i="51"/>
  <c r="AT24" i="52"/>
  <c r="I41" i="52" s="1"/>
  <c r="AU33" i="56"/>
  <c r="AT7" i="64"/>
  <c r="AS7" i="64"/>
  <c r="AQ7" i="64"/>
  <c r="AR7" i="64"/>
  <c r="AT8" i="64"/>
  <c r="AU8" i="64" s="1"/>
  <c r="L49" i="64" s="1"/>
  <c r="AS8" i="64"/>
  <c r="AQ8" i="64"/>
  <c r="AR8" i="64"/>
  <c r="AT9" i="64"/>
  <c r="AU9" i="64" s="1"/>
  <c r="L50" i="64" s="1"/>
  <c r="AS9" i="64"/>
  <c r="AQ9" i="64"/>
  <c r="AR9" i="64"/>
  <c r="AT10" i="64"/>
  <c r="AU10" i="64" s="1"/>
  <c r="L51" i="64" s="1"/>
  <c r="AS10" i="64"/>
  <c r="AQ10" i="64"/>
  <c r="AR10" i="64"/>
  <c r="AT11" i="64"/>
  <c r="AU11" i="64" s="1"/>
  <c r="L52" i="64" s="1"/>
  <c r="AS11" i="64"/>
  <c r="AQ11" i="64"/>
  <c r="AR11" i="64"/>
  <c r="AT12" i="64"/>
  <c r="AU12" i="64" s="1"/>
  <c r="L53" i="64" s="1"/>
  <c r="AS12" i="64"/>
  <c r="AQ12" i="64"/>
  <c r="AR12" i="64"/>
  <c r="AT13" i="64"/>
  <c r="AU13" i="64" s="1"/>
  <c r="L54" i="64" s="1"/>
  <c r="AS13" i="64"/>
  <c r="AQ13" i="64"/>
  <c r="AR13" i="64"/>
  <c r="AT14" i="64"/>
  <c r="AU14" i="64" s="1"/>
  <c r="L55" i="64" s="1"/>
  <c r="AS14" i="64"/>
  <c r="AQ14" i="64"/>
  <c r="AR14" i="64"/>
  <c r="AT16" i="64"/>
  <c r="AS16" i="64"/>
  <c r="AQ16" i="64"/>
  <c r="AR16" i="64"/>
  <c r="AT17" i="64"/>
  <c r="AU17" i="64" s="1"/>
  <c r="L57" i="64" s="1"/>
  <c r="AS17" i="64"/>
  <c r="AQ17" i="64"/>
  <c r="AR17" i="64"/>
  <c r="AT18" i="64"/>
  <c r="AU18" i="64" s="1"/>
  <c r="L58" i="64" s="1"/>
  <c r="AS18" i="64"/>
  <c r="AQ18" i="64"/>
  <c r="AR18" i="64"/>
  <c r="AT19" i="64"/>
  <c r="AU19" i="64" s="1"/>
  <c r="L59" i="64" s="1"/>
  <c r="AS19" i="64"/>
  <c r="AQ19" i="64"/>
  <c r="AR19" i="64"/>
  <c r="AT20" i="64"/>
  <c r="AU20" i="64" s="1"/>
  <c r="L60" i="64" s="1"/>
  <c r="AS20" i="64"/>
  <c r="AQ20" i="64"/>
  <c r="AR20" i="64"/>
  <c r="AT21" i="64"/>
  <c r="AU21" i="64" s="1"/>
  <c r="L61" i="64" s="1"/>
  <c r="AS21" i="64"/>
  <c r="AQ21" i="64"/>
  <c r="AR21" i="64"/>
  <c r="AT22" i="64"/>
  <c r="AU22" i="64" s="1"/>
  <c r="L62" i="64" s="1"/>
  <c r="AS22" i="64"/>
  <c r="AQ22" i="64"/>
  <c r="AR22" i="64"/>
  <c r="AT23" i="64"/>
  <c r="AU23" i="64" s="1"/>
  <c r="L63" i="64" s="1"/>
  <c r="AS23" i="64"/>
  <c r="AQ23" i="64"/>
  <c r="AR23" i="64"/>
  <c r="AT25" i="64"/>
  <c r="AS25" i="64"/>
  <c r="AQ25" i="64"/>
  <c r="AR25" i="64"/>
  <c r="AT26" i="64"/>
  <c r="AU26" i="64" s="1"/>
  <c r="L65" i="64" s="1"/>
  <c r="AS26" i="64"/>
  <c r="AQ26" i="64"/>
  <c r="AR26" i="64"/>
  <c r="AT27" i="64"/>
  <c r="AU27" i="64" s="1"/>
  <c r="L66" i="64" s="1"/>
  <c r="AS27" i="64"/>
  <c r="AQ27" i="64"/>
  <c r="AR27" i="64"/>
  <c r="AT28" i="64"/>
  <c r="AU28" i="64" s="1"/>
  <c r="L67" i="64" s="1"/>
  <c r="AS28" i="64"/>
  <c r="AQ28" i="64"/>
  <c r="AR28" i="64"/>
  <c r="AT29" i="64"/>
  <c r="AU29" i="64" s="1"/>
  <c r="L68" i="64" s="1"/>
  <c r="AS29" i="64"/>
  <c r="AQ29" i="64"/>
  <c r="AR29" i="64"/>
  <c r="AT30" i="64"/>
  <c r="AU30" i="64" s="1"/>
  <c r="L69" i="64" s="1"/>
  <c r="AS30" i="64"/>
  <c r="AQ30" i="64"/>
  <c r="AR30" i="64"/>
  <c r="AT31" i="64"/>
  <c r="AU31" i="64" s="1"/>
  <c r="L70" i="64" s="1"/>
  <c r="AS31" i="64"/>
  <c r="AQ31" i="64"/>
  <c r="AR31" i="64"/>
  <c r="AT32" i="64"/>
  <c r="AU32" i="64" s="1"/>
  <c r="L71" i="64" s="1"/>
  <c r="AS32" i="64"/>
  <c r="AQ32" i="64"/>
  <c r="AR32" i="64"/>
  <c r="AO28" i="52"/>
  <c r="AT28" i="52"/>
  <c r="AU28" i="52" s="1"/>
  <c r="AM29" i="52"/>
  <c r="AN29" i="52" s="1"/>
  <c r="AO29" i="52" s="1"/>
  <c r="H41" i="68"/>
  <c r="E15" i="68"/>
  <c r="H42" i="68" s="1"/>
  <c r="I41" i="68"/>
  <c r="E24" i="68"/>
  <c r="I42" i="68" s="1"/>
  <c r="AU35" i="68"/>
  <c r="O46" i="68" s="1"/>
  <c r="J41" i="68"/>
  <c r="AT35" i="68"/>
  <c r="M46" i="68" s="1"/>
  <c r="Q46" i="68" s="1"/>
  <c r="E33" i="68"/>
  <c r="J42" i="68" s="1"/>
  <c r="H41" i="67"/>
  <c r="E15" i="67"/>
  <c r="H42" i="67" s="1"/>
  <c r="I41" i="67"/>
  <c r="E24" i="67"/>
  <c r="I42" i="67" s="1"/>
  <c r="AU35" i="67"/>
  <c r="O46" i="67" s="1"/>
  <c r="J41" i="67"/>
  <c r="AT35" i="67"/>
  <c r="M46" i="67" s="1"/>
  <c r="Q46" i="67" s="1"/>
  <c r="E33" i="67"/>
  <c r="J42" i="67" s="1"/>
  <c r="H41" i="65"/>
  <c r="E15" i="65"/>
  <c r="H42" i="65" s="1"/>
  <c r="I41" i="65"/>
  <c r="E24" i="65"/>
  <c r="I42" i="65" s="1"/>
  <c r="AU35" i="65"/>
  <c r="O46" i="65" s="1"/>
  <c r="J41" i="65"/>
  <c r="AT35" i="65"/>
  <c r="M46" i="65" s="1"/>
  <c r="Q46" i="65" s="1"/>
  <c r="E33" i="65"/>
  <c r="J42" i="65" s="1"/>
  <c r="H41" i="31"/>
  <c r="E15" i="31"/>
  <c r="H42" i="31" s="1"/>
  <c r="I41" i="31"/>
  <c r="E24" i="31"/>
  <c r="I42" i="31" s="1"/>
  <c r="AU35" i="31"/>
  <c r="O46" i="31" s="1"/>
  <c r="J41" i="31"/>
  <c r="AT35" i="31"/>
  <c r="M46" i="31" s="1"/>
  <c r="Q46" i="31" s="1"/>
  <c r="E33" i="31"/>
  <c r="J42" i="31" s="1"/>
  <c r="H41" i="62"/>
  <c r="E15" i="62"/>
  <c r="H42" i="62" s="1"/>
  <c r="I41" i="62"/>
  <c r="E24" i="62"/>
  <c r="I42" i="62" s="1"/>
  <c r="AU35" i="62"/>
  <c r="O46" i="62" s="1"/>
  <c r="J41" i="62"/>
  <c r="AT35" i="62"/>
  <c r="M46" i="62" s="1"/>
  <c r="Q46" i="62" s="1"/>
  <c r="E33" i="62"/>
  <c r="J42" i="62" s="1"/>
  <c r="H41" i="61"/>
  <c r="I41" i="61"/>
  <c r="E24" i="61"/>
  <c r="I42" i="61" s="1"/>
  <c r="J41" i="61"/>
  <c r="AT35" i="61"/>
  <c r="M46" i="61" s="1"/>
  <c r="Q46" i="61" s="1"/>
  <c r="E33" i="61"/>
  <c r="J42" i="61" s="1"/>
  <c r="J41" i="58"/>
  <c r="E33" i="58"/>
  <c r="J42" i="58" s="1"/>
  <c r="H41" i="57"/>
  <c r="E15" i="57"/>
  <c r="H42" i="57" s="1"/>
  <c r="I41" i="57"/>
  <c r="E24" i="57"/>
  <c r="I42" i="57" s="1"/>
  <c r="AU35" i="57"/>
  <c r="O46" i="57" s="1"/>
  <c r="J41" i="57"/>
  <c r="AT35" i="57"/>
  <c r="M46" i="57" s="1"/>
  <c r="Q46" i="57" s="1"/>
  <c r="E33" i="57"/>
  <c r="J42" i="57" s="1"/>
  <c r="H41" i="56"/>
  <c r="E15" i="56"/>
  <c r="H42" i="56" s="1"/>
  <c r="H41" i="52"/>
  <c r="E15" i="52"/>
  <c r="H42" i="52" s="1"/>
  <c r="J41" i="52"/>
  <c r="M46" i="52"/>
  <c r="Q46" i="52" s="1"/>
  <c r="E33" i="52"/>
  <c r="J42" i="52" s="1"/>
  <c r="H41" i="51"/>
  <c r="E15" i="51"/>
  <c r="H42" i="51" s="1"/>
  <c r="H41" i="50"/>
  <c r="E15" i="50"/>
  <c r="H42" i="50" s="1"/>
  <c r="J42" i="50"/>
  <c r="H41" i="27"/>
  <c r="E15" i="27"/>
  <c r="H42" i="27" s="1"/>
  <c r="I41" i="27"/>
  <c r="E24" i="27"/>
  <c r="I42" i="27" s="1"/>
  <c r="AU35" i="27"/>
  <c r="O46" i="27" s="1"/>
  <c r="J41" i="27"/>
  <c r="AT35" i="27"/>
  <c r="M46" i="27" s="1"/>
  <c r="Q46" i="27" s="1"/>
  <c r="E33" i="27"/>
  <c r="J42" i="27" s="1"/>
  <c r="H41" i="48"/>
  <c r="E15" i="48"/>
  <c r="H42" i="48" s="1"/>
  <c r="I41" i="48"/>
  <c r="E24" i="48"/>
  <c r="I42" i="48" s="1"/>
  <c r="AU35" i="48"/>
  <c r="O46" i="48" s="1"/>
  <c r="J41" i="48"/>
  <c r="AT35" i="48"/>
  <c r="M46" i="48" s="1"/>
  <c r="Q46" i="48" s="1"/>
  <c r="E33" i="48"/>
  <c r="J42" i="48" s="1"/>
  <c r="H41" i="25"/>
  <c r="I41" i="25"/>
  <c r="E24" i="25"/>
  <c r="I42" i="25" s="1"/>
  <c r="AU35" i="25" l="1"/>
  <c r="O46" i="25" s="1"/>
  <c r="E24" i="56"/>
  <c r="I42" i="56" s="1"/>
  <c r="J41" i="50"/>
  <c r="I41" i="50"/>
  <c r="E33" i="60"/>
  <c r="J42" i="60" s="1"/>
  <c r="AU35" i="56"/>
  <c r="O46" i="56" s="1"/>
  <c r="E33" i="56"/>
  <c r="J42" i="56" s="1"/>
  <c r="AT35" i="56"/>
  <c r="M46" i="56" s="1"/>
  <c r="Q46" i="56" s="1"/>
  <c r="E24" i="52"/>
  <c r="I42" i="52" s="1"/>
  <c r="E24" i="58"/>
  <c r="I42" i="58" s="1"/>
  <c r="J41" i="51"/>
  <c r="AT35" i="50"/>
  <c r="M46" i="50" s="1"/>
  <c r="Q46" i="50" s="1"/>
  <c r="E34" i="51"/>
  <c r="E33" i="25"/>
  <c r="J42" i="25" s="1"/>
  <c r="AT35" i="25"/>
  <c r="M46" i="25" s="1"/>
  <c r="Q46" i="25" s="1"/>
  <c r="AU25" i="64"/>
  <c r="AT33" i="64"/>
  <c r="AU16" i="64"/>
  <c r="AT24" i="64"/>
  <c r="AU7" i="64"/>
  <c r="AT15" i="64"/>
  <c r="L67" i="52"/>
  <c r="AU33" i="52"/>
  <c r="AU35" i="52" s="1"/>
  <c r="O46" i="52" s="1"/>
  <c r="AM30" i="52"/>
  <c r="AN30" i="52" s="1"/>
  <c r="AO30" i="52" s="1"/>
  <c r="K41" i="68"/>
  <c r="K41" i="67"/>
  <c r="K41" i="65"/>
  <c r="K41" i="31"/>
  <c r="K41" i="62"/>
  <c r="K41" i="61"/>
  <c r="K41" i="57"/>
  <c r="K41" i="56"/>
  <c r="K41" i="52"/>
  <c r="K41" i="27"/>
  <c r="K41" i="48"/>
  <c r="K41" i="25"/>
  <c r="K41" i="50" l="1"/>
  <c r="H41" i="64"/>
  <c r="E15" i="64"/>
  <c r="H42" i="64" s="1"/>
  <c r="L48" i="64"/>
  <c r="AU15" i="64"/>
  <c r="I41" i="64"/>
  <c r="E24" i="64"/>
  <c r="I42" i="64" s="1"/>
  <c r="L56" i="64"/>
  <c r="AU24" i="64"/>
  <c r="J41" i="64"/>
  <c r="AT35" i="64"/>
  <c r="M46" i="64" s="1"/>
  <c r="Q46" i="64" s="1"/>
  <c r="E33" i="64"/>
  <c r="J42" i="64" s="1"/>
  <c r="L64" i="64"/>
  <c r="AU33" i="64"/>
  <c r="AM31" i="52"/>
  <c r="AN31" i="52" s="1"/>
  <c r="AO31" i="52" s="1"/>
  <c r="B1" i="24"/>
  <c r="D6" i="24"/>
  <c r="M71" i="24"/>
  <c r="K71" i="24"/>
  <c r="J71" i="24"/>
  <c r="I71" i="24"/>
  <c r="H71" i="24"/>
  <c r="G71" i="24"/>
  <c r="M70" i="24"/>
  <c r="K70" i="24"/>
  <c r="J70" i="24"/>
  <c r="I70" i="24"/>
  <c r="H70" i="24"/>
  <c r="G70" i="24"/>
  <c r="M69" i="24"/>
  <c r="K69" i="24"/>
  <c r="J69" i="24"/>
  <c r="I69" i="24"/>
  <c r="H69" i="24"/>
  <c r="G69" i="24"/>
  <c r="M68" i="24"/>
  <c r="K68" i="24"/>
  <c r="J68" i="24"/>
  <c r="I68" i="24"/>
  <c r="H68" i="24"/>
  <c r="G68" i="24"/>
  <c r="M67" i="24"/>
  <c r="K67" i="24"/>
  <c r="J67" i="24"/>
  <c r="I67" i="24"/>
  <c r="H67" i="24"/>
  <c r="G67" i="24"/>
  <c r="M66" i="24"/>
  <c r="K66" i="24"/>
  <c r="J66" i="24"/>
  <c r="I66" i="24"/>
  <c r="H66" i="24"/>
  <c r="G66" i="24"/>
  <c r="M65" i="24"/>
  <c r="K65" i="24"/>
  <c r="J65" i="24"/>
  <c r="I65" i="24"/>
  <c r="H65" i="24"/>
  <c r="G65" i="24"/>
  <c r="M64" i="24"/>
  <c r="K64" i="24"/>
  <c r="J64" i="24"/>
  <c r="I64" i="24"/>
  <c r="H64" i="24"/>
  <c r="G64" i="24"/>
  <c r="M63" i="24"/>
  <c r="K63" i="24"/>
  <c r="J63" i="24"/>
  <c r="I63" i="24"/>
  <c r="H63" i="24"/>
  <c r="G63" i="24"/>
  <c r="M62" i="24"/>
  <c r="K62" i="24"/>
  <c r="J62" i="24"/>
  <c r="I62" i="24"/>
  <c r="H62" i="24"/>
  <c r="G62" i="24"/>
  <c r="M61" i="24"/>
  <c r="K61" i="24"/>
  <c r="J61" i="24"/>
  <c r="I61" i="24"/>
  <c r="H61" i="24"/>
  <c r="G61" i="24"/>
  <c r="M60" i="24"/>
  <c r="K60" i="24"/>
  <c r="J60" i="24"/>
  <c r="I60" i="24"/>
  <c r="H60" i="24"/>
  <c r="G60" i="24"/>
  <c r="M59" i="24"/>
  <c r="K59" i="24"/>
  <c r="J59" i="24"/>
  <c r="I59" i="24"/>
  <c r="H59" i="24"/>
  <c r="G59" i="24"/>
  <c r="M58" i="24"/>
  <c r="K58" i="24"/>
  <c r="J58" i="24"/>
  <c r="I58" i="24"/>
  <c r="H58" i="24"/>
  <c r="G58" i="24"/>
  <c r="M57" i="24"/>
  <c r="K57" i="24"/>
  <c r="J57" i="24"/>
  <c r="I57" i="24"/>
  <c r="H57" i="24"/>
  <c r="G57" i="24"/>
  <c r="M56" i="24"/>
  <c r="K56" i="24"/>
  <c r="J56" i="24"/>
  <c r="I56" i="24"/>
  <c r="H56" i="24"/>
  <c r="G56" i="24"/>
  <c r="M55" i="24"/>
  <c r="K55" i="24"/>
  <c r="J55" i="24"/>
  <c r="I55" i="24"/>
  <c r="H55" i="24"/>
  <c r="G55" i="24"/>
  <c r="M54" i="24"/>
  <c r="K54" i="24"/>
  <c r="J54" i="24"/>
  <c r="I54" i="24"/>
  <c r="H54" i="24"/>
  <c r="G54" i="24"/>
  <c r="M53" i="24"/>
  <c r="K53" i="24"/>
  <c r="J53" i="24"/>
  <c r="I53" i="24"/>
  <c r="H53" i="24"/>
  <c r="G53" i="24"/>
  <c r="M52" i="24"/>
  <c r="K52" i="24"/>
  <c r="J52" i="24"/>
  <c r="I52" i="24"/>
  <c r="H52" i="24"/>
  <c r="G52" i="24"/>
  <c r="M51" i="24"/>
  <c r="K51" i="24"/>
  <c r="J51" i="24"/>
  <c r="I51" i="24"/>
  <c r="H51" i="24"/>
  <c r="G51" i="24"/>
  <c r="M50" i="24"/>
  <c r="K50" i="24"/>
  <c r="J50" i="24"/>
  <c r="I50" i="24"/>
  <c r="H50" i="24"/>
  <c r="G50" i="24"/>
  <c r="M49" i="24"/>
  <c r="K49" i="24"/>
  <c r="J49" i="24"/>
  <c r="I49" i="24"/>
  <c r="H49" i="24"/>
  <c r="G49" i="24"/>
  <c r="M48" i="24"/>
  <c r="K48" i="24"/>
  <c r="J48" i="24"/>
  <c r="I48" i="24"/>
  <c r="H48" i="24"/>
  <c r="G48" i="24"/>
  <c r="M47" i="24"/>
  <c r="L47" i="24"/>
  <c r="K47" i="24"/>
  <c r="J47" i="24"/>
  <c r="I47" i="24"/>
  <c r="H47" i="24"/>
  <c r="G47" i="24"/>
  <c r="L46" i="24"/>
  <c r="N46" i="24" s="1"/>
  <c r="H46" i="24"/>
  <c r="E34" i="24"/>
  <c r="AH33" i="24"/>
  <c r="AG33" i="24"/>
  <c r="AF33" i="24"/>
  <c r="AE33" i="24"/>
  <c r="E32" i="24"/>
  <c r="E31" i="24"/>
  <c r="E30" i="24"/>
  <c r="E29" i="24"/>
  <c r="E28" i="24"/>
  <c r="E27" i="24"/>
  <c r="E26" i="24"/>
  <c r="E25" i="24"/>
  <c r="D33" i="24" s="1"/>
  <c r="J40" i="24" s="1"/>
  <c r="AH24" i="24"/>
  <c r="AG24" i="24"/>
  <c r="AF24" i="24"/>
  <c r="AE24" i="24"/>
  <c r="E23" i="24"/>
  <c r="E22" i="24"/>
  <c r="E21" i="24"/>
  <c r="E20" i="24"/>
  <c r="E19" i="24"/>
  <c r="E18" i="24"/>
  <c r="E17" i="24"/>
  <c r="E16" i="24"/>
  <c r="D24" i="24" s="1"/>
  <c r="AH15" i="24"/>
  <c r="AG15" i="24"/>
  <c r="AF15" i="24"/>
  <c r="AE15" i="24"/>
  <c r="AD15" i="24"/>
  <c r="Q15" i="24"/>
  <c r="O15" i="24"/>
  <c r="N15" i="24"/>
  <c r="M15" i="24"/>
  <c r="L15" i="24"/>
  <c r="K15" i="24"/>
  <c r="J15" i="24"/>
  <c r="I15" i="24"/>
  <c r="G15" i="24"/>
  <c r="E14" i="24"/>
  <c r="E13" i="24"/>
  <c r="E12" i="24"/>
  <c r="E11" i="24"/>
  <c r="E10" i="24"/>
  <c r="E9" i="24"/>
  <c r="E8" i="24"/>
  <c r="AM7" i="24"/>
  <c r="AN7" i="24" s="1"/>
  <c r="AO7" i="24" s="1"/>
  <c r="AK7" i="24"/>
  <c r="AM8" i="24" s="1"/>
  <c r="AN8" i="24" s="1"/>
  <c r="AO8" i="24" s="1"/>
  <c r="AK8" i="24" s="1"/>
  <c r="AM9" i="24" s="1"/>
  <c r="AN9" i="24" s="1"/>
  <c r="AO9" i="24" s="1"/>
  <c r="AK9" i="24" s="1"/>
  <c r="AM10" i="24" s="1"/>
  <c r="AN10" i="24" s="1"/>
  <c r="AO10" i="24" s="1"/>
  <c r="AK10" i="24" s="1"/>
  <c r="AM11" i="24" s="1"/>
  <c r="AN11" i="24" s="1"/>
  <c r="AO11" i="24" s="1"/>
  <c r="AK11" i="24" s="1"/>
  <c r="AM12" i="24" s="1"/>
  <c r="AN12" i="24" s="1"/>
  <c r="AO12" i="24" s="1"/>
  <c r="AK12" i="24" s="1"/>
  <c r="AM13" i="24" s="1"/>
  <c r="AN13" i="24" s="1"/>
  <c r="AO13" i="24" s="1"/>
  <c r="AK13" i="24" s="1"/>
  <c r="AM14" i="24" s="1"/>
  <c r="AN14" i="24" s="1"/>
  <c r="AO14" i="24" s="1"/>
  <c r="AK14" i="24" s="1"/>
  <c r="AK15" i="24" s="1"/>
  <c r="AM16" i="24" s="1"/>
  <c r="AN16" i="24" s="1"/>
  <c r="AO16" i="24" s="1"/>
  <c r="AK16" i="24" s="1"/>
  <c r="AM17" i="24" s="1"/>
  <c r="AN17" i="24" s="1"/>
  <c r="AO17" i="24" s="1"/>
  <c r="AK17" i="24" s="1"/>
  <c r="AM18" i="24" s="1"/>
  <c r="AN18" i="24" s="1"/>
  <c r="AO18" i="24" s="1"/>
  <c r="AK18" i="24" s="1"/>
  <c r="AM19" i="24" s="1"/>
  <c r="AN19" i="24" s="1"/>
  <c r="AO19" i="24" s="1"/>
  <c r="AK19" i="24" s="1"/>
  <c r="AM20" i="24" s="1"/>
  <c r="AN20" i="24" s="1"/>
  <c r="AO20" i="24" s="1"/>
  <c r="AK20" i="24" s="1"/>
  <c r="AM21" i="24" s="1"/>
  <c r="AN21" i="24" s="1"/>
  <c r="AO21" i="24" s="1"/>
  <c r="AK21" i="24" s="1"/>
  <c r="AM22" i="24" s="1"/>
  <c r="AN22" i="24" s="1"/>
  <c r="AO22" i="24" s="1"/>
  <c r="AK22" i="24" s="1"/>
  <c r="AM23" i="24" s="1"/>
  <c r="AN23" i="24" s="1"/>
  <c r="AO23" i="24" s="1"/>
  <c r="AK23" i="24" s="1"/>
  <c r="AK24" i="24" s="1"/>
  <c r="AM25" i="24" s="1"/>
  <c r="AN25" i="24" s="1"/>
  <c r="AO25" i="24" s="1"/>
  <c r="AK25" i="24" s="1"/>
  <c r="AM26" i="24" s="1"/>
  <c r="AN26" i="24" s="1"/>
  <c r="AO26" i="24" s="1"/>
  <c r="AK26" i="24" s="1"/>
  <c r="AM27" i="24" s="1"/>
  <c r="AN27" i="24" s="1"/>
  <c r="AO27" i="24" s="1"/>
  <c r="AK27" i="24" s="1"/>
  <c r="AM28" i="24" s="1"/>
  <c r="AN28" i="24" s="1"/>
  <c r="AO28" i="24" s="1"/>
  <c r="AK28" i="24" s="1"/>
  <c r="AM29" i="24" s="1"/>
  <c r="AN29" i="24" s="1"/>
  <c r="AO29" i="24" s="1"/>
  <c r="AK29" i="24" s="1"/>
  <c r="AM30" i="24" s="1"/>
  <c r="AN30" i="24" s="1"/>
  <c r="AO30" i="24" s="1"/>
  <c r="AK30" i="24" s="1"/>
  <c r="AM31" i="24" s="1"/>
  <c r="AN31" i="24" s="1"/>
  <c r="AO31" i="24" s="1"/>
  <c r="AK31" i="24" s="1"/>
  <c r="AM32" i="24" s="1"/>
  <c r="AN32" i="24" s="1"/>
  <c r="AO32" i="24" s="1"/>
  <c r="AK32" i="24" s="1"/>
  <c r="F7" i="24"/>
  <c r="F8" i="24" s="1"/>
  <c r="F9" i="24" s="1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L42" i="24" s="1"/>
  <c r="E7" i="24"/>
  <c r="D15" i="24" s="1"/>
  <c r="G46" i="24"/>
  <c r="AU1" i="24"/>
  <c r="E26" i="66"/>
  <c r="E25" i="66"/>
  <c r="P71" i="66"/>
  <c r="M71" i="66"/>
  <c r="L71" i="66"/>
  <c r="K71" i="66"/>
  <c r="J71" i="66"/>
  <c r="I71" i="66"/>
  <c r="H71" i="66"/>
  <c r="P70" i="66"/>
  <c r="M70" i="66"/>
  <c r="L70" i="66"/>
  <c r="K70" i="66"/>
  <c r="J70" i="66"/>
  <c r="I70" i="66"/>
  <c r="H70" i="66"/>
  <c r="P69" i="66"/>
  <c r="M69" i="66"/>
  <c r="L69" i="66"/>
  <c r="K69" i="66"/>
  <c r="J69" i="66"/>
  <c r="I69" i="66"/>
  <c r="H69" i="66"/>
  <c r="P68" i="66"/>
  <c r="M68" i="66"/>
  <c r="L68" i="66"/>
  <c r="K68" i="66"/>
  <c r="J68" i="66"/>
  <c r="I68" i="66"/>
  <c r="H68" i="66"/>
  <c r="P67" i="66"/>
  <c r="M67" i="66"/>
  <c r="L67" i="66"/>
  <c r="K67" i="66"/>
  <c r="J67" i="66"/>
  <c r="I67" i="66"/>
  <c r="H67" i="66"/>
  <c r="P66" i="66"/>
  <c r="M66" i="66"/>
  <c r="L66" i="66"/>
  <c r="K66" i="66"/>
  <c r="J66" i="66"/>
  <c r="I66" i="66"/>
  <c r="H66" i="66"/>
  <c r="P65" i="66"/>
  <c r="M65" i="66"/>
  <c r="L65" i="66"/>
  <c r="K65" i="66"/>
  <c r="J65" i="66"/>
  <c r="I65" i="66"/>
  <c r="H65" i="66"/>
  <c r="P64" i="66"/>
  <c r="M64" i="66"/>
  <c r="L64" i="66"/>
  <c r="K64" i="66"/>
  <c r="J64" i="66"/>
  <c r="I64" i="66"/>
  <c r="H64" i="66"/>
  <c r="P63" i="66"/>
  <c r="M63" i="66"/>
  <c r="L63" i="66"/>
  <c r="K63" i="66"/>
  <c r="J63" i="66"/>
  <c r="I63" i="66"/>
  <c r="H63" i="66"/>
  <c r="P62" i="66"/>
  <c r="M62" i="66"/>
  <c r="L62" i="66"/>
  <c r="K62" i="66"/>
  <c r="J62" i="66"/>
  <c r="I62" i="66"/>
  <c r="H62" i="66"/>
  <c r="P61" i="66"/>
  <c r="M61" i="66"/>
  <c r="L61" i="66"/>
  <c r="K61" i="66"/>
  <c r="J61" i="66"/>
  <c r="I61" i="66"/>
  <c r="H61" i="66"/>
  <c r="P60" i="66"/>
  <c r="M60" i="66"/>
  <c r="L60" i="66"/>
  <c r="K60" i="66"/>
  <c r="J60" i="66"/>
  <c r="I60" i="66"/>
  <c r="H60" i="66"/>
  <c r="P59" i="66"/>
  <c r="M59" i="66"/>
  <c r="L59" i="66"/>
  <c r="K59" i="66"/>
  <c r="J59" i="66"/>
  <c r="I59" i="66"/>
  <c r="H59" i="66"/>
  <c r="P58" i="66"/>
  <c r="M58" i="66"/>
  <c r="L58" i="66"/>
  <c r="K58" i="66"/>
  <c r="J58" i="66"/>
  <c r="I58" i="66"/>
  <c r="H58" i="66"/>
  <c r="P57" i="66"/>
  <c r="M57" i="66"/>
  <c r="L57" i="66"/>
  <c r="K57" i="66"/>
  <c r="J57" i="66"/>
  <c r="I57" i="66"/>
  <c r="H57" i="66"/>
  <c r="P56" i="66"/>
  <c r="M56" i="66"/>
  <c r="L56" i="66"/>
  <c r="K56" i="66"/>
  <c r="J56" i="66"/>
  <c r="I56" i="66"/>
  <c r="H56" i="66"/>
  <c r="P55" i="66"/>
  <c r="M55" i="66"/>
  <c r="L55" i="66"/>
  <c r="K55" i="66"/>
  <c r="J55" i="66"/>
  <c r="I55" i="66"/>
  <c r="H55" i="66"/>
  <c r="P54" i="66"/>
  <c r="M54" i="66"/>
  <c r="L54" i="66"/>
  <c r="K54" i="66"/>
  <c r="J54" i="66"/>
  <c r="I54" i="66"/>
  <c r="H54" i="66"/>
  <c r="P53" i="66"/>
  <c r="M53" i="66"/>
  <c r="L53" i="66"/>
  <c r="K53" i="66"/>
  <c r="J53" i="66"/>
  <c r="I53" i="66"/>
  <c r="H53" i="66"/>
  <c r="P52" i="66"/>
  <c r="M52" i="66"/>
  <c r="L52" i="66"/>
  <c r="K52" i="66"/>
  <c r="J52" i="66"/>
  <c r="I52" i="66"/>
  <c r="H52" i="66"/>
  <c r="P51" i="66"/>
  <c r="M51" i="66"/>
  <c r="L51" i="66"/>
  <c r="K51" i="66"/>
  <c r="J51" i="66"/>
  <c r="I51" i="66"/>
  <c r="H51" i="66"/>
  <c r="P50" i="66"/>
  <c r="M50" i="66"/>
  <c r="L50" i="66"/>
  <c r="K50" i="66"/>
  <c r="J50" i="66"/>
  <c r="I50" i="66"/>
  <c r="H50" i="66"/>
  <c r="P49" i="66"/>
  <c r="M49" i="66"/>
  <c r="L49" i="66"/>
  <c r="K49" i="66"/>
  <c r="J49" i="66"/>
  <c r="I49" i="66"/>
  <c r="H49" i="66"/>
  <c r="P48" i="66"/>
  <c r="M48" i="66"/>
  <c r="L48" i="66"/>
  <c r="K48" i="66"/>
  <c r="J48" i="66"/>
  <c r="I48" i="66"/>
  <c r="H48" i="66"/>
  <c r="P47" i="66"/>
  <c r="O47" i="66"/>
  <c r="N47" i="66"/>
  <c r="M47" i="66"/>
  <c r="L47" i="66"/>
  <c r="K47" i="66"/>
  <c r="J47" i="66"/>
  <c r="I47" i="66"/>
  <c r="H47" i="66"/>
  <c r="M45" i="66"/>
  <c r="O45" i="66" s="1"/>
  <c r="I45" i="66"/>
  <c r="H45" i="66"/>
  <c r="G45" i="66"/>
  <c r="G38" i="66"/>
  <c r="G35" i="66"/>
  <c r="E34" i="66"/>
  <c r="AM33" i="66"/>
  <c r="AL33" i="66"/>
  <c r="AK33" i="66"/>
  <c r="AJ33" i="66"/>
  <c r="AU32" i="66"/>
  <c r="AQ32" i="66"/>
  <c r="E32" i="66"/>
  <c r="A32" i="66"/>
  <c r="AU31" i="66"/>
  <c r="AQ31" i="66"/>
  <c r="E31" i="66"/>
  <c r="A31" i="66"/>
  <c r="AU30" i="66"/>
  <c r="AQ30" i="66"/>
  <c r="E30" i="66"/>
  <c r="A30" i="66"/>
  <c r="AU29" i="66"/>
  <c r="AQ29" i="66"/>
  <c r="E29" i="66"/>
  <c r="A29" i="66"/>
  <c r="AU28" i="66"/>
  <c r="AQ28" i="66"/>
  <c r="E28" i="66"/>
  <c r="A28" i="66"/>
  <c r="AU27" i="66"/>
  <c r="AQ27" i="66"/>
  <c r="E27" i="66"/>
  <c r="A27" i="66"/>
  <c r="AU26" i="66"/>
  <c r="AQ26" i="66"/>
  <c r="A26" i="66"/>
  <c r="AU25" i="66"/>
  <c r="AQ25" i="66"/>
  <c r="A25" i="66"/>
  <c r="AM24" i="66"/>
  <c r="AL24" i="66"/>
  <c r="AK24" i="66"/>
  <c r="AJ24" i="66"/>
  <c r="AU23" i="66"/>
  <c r="AQ23" i="66"/>
  <c r="E23" i="66"/>
  <c r="A23" i="66"/>
  <c r="AU22" i="66"/>
  <c r="AQ22" i="66"/>
  <c r="E22" i="66"/>
  <c r="A22" i="66"/>
  <c r="AU21" i="66"/>
  <c r="AQ21" i="66"/>
  <c r="E21" i="66"/>
  <c r="A21" i="66"/>
  <c r="AU20" i="66"/>
  <c r="AQ20" i="66"/>
  <c r="E20" i="66"/>
  <c r="A20" i="66"/>
  <c r="AU19" i="66"/>
  <c r="AQ19" i="66"/>
  <c r="E19" i="66"/>
  <c r="A19" i="66"/>
  <c r="AU18" i="66"/>
  <c r="AQ18" i="66"/>
  <c r="E18" i="66"/>
  <c r="A18" i="66"/>
  <c r="AU17" i="66"/>
  <c r="AQ17" i="66"/>
  <c r="E17" i="66"/>
  <c r="A17" i="66"/>
  <c r="AU16" i="66"/>
  <c r="AQ16" i="66"/>
  <c r="E16" i="66"/>
  <c r="A16" i="66"/>
  <c r="AM15" i="66"/>
  <c r="AL15" i="66"/>
  <c r="AK15" i="66"/>
  <c r="AJ15" i="66"/>
  <c r="AI15" i="66"/>
  <c r="V15" i="66"/>
  <c r="S15" i="66"/>
  <c r="R15" i="66"/>
  <c r="Q15" i="66"/>
  <c r="P15" i="66"/>
  <c r="O15" i="66"/>
  <c r="N15" i="66"/>
  <c r="M15" i="66"/>
  <c r="L15" i="66"/>
  <c r="K15" i="66"/>
  <c r="J15" i="66"/>
  <c r="H15" i="66"/>
  <c r="AU14" i="66"/>
  <c r="AS14" i="66"/>
  <c r="AT14" i="66" s="1"/>
  <c r="AQ14" i="66"/>
  <c r="AP14" i="66"/>
  <c r="AP15" i="66" s="1"/>
  <c r="AR16" i="66" s="1"/>
  <c r="AS16" i="66" s="1"/>
  <c r="AT16" i="66" s="1"/>
  <c r="AP16" i="66" s="1"/>
  <c r="AR17" i="66" s="1"/>
  <c r="AS17" i="66" s="1"/>
  <c r="AT17" i="66" s="1"/>
  <c r="AP17" i="66" s="1"/>
  <c r="AR18" i="66" s="1"/>
  <c r="AS18" i="66" s="1"/>
  <c r="AT18" i="66" s="1"/>
  <c r="AP18" i="66" s="1"/>
  <c r="AR19" i="66" s="1"/>
  <c r="AS19" i="66" s="1"/>
  <c r="AT19" i="66" s="1"/>
  <c r="AP19" i="66" s="1"/>
  <c r="AR20" i="66" s="1"/>
  <c r="AS20" i="66" s="1"/>
  <c r="AT20" i="66" s="1"/>
  <c r="AP20" i="66" s="1"/>
  <c r="AR21" i="66" s="1"/>
  <c r="AS21" i="66" s="1"/>
  <c r="AT21" i="66" s="1"/>
  <c r="AP21" i="66" s="1"/>
  <c r="AR22" i="66" s="1"/>
  <c r="AS22" i="66" s="1"/>
  <c r="AT22" i="66" s="1"/>
  <c r="AP22" i="66" s="1"/>
  <c r="AR23" i="66" s="1"/>
  <c r="AS23" i="66" s="1"/>
  <c r="AT23" i="66" s="1"/>
  <c r="AP23" i="66" s="1"/>
  <c r="AP24" i="66" s="1"/>
  <c r="AR25" i="66" s="1"/>
  <c r="AS25" i="66" s="1"/>
  <c r="AT25" i="66" s="1"/>
  <c r="AP25" i="66" s="1"/>
  <c r="AR26" i="66" s="1"/>
  <c r="AS26" i="66" s="1"/>
  <c r="AT26" i="66" s="1"/>
  <c r="AP26" i="66" s="1"/>
  <c r="AR27" i="66" s="1"/>
  <c r="AS27" i="66" s="1"/>
  <c r="AT27" i="66" s="1"/>
  <c r="AP27" i="66" s="1"/>
  <c r="AR28" i="66" s="1"/>
  <c r="AS28" i="66" s="1"/>
  <c r="AT28" i="66" s="1"/>
  <c r="AP28" i="66" s="1"/>
  <c r="AR29" i="66" s="1"/>
  <c r="AS29" i="66" s="1"/>
  <c r="AT29" i="66" s="1"/>
  <c r="AP29" i="66" s="1"/>
  <c r="AR30" i="66" s="1"/>
  <c r="AS30" i="66" s="1"/>
  <c r="AT30" i="66" s="1"/>
  <c r="AP30" i="66" s="1"/>
  <c r="AR31" i="66" s="1"/>
  <c r="AS31" i="66" s="1"/>
  <c r="AT31" i="66" s="1"/>
  <c r="AP31" i="66" s="1"/>
  <c r="AR32" i="66" s="1"/>
  <c r="AS32" i="66" s="1"/>
  <c r="AT32" i="66" s="1"/>
  <c r="AP32" i="66" s="1"/>
  <c r="E14" i="66"/>
  <c r="A14" i="66"/>
  <c r="AU13" i="66"/>
  <c r="AQ13" i="66"/>
  <c r="E13" i="66"/>
  <c r="A13" i="66"/>
  <c r="AU12" i="66"/>
  <c r="AQ12" i="66"/>
  <c r="E12" i="66"/>
  <c r="A12" i="66"/>
  <c r="AU11" i="66"/>
  <c r="AQ11" i="66"/>
  <c r="E11" i="66"/>
  <c r="A11" i="66"/>
  <c r="AU10" i="66"/>
  <c r="AQ10" i="66"/>
  <c r="E10" i="66"/>
  <c r="A10" i="66"/>
  <c r="AU9" i="66"/>
  <c r="AQ9" i="66"/>
  <c r="E9" i="66"/>
  <c r="A9" i="66"/>
  <c r="AU8" i="66"/>
  <c r="AQ8" i="66"/>
  <c r="E8" i="66"/>
  <c r="A8" i="66"/>
  <c r="AU7" i="66"/>
  <c r="AS7" i="66"/>
  <c r="AT7" i="66" s="1"/>
  <c r="AR7" i="66"/>
  <c r="AQ7" i="66"/>
  <c r="AP7" i="66"/>
  <c r="AR8" i="66" s="1"/>
  <c r="AS8" i="66" s="1"/>
  <c r="AT8" i="66" s="1"/>
  <c r="AP8" i="66" s="1"/>
  <c r="AR9" i="66" s="1"/>
  <c r="AS9" i="66" s="1"/>
  <c r="AT9" i="66" s="1"/>
  <c r="AP9" i="66" s="1"/>
  <c r="AR10" i="66" s="1"/>
  <c r="AS10" i="66" s="1"/>
  <c r="AT10" i="66" s="1"/>
  <c r="AP10" i="66" s="1"/>
  <c r="AR11" i="66" s="1"/>
  <c r="AS11" i="66" s="1"/>
  <c r="AT11" i="66" s="1"/>
  <c r="AP11" i="66" s="1"/>
  <c r="AR12" i="66" s="1"/>
  <c r="AS12" i="66" s="1"/>
  <c r="AT12" i="66" s="1"/>
  <c r="AP12" i="66" s="1"/>
  <c r="AR13" i="66" s="1"/>
  <c r="AS13" i="66" s="1"/>
  <c r="AT13" i="66" s="1"/>
  <c r="AP13" i="66" s="1"/>
  <c r="AR14" i="66" s="1"/>
  <c r="F7" i="66"/>
  <c r="F8" i="66" s="1"/>
  <c r="F9" i="66" s="1"/>
  <c r="F10" i="66" s="1"/>
  <c r="F11" i="66" s="1"/>
  <c r="F12" i="66" s="1"/>
  <c r="F13" i="66" s="1"/>
  <c r="F14" i="66" s="1"/>
  <c r="F15" i="66" s="1"/>
  <c r="F16" i="66" s="1"/>
  <c r="F17" i="66" s="1"/>
  <c r="F18" i="66" s="1"/>
  <c r="F19" i="66" s="1"/>
  <c r="F20" i="66" s="1"/>
  <c r="F21" i="66" s="1"/>
  <c r="F22" i="66" s="1"/>
  <c r="F23" i="66" s="1"/>
  <c r="F24" i="66" s="1"/>
  <c r="F25" i="66" s="1"/>
  <c r="F26" i="66" s="1"/>
  <c r="F27" i="66" s="1"/>
  <c r="F28" i="66" s="1"/>
  <c r="F29" i="66" s="1"/>
  <c r="F30" i="66" s="1"/>
  <c r="F31" i="66" s="1"/>
  <c r="F32" i="66" s="1"/>
  <c r="F33" i="66" s="1"/>
  <c r="A7" i="66"/>
  <c r="AZ1" i="66"/>
  <c r="AU35" i="64" l="1"/>
  <c r="O46" i="64" s="1"/>
  <c r="K41" i="64"/>
  <c r="AM32" i="52"/>
  <c r="AN32" i="52" s="1"/>
  <c r="AO32" i="52" s="1"/>
  <c r="AK32" i="52" s="1"/>
  <c r="H40" i="24"/>
  <c r="I40" i="24"/>
  <c r="D35" i="24"/>
  <c r="D33" i="66"/>
  <c r="D24" i="66"/>
  <c r="D15" i="66"/>
  <c r="D35" i="66" s="1"/>
  <c r="B2" i="69" s="1"/>
  <c r="C2" i="69" s="1"/>
  <c r="G48" i="66"/>
  <c r="AX7" i="66"/>
  <c r="AV7" i="66"/>
  <c r="AW7" i="66"/>
  <c r="G49" i="66"/>
  <c r="AX8" i="66"/>
  <c r="AV8" i="66"/>
  <c r="AW8" i="66"/>
  <c r="G50" i="66"/>
  <c r="AX9" i="66"/>
  <c r="AV9" i="66"/>
  <c r="AW9" i="66"/>
  <c r="G51" i="66"/>
  <c r="AX10" i="66"/>
  <c r="AV10" i="66"/>
  <c r="AW10" i="66"/>
  <c r="G52" i="66"/>
  <c r="AX11" i="66"/>
  <c r="AV11" i="66"/>
  <c r="AW11" i="66"/>
  <c r="G53" i="66"/>
  <c r="AX12" i="66"/>
  <c r="AV12" i="66"/>
  <c r="AW12" i="66"/>
  <c r="G54" i="66"/>
  <c r="AX13" i="66"/>
  <c r="AV13" i="66"/>
  <c r="AW13" i="66"/>
  <c r="G55" i="66"/>
  <c r="AX14" i="66"/>
  <c r="AV14" i="66"/>
  <c r="AW14" i="66"/>
  <c r="H39" i="66"/>
  <c r="G56" i="66"/>
  <c r="AX16" i="66"/>
  <c r="AV16" i="66"/>
  <c r="AW16" i="66"/>
  <c r="G57" i="66"/>
  <c r="AX17" i="66"/>
  <c r="AV17" i="66"/>
  <c r="AW17" i="66"/>
  <c r="G58" i="66"/>
  <c r="AX18" i="66"/>
  <c r="AV18" i="66"/>
  <c r="AW18" i="66"/>
  <c r="G59" i="66"/>
  <c r="AX19" i="66"/>
  <c r="AV19" i="66"/>
  <c r="AW19" i="66"/>
  <c r="G60" i="66"/>
  <c r="AX20" i="66"/>
  <c r="AV20" i="66"/>
  <c r="AW20" i="66"/>
  <c r="G61" i="66"/>
  <c r="AX21" i="66"/>
  <c r="AV21" i="66"/>
  <c r="AW21" i="66"/>
  <c r="G62" i="66"/>
  <c r="AX22" i="66"/>
  <c r="AV22" i="66"/>
  <c r="AW22" i="66"/>
  <c r="G63" i="66"/>
  <c r="AX23" i="66"/>
  <c r="AV23" i="66"/>
  <c r="AW23" i="66"/>
  <c r="I39" i="66"/>
  <c r="G64" i="66"/>
  <c r="AX25" i="66"/>
  <c r="AV25" i="66"/>
  <c r="AW25" i="66"/>
  <c r="G65" i="66"/>
  <c r="AX26" i="66"/>
  <c r="AV26" i="66"/>
  <c r="AW26" i="66"/>
  <c r="G66" i="66"/>
  <c r="AX27" i="66"/>
  <c r="AV27" i="66"/>
  <c r="AW27" i="66"/>
  <c r="G67" i="66"/>
  <c r="AX28" i="66"/>
  <c r="AV28" i="66"/>
  <c r="AW28" i="66"/>
  <c r="G68" i="66"/>
  <c r="AX29" i="66"/>
  <c r="AV29" i="66"/>
  <c r="AW29" i="66"/>
  <c r="G69" i="66"/>
  <c r="AX30" i="66"/>
  <c r="AV30" i="66"/>
  <c r="AW30" i="66"/>
  <c r="G70" i="66"/>
  <c r="AX31" i="66"/>
  <c r="AV31" i="66"/>
  <c r="AW31" i="66"/>
  <c r="G71" i="66"/>
  <c r="AX32" i="66"/>
  <c r="AV32" i="66"/>
  <c r="AW32" i="66"/>
  <c r="J39" i="66"/>
  <c r="I35" i="66"/>
  <c r="E35" i="24" l="1"/>
  <c r="B3" i="69"/>
  <c r="C3" i="69" s="1"/>
  <c r="I46" i="24"/>
  <c r="H35" i="24"/>
  <c r="K42" i="24"/>
  <c r="J45" i="66"/>
  <c r="E35" i="66"/>
  <c r="K41" i="66" s="1"/>
  <c r="E16" i="54" l="1"/>
  <c r="E15" i="54"/>
  <c r="E38" i="54"/>
  <c r="C38" i="54"/>
  <c r="B37" i="54"/>
  <c r="I69" i="54"/>
  <c r="I68" i="54"/>
  <c r="I67" i="54"/>
  <c r="I66" i="54"/>
  <c r="I65" i="54"/>
  <c r="I64" i="54"/>
  <c r="I63" i="54"/>
  <c r="I62" i="54"/>
  <c r="I61" i="54"/>
  <c r="I60" i="54"/>
  <c r="I59" i="54"/>
  <c r="I58" i="54"/>
  <c r="I57" i="54"/>
  <c r="I56" i="54"/>
  <c r="I55" i="54"/>
  <c r="I54" i="54"/>
  <c r="I53" i="54"/>
  <c r="I52" i="54"/>
  <c r="I51" i="54"/>
  <c r="I50" i="54"/>
  <c r="I49" i="54"/>
  <c r="I48" i="54"/>
  <c r="I47" i="54"/>
  <c r="I46" i="54"/>
  <c r="I45" i="54"/>
  <c r="H45" i="54"/>
  <c r="G45" i="54"/>
  <c r="H43" i="54"/>
  <c r="D43" i="54"/>
  <c r="C43" i="54"/>
  <c r="B43" i="54"/>
  <c r="A43" i="54"/>
  <c r="D35" i="54"/>
  <c r="BC34" i="54"/>
  <c r="BB33" i="54"/>
  <c r="AI33" i="54"/>
  <c r="AH33" i="54"/>
  <c r="AD33" i="54"/>
  <c r="AC33" i="54"/>
  <c r="AB33" i="54"/>
  <c r="AA33" i="54"/>
  <c r="N33" i="54"/>
  <c r="L33" i="54"/>
  <c r="M33" i="54" s="1"/>
  <c r="K33" i="54"/>
  <c r="J33" i="54"/>
  <c r="I33" i="54"/>
  <c r="H33" i="54"/>
  <c r="G33" i="54"/>
  <c r="BC32" i="54"/>
  <c r="AZ32" i="54"/>
  <c r="H69" i="54" s="1"/>
  <c r="AY32" i="54"/>
  <c r="G69" i="54" s="1"/>
  <c r="AU32" i="54"/>
  <c r="AQ32" i="54"/>
  <c r="E32" i="54"/>
  <c r="A32" i="54"/>
  <c r="AX32" i="54" s="1"/>
  <c r="BC31" i="54"/>
  <c r="AZ31" i="54"/>
  <c r="H68" i="54" s="1"/>
  <c r="AY31" i="54"/>
  <c r="G68" i="54" s="1"/>
  <c r="AU31" i="54"/>
  <c r="AQ31" i="54"/>
  <c r="E31" i="54"/>
  <c r="A31" i="54"/>
  <c r="AX31" i="54" s="1"/>
  <c r="BC30" i="54"/>
  <c r="AZ30" i="54"/>
  <c r="H67" i="54" s="1"/>
  <c r="AY30" i="54"/>
  <c r="G67" i="54" s="1"/>
  <c r="AU30" i="54"/>
  <c r="AQ30" i="54"/>
  <c r="E30" i="54"/>
  <c r="A30" i="54"/>
  <c r="AX30" i="54" s="1"/>
  <c r="BC29" i="54"/>
  <c r="AZ29" i="54"/>
  <c r="H66" i="54" s="1"/>
  <c r="AY29" i="54"/>
  <c r="G66" i="54" s="1"/>
  <c r="AU29" i="54"/>
  <c r="AQ29" i="54"/>
  <c r="E29" i="54"/>
  <c r="A29" i="54"/>
  <c r="AX29" i="54" s="1"/>
  <c r="BC28" i="54"/>
  <c r="AZ28" i="54"/>
  <c r="H65" i="54" s="1"/>
  <c r="AY28" i="54"/>
  <c r="G65" i="54" s="1"/>
  <c r="AU28" i="54"/>
  <c r="AQ28" i="54"/>
  <c r="E28" i="54"/>
  <c r="A28" i="54"/>
  <c r="AX28" i="54" s="1"/>
  <c r="BC27" i="54"/>
  <c r="AZ27" i="54"/>
  <c r="H64" i="54" s="1"/>
  <c r="AY27" i="54"/>
  <c r="G64" i="54" s="1"/>
  <c r="AU27" i="54"/>
  <c r="AQ27" i="54"/>
  <c r="E27" i="54"/>
  <c r="A27" i="54"/>
  <c r="AX27" i="54" s="1"/>
  <c r="BC26" i="54"/>
  <c r="AZ26" i="54"/>
  <c r="H63" i="54" s="1"/>
  <c r="AY26" i="54"/>
  <c r="G63" i="54" s="1"/>
  <c r="AU26" i="54"/>
  <c r="AQ26" i="54"/>
  <c r="F26" i="54"/>
  <c r="E26" i="54"/>
  <c r="A26" i="54"/>
  <c r="AX26" i="54" s="1"/>
  <c r="BC25" i="54"/>
  <c r="AZ25" i="54"/>
  <c r="H62" i="54" s="1"/>
  <c r="AY25" i="54"/>
  <c r="G62" i="54" s="1"/>
  <c r="AU25" i="54"/>
  <c r="AR25" i="54"/>
  <c r="AS25" i="54" s="1"/>
  <c r="AT25" i="54" s="1"/>
  <c r="AQ25" i="54"/>
  <c r="AP25" i="54"/>
  <c r="AR26" i="54" s="1"/>
  <c r="AS26" i="54" s="1"/>
  <c r="AT26" i="54" s="1"/>
  <c r="AP26" i="54" s="1"/>
  <c r="AR27" i="54" s="1"/>
  <c r="AS27" i="54" s="1"/>
  <c r="AT27" i="54" s="1"/>
  <c r="AP27" i="54" s="1"/>
  <c r="AR28" i="54" s="1"/>
  <c r="AS28" i="54" s="1"/>
  <c r="AT28" i="54" s="1"/>
  <c r="AP28" i="54" s="1"/>
  <c r="AR29" i="54" s="1"/>
  <c r="AS29" i="54" s="1"/>
  <c r="AT29" i="54" s="1"/>
  <c r="AP29" i="54" s="1"/>
  <c r="AR30" i="54" s="1"/>
  <c r="AS30" i="54" s="1"/>
  <c r="AT30" i="54" s="1"/>
  <c r="AP30" i="54" s="1"/>
  <c r="AR31" i="54" s="1"/>
  <c r="AS31" i="54" s="1"/>
  <c r="AT31" i="54" s="1"/>
  <c r="AP31" i="54" s="1"/>
  <c r="AR32" i="54" s="1"/>
  <c r="AS32" i="54" s="1"/>
  <c r="AT32" i="54" s="1"/>
  <c r="AP32" i="54" s="1"/>
  <c r="E25" i="54"/>
  <c r="E33" i="54" s="1"/>
  <c r="C25" i="54"/>
  <c r="C26" i="54" s="1"/>
  <c r="C27" i="54" s="1"/>
  <c r="C28" i="54" s="1"/>
  <c r="C29" i="54" s="1"/>
  <c r="C30" i="54" s="1"/>
  <c r="C31" i="54" s="1"/>
  <c r="C32" i="54" s="1"/>
  <c r="A25" i="54"/>
  <c r="AX25" i="54" s="1"/>
  <c r="BB24" i="54"/>
  <c r="N24" i="54"/>
  <c r="M24" i="54"/>
  <c r="G24" i="54"/>
  <c r="BC23" i="54"/>
  <c r="AZ23" i="54"/>
  <c r="H61" i="54" s="1"/>
  <c r="AY23" i="54"/>
  <c r="G61" i="54" s="1"/>
  <c r="AU23" i="54"/>
  <c r="AQ23" i="54"/>
  <c r="E23" i="54"/>
  <c r="A23" i="54"/>
  <c r="AX23" i="54" s="1"/>
  <c r="BC22" i="54"/>
  <c r="AZ22" i="54"/>
  <c r="H60" i="54" s="1"/>
  <c r="AY22" i="54"/>
  <c r="G60" i="54" s="1"/>
  <c r="AU22" i="54"/>
  <c r="AQ22" i="54"/>
  <c r="E22" i="54"/>
  <c r="A22" i="54"/>
  <c r="AX22" i="54" s="1"/>
  <c r="BC21" i="54"/>
  <c r="AZ21" i="54"/>
  <c r="H59" i="54" s="1"/>
  <c r="AY21" i="54"/>
  <c r="G59" i="54" s="1"/>
  <c r="AU21" i="54"/>
  <c r="AQ21" i="54"/>
  <c r="E21" i="54"/>
  <c r="A21" i="54"/>
  <c r="AX21" i="54" s="1"/>
  <c r="BC20" i="54"/>
  <c r="AZ20" i="54"/>
  <c r="H58" i="54" s="1"/>
  <c r="AY20" i="54"/>
  <c r="G58" i="54" s="1"/>
  <c r="AU20" i="54"/>
  <c r="AQ20" i="54"/>
  <c r="E20" i="54"/>
  <c r="A20" i="54"/>
  <c r="AX20" i="54" s="1"/>
  <c r="BC19" i="54"/>
  <c r="AZ19" i="54"/>
  <c r="H57" i="54" s="1"/>
  <c r="AY19" i="54"/>
  <c r="G57" i="54" s="1"/>
  <c r="AU19" i="54"/>
  <c r="AT19" i="54"/>
  <c r="AS19" i="54"/>
  <c r="AQ19" i="54"/>
  <c r="AP19" i="54"/>
  <c r="AR20" i="54" s="1"/>
  <c r="AS20" i="54" s="1"/>
  <c r="AT20" i="54" s="1"/>
  <c r="AP20" i="54" s="1"/>
  <c r="AR21" i="54" s="1"/>
  <c r="AS21" i="54" s="1"/>
  <c r="AT21" i="54" s="1"/>
  <c r="AP21" i="54" s="1"/>
  <c r="AR22" i="54" s="1"/>
  <c r="AS22" i="54" s="1"/>
  <c r="AT22" i="54" s="1"/>
  <c r="AP22" i="54" s="1"/>
  <c r="AR23" i="54" s="1"/>
  <c r="AS23" i="54" s="1"/>
  <c r="AT23" i="54" s="1"/>
  <c r="AP23" i="54" s="1"/>
  <c r="E19" i="54"/>
  <c r="A19" i="54"/>
  <c r="AX19" i="54" s="1"/>
  <c r="BC18" i="54"/>
  <c r="AZ18" i="54"/>
  <c r="H56" i="54" s="1"/>
  <c r="AY18" i="54"/>
  <c r="G56" i="54" s="1"/>
  <c r="AU18" i="54"/>
  <c r="AT18" i="54"/>
  <c r="AS18" i="54"/>
  <c r="AQ18" i="54"/>
  <c r="AV18" i="54" s="1"/>
  <c r="AP18" i="54"/>
  <c r="AR19" i="54" s="1"/>
  <c r="E18" i="54"/>
  <c r="BC17" i="54"/>
  <c r="AZ17" i="54"/>
  <c r="H55" i="54" s="1"/>
  <c r="AY17" i="54"/>
  <c r="G55" i="54" s="1"/>
  <c r="AU17" i="54"/>
  <c r="AT17" i="54"/>
  <c r="AS17" i="54"/>
  <c r="AQ17" i="54"/>
  <c r="AP17" i="54"/>
  <c r="AR18" i="54" s="1"/>
  <c r="E17" i="54"/>
  <c r="A17" i="54"/>
  <c r="AX17" i="54" s="1"/>
  <c r="BC16" i="54"/>
  <c r="AZ16" i="54"/>
  <c r="H54" i="54" s="1"/>
  <c r="AY16" i="54"/>
  <c r="G54" i="54" s="1"/>
  <c r="AU16" i="54"/>
  <c r="AT16" i="54"/>
  <c r="AS16" i="54"/>
  <c r="AQ16" i="54"/>
  <c r="AP16" i="54"/>
  <c r="AR17" i="54" s="1"/>
  <c r="E24" i="54"/>
  <c r="D38" i="54" s="1"/>
  <c r="A16" i="54"/>
  <c r="AX16" i="54" s="1"/>
  <c r="BB15" i="54"/>
  <c r="AI15" i="54"/>
  <c r="AH15" i="54"/>
  <c r="AD15" i="54"/>
  <c r="AC15" i="54"/>
  <c r="AB15" i="54"/>
  <c r="AA15" i="54"/>
  <c r="N15" i="54"/>
  <c r="L15" i="54"/>
  <c r="M15" i="54" s="1"/>
  <c r="K15" i="54"/>
  <c r="J15" i="54"/>
  <c r="I15" i="54"/>
  <c r="H15" i="54"/>
  <c r="G15" i="54"/>
  <c r="BC14" i="54"/>
  <c r="AU14" i="54"/>
  <c r="AQ14" i="54"/>
  <c r="E14" i="54"/>
  <c r="A14" i="54"/>
  <c r="BC13" i="54"/>
  <c r="AU13" i="54"/>
  <c r="AQ13" i="54"/>
  <c r="E13" i="54"/>
  <c r="A13" i="54"/>
  <c r="BC12" i="54"/>
  <c r="AU12" i="54"/>
  <c r="AQ12" i="54"/>
  <c r="E12" i="54"/>
  <c r="A12" i="54"/>
  <c r="BC11" i="54"/>
  <c r="AU11" i="54"/>
  <c r="AQ11" i="54"/>
  <c r="E11" i="54"/>
  <c r="A11" i="54"/>
  <c r="BC10" i="54"/>
  <c r="AU10" i="54"/>
  <c r="AQ10" i="54"/>
  <c r="E10" i="54"/>
  <c r="A10" i="54"/>
  <c r="BC9" i="54"/>
  <c r="AU9" i="54"/>
  <c r="AQ9" i="54"/>
  <c r="E9" i="54"/>
  <c r="A9" i="54"/>
  <c r="BC8" i="54"/>
  <c r="AU8" i="54"/>
  <c r="AQ8" i="54"/>
  <c r="E8" i="54"/>
  <c r="A8" i="54"/>
  <c r="BC7" i="54"/>
  <c r="AU7" i="54"/>
  <c r="AS7" i="54"/>
  <c r="AT7" i="54" s="1"/>
  <c r="AR7" i="54"/>
  <c r="AQ7" i="54"/>
  <c r="AP7" i="54"/>
  <c r="AR8" i="54" s="1"/>
  <c r="AS8" i="54" s="1"/>
  <c r="AT8" i="54" s="1"/>
  <c r="AP8" i="54" s="1"/>
  <c r="AR9" i="54" s="1"/>
  <c r="AS9" i="54" s="1"/>
  <c r="AT9" i="54" s="1"/>
  <c r="AP9" i="54" s="1"/>
  <c r="AR10" i="54" s="1"/>
  <c r="AS10" i="54" s="1"/>
  <c r="AT10" i="54" s="1"/>
  <c r="AP10" i="54" s="1"/>
  <c r="AR11" i="54" s="1"/>
  <c r="AS11" i="54" s="1"/>
  <c r="AT11" i="54" s="1"/>
  <c r="AP11" i="54" s="1"/>
  <c r="AR12" i="54" s="1"/>
  <c r="AS12" i="54" s="1"/>
  <c r="AT12" i="54" s="1"/>
  <c r="AP12" i="54" s="1"/>
  <c r="AR13" i="54" s="1"/>
  <c r="AS13" i="54" s="1"/>
  <c r="AT13" i="54" s="1"/>
  <c r="AP13" i="54" s="1"/>
  <c r="AR14" i="54" s="1"/>
  <c r="AS14" i="54" s="1"/>
  <c r="AT14" i="54" s="1"/>
  <c r="AP14" i="54" s="1"/>
  <c r="AP15" i="54" s="1"/>
  <c r="AR16" i="54" s="1"/>
  <c r="E7" i="54"/>
  <c r="A7" i="54"/>
  <c r="F6" i="54"/>
  <c r="F7" i="54" s="1"/>
  <c r="F8" i="54" s="1"/>
  <c r="F9" i="54" s="1"/>
  <c r="F10" i="54" s="1"/>
  <c r="F11" i="54" s="1"/>
  <c r="F12" i="54" s="1"/>
  <c r="F13" i="54" s="1"/>
  <c r="F14" i="54" s="1"/>
  <c r="F15" i="54" s="1"/>
  <c r="F16" i="54" s="1"/>
  <c r="BF2" i="54"/>
  <c r="BH2" i="54" s="1"/>
  <c r="AZ1" i="54"/>
  <c r="F38" i="54" l="1"/>
  <c r="BI34" i="54"/>
  <c r="BI32" i="54"/>
  <c r="BI31" i="54"/>
  <c r="BI30" i="54"/>
  <c r="BI29" i="54"/>
  <c r="BI28" i="54"/>
  <c r="BI27" i="54"/>
  <c r="BI26" i="54"/>
  <c r="BI25" i="54"/>
  <c r="BI23" i="54"/>
  <c r="BI22" i="54"/>
  <c r="BI21" i="54"/>
  <c r="BI20" i="54"/>
  <c r="BI19" i="54"/>
  <c r="BI18" i="54"/>
  <c r="BI17" i="54"/>
  <c r="BI16" i="54"/>
  <c r="BI14" i="54"/>
  <c r="BI13" i="54"/>
  <c r="BI12" i="54"/>
  <c r="BI11" i="54"/>
  <c r="BI10" i="54"/>
  <c r="BI9" i="54"/>
  <c r="BI8" i="54"/>
  <c r="BI7" i="54"/>
  <c r="F17" i="54"/>
  <c r="AY7" i="54"/>
  <c r="AX7" i="54"/>
  <c r="AV7" i="54"/>
  <c r="AW7" i="54"/>
  <c r="BD7" i="54"/>
  <c r="AY8" i="54"/>
  <c r="AX8" i="54"/>
  <c r="AV8" i="54"/>
  <c r="AW8" i="54"/>
  <c r="BD8" i="54"/>
  <c r="AY9" i="54"/>
  <c r="AX9" i="54"/>
  <c r="AV9" i="54"/>
  <c r="AW9" i="54"/>
  <c r="BD9" i="54"/>
  <c r="AY10" i="54"/>
  <c r="AX10" i="54"/>
  <c r="AV10" i="54"/>
  <c r="AW10" i="54"/>
  <c r="BD10" i="54"/>
  <c r="AY11" i="54"/>
  <c r="AX11" i="54"/>
  <c r="AV11" i="54"/>
  <c r="AW11" i="54"/>
  <c r="BD11" i="54"/>
  <c r="AY12" i="54"/>
  <c r="AX12" i="54"/>
  <c r="AV12" i="54"/>
  <c r="AW12" i="54"/>
  <c r="BD12" i="54"/>
  <c r="AY13" i="54"/>
  <c r="AX13" i="54"/>
  <c r="AV13" i="54"/>
  <c r="AW13" i="54"/>
  <c r="BD13" i="54"/>
  <c r="AY14" i="54"/>
  <c r="AX14" i="54"/>
  <c r="AV14" i="54"/>
  <c r="AW14" i="54"/>
  <c r="BD14" i="54"/>
  <c r="AV16" i="54"/>
  <c r="AW16" i="54"/>
  <c r="BD16" i="54"/>
  <c r="AV17" i="54"/>
  <c r="AW17" i="54"/>
  <c r="BD17" i="54"/>
  <c r="AX18" i="54"/>
  <c r="AW18" i="54"/>
  <c r="BD18" i="54"/>
  <c r="AV19" i="54"/>
  <c r="AW19" i="54"/>
  <c r="BD19" i="54"/>
  <c r="AV20" i="54"/>
  <c r="AW20" i="54"/>
  <c r="BD20" i="54"/>
  <c r="AV21" i="54"/>
  <c r="AW21" i="54"/>
  <c r="BD21" i="54"/>
  <c r="AV22" i="54"/>
  <c r="AW22" i="54"/>
  <c r="BD22" i="54"/>
  <c r="AV23" i="54"/>
  <c r="AW23" i="54"/>
  <c r="BD23" i="54"/>
  <c r="AV25" i="54"/>
  <c r="AW25" i="54"/>
  <c r="BD25" i="54"/>
  <c r="F27" i="54"/>
  <c r="AV26" i="54"/>
  <c r="AW26" i="54"/>
  <c r="BD26" i="54"/>
  <c r="AV27" i="54"/>
  <c r="AW27" i="54"/>
  <c r="BD27" i="54"/>
  <c r="AV28" i="54"/>
  <c r="AW28" i="54"/>
  <c r="BD28" i="54"/>
  <c r="AV29" i="54"/>
  <c r="AW29" i="54"/>
  <c r="BD29" i="54"/>
  <c r="AV30" i="54"/>
  <c r="AW30" i="54"/>
  <c r="BD30" i="54"/>
  <c r="AV31" i="54"/>
  <c r="AW31" i="54"/>
  <c r="BD31" i="54"/>
  <c r="AV32" i="54"/>
  <c r="AW32" i="54"/>
  <c r="BD32" i="54"/>
  <c r="BD34" i="54"/>
  <c r="E43" i="54"/>
  <c r="J43" i="54"/>
  <c r="I43" i="54"/>
  <c r="G53" i="54" l="1"/>
  <c r="AZ14" i="54"/>
  <c r="H53" i="54" s="1"/>
  <c r="G52" i="54"/>
  <c r="AZ13" i="54"/>
  <c r="H52" i="54" s="1"/>
  <c r="G51" i="54"/>
  <c r="AZ12" i="54"/>
  <c r="H51" i="54" s="1"/>
  <c r="G50" i="54"/>
  <c r="AZ11" i="54"/>
  <c r="H50" i="54" s="1"/>
  <c r="G49" i="54"/>
  <c r="AZ10" i="54"/>
  <c r="H49" i="54" s="1"/>
  <c r="G48" i="54"/>
  <c r="AZ9" i="54"/>
  <c r="H48" i="54" s="1"/>
  <c r="G47" i="54"/>
  <c r="AZ8" i="54"/>
  <c r="H47" i="54" s="1"/>
  <c r="G46" i="54"/>
  <c r="AZ7" i="54"/>
  <c r="H46" i="54" s="1"/>
  <c r="M43" i="54"/>
  <c r="BG34" i="54"/>
  <c r="BH34" i="54" s="1"/>
  <c r="BE34" i="54"/>
  <c r="BF34" i="54" s="1"/>
  <c r="BG32" i="54"/>
  <c r="BH32" i="54" s="1"/>
  <c r="BE32" i="54"/>
  <c r="BF32" i="54" s="1"/>
  <c r="BG31" i="54"/>
  <c r="BH31" i="54" s="1"/>
  <c r="BE31" i="54"/>
  <c r="BF31" i="54" s="1"/>
  <c r="BG30" i="54"/>
  <c r="BH30" i="54" s="1"/>
  <c r="BE30" i="54"/>
  <c r="BF30" i="54" s="1"/>
  <c r="BG29" i="54"/>
  <c r="BH29" i="54" s="1"/>
  <c r="BE29" i="54"/>
  <c r="BF29" i="54" s="1"/>
  <c r="BG28" i="54"/>
  <c r="BH28" i="54" s="1"/>
  <c r="BE28" i="54"/>
  <c r="BF28" i="54" s="1"/>
  <c r="BG27" i="54"/>
  <c r="BH27" i="54" s="1"/>
  <c r="BE27" i="54"/>
  <c r="BF27" i="54" s="1"/>
  <c r="BG26" i="54"/>
  <c r="BH26" i="54" s="1"/>
  <c r="BE26" i="54"/>
  <c r="BF26" i="54" s="1"/>
  <c r="F28" i="54"/>
  <c r="F29" i="54" s="1"/>
  <c r="F30" i="54" s="1"/>
  <c r="F31" i="54" s="1"/>
  <c r="F32" i="54" s="1"/>
  <c r="F33" i="54"/>
  <c r="BG25" i="54"/>
  <c r="BH25" i="54" s="1"/>
  <c r="BE25" i="54"/>
  <c r="BF25" i="54" s="1"/>
  <c r="BG23" i="54"/>
  <c r="BH23" i="54" s="1"/>
  <c r="BE23" i="54"/>
  <c r="BF23" i="54" s="1"/>
  <c r="BG22" i="54"/>
  <c r="BH22" i="54" s="1"/>
  <c r="BE22" i="54"/>
  <c r="BF22" i="54" s="1"/>
  <c r="BG21" i="54"/>
  <c r="BH21" i="54" s="1"/>
  <c r="BE21" i="54"/>
  <c r="BF21" i="54" s="1"/>
  <c r="BG20" i="54"/>
  <c r="BH20" i="54" s="1"/>
  <c r="BE20" i="54"/>
  <c r="BF20" i="54" s="1"/>
  <c r="BG19" i="54"/>
  <c r="BH19" i="54" s="1"/>
  <c r="BE19" i="54"/>
  <c r="BF19" i="54" s="1"/>
  <c r="BG18" i="54"/>
  <c r="BH18" i="54" s="1"/>
  <c r="BE18" i="54"/>
  <c r="BF18" i="54" s="1"/>
  <c r="BG17" i="54"/>
  <c r="BH17" i="54" s="1"/>
  <c r="BE17" i="54"/>
  <c r="BF17" i="54" s="1"/>
  <c r="BG16" i="54"/>
  <c r="BH16" i="54" s="1"/>
  <c r="BE16" i="54"/>
  <c r="BF16" i="54" s="1"/>
  <c r="BG14" i="54"/>
  <c r="BH14" i="54" s="1"/>
  <c r="BE14" i="54"/>
  <c r="BF14" i="54" s="1"/>
  <c r="BG13" i="54"/>
  <c r="BH13" i="54" s="1"/>
  <c r="BE13" i="54"/>
  <c r="BF13" i="54" s="1"/>
  <c r="BG12" i="54"/>
  <c r="BH12" i="54" s="1"/>
  <c r="BE12" i="54"/>
  <c r="BF12" i="54" s="1"/>
  <c r="BG11" i="54"/>
  <c r="BH11" i="54" s="1"/>
  <c r="BE11" i="54"/>
  <c r="BF11" i="54" s="1"/>
  <c r="BG10" i="54"/>
  <c r="BH10" i="54" s="1"/>
  <c r="BE10" i="54"/>
  <c r="BF10" i="54" s="1"/>
  <c r="BG9" i="54"/>
  <c r="BH9" i="54" s="1"/>
  <c r="BE9" i="54"/>
  <c r="BF9" i="54" s="1"/>
  <c r="BG8" i="54"/>
  <c r="BH8" i="54" s="1"/>
  <c r="BE8" i="54"/>
  <c r="BF8" i="54" s="1"/>
  <c r="BG7" i="54"/>
  <c r="BH7" i="54" s="1"/>
  <c r="BE7" i="54"/>
  <c r="BF7" i="54" s="1"/>
  <c r="F18" i="54"/>
  <c r="F19" i="54" s="1"/>
  <c r="F20" i="54" s="1"/>
  <c r="F21" i="54" s="1"/>
  <c r="F22" i="54" s="1"/>
  <c r="F23" i="54" s="1"/>
  <c r="F24" i="54"/>
  <c r="AY7" i="66" l="1"/>
  <c r="AZ7" i="66" s="1"/>
  <c r="AY8" i="66"/>
  <c r="AZ8" i="66" s="1"/>
  <c r="O49" i="66" s="1"/>
  <c r="AY9" i="66"/>
  <c r="AZ9" i="66" s="1"/>
  <c r="O50" i="66" s="1"/>
  <c r="AY10" i="66"/>
  <c r="AZ10" i="66" s="1"/>
  <c r="O51" i="66" s="1"/>
  <c r="AY11" i="66"/>
  <c r="AZ11" i="66" s="1"/>
  <c r="O52" i="66" s="1"/>
  <c r="AY12" i="66"/>
  <c r="AZ12" i="66" s="1"/>
  <c r="O53" i="66" s="1"/>
  <c r="AY13" i="66"/>
  <c r="AZ13" i="66" s="1"/>
  <c r="O54" i="66" s="1"/>
  <c r="AY14" i="66"/>
  <c r="AZ14" i="66" s="1"/>
  <c r="O55" i="66" s="1"/>
  <c r="AY16" i="66"/>
  <c r="AZ16" i="66" s="1"/>
  <c r="O56" i="66" s="1"/>
  <c r="AY17" i="66"/>
  <c r="AZ17" i="66" s="1"/>
  <c r="O57" i="66" s="1"/>
  <c r="AY18" i="66"/>
  <c r="AZ18" i="66" s="1"/>
  <c r="O58" i="66" s="1"/>
  <c r="AY19" i="66"/>
  <c r="AY20" i="66"/>
  <c r="N60" i="66" s="1"/>
  <c r="AY21" i="66"/>
  <c r="N61" i="66" s="1"/>
  <c r="AY22" i="66"/>
  <c r="AZ22" i="66" s="1"/>
  <c r="O62" i="66" s="1"/>
  <c r="AY23" i="66"/>
  <c r="AZ23" i="66" s="1"/>
  <c r="O63" i="66" s="1"/>
  <c r="AY25" i="66"/>
  <c r="N64" i="66" s="1"/>
  <c r="AY26" i="66"/>
  <c r="AZ26" i="66" s="1"/>
  <c r="AY27" i="66"/>
  <c r="N66" i="66" s="1"/>
  <c r="AY28" i="66"/>
  <c r="AZ28" i="66" s="1"/>
  <c r="O67" i="66" s="1"/>
  <c r="AY29" i="66"/>
  <c r="AZ29" i="66" s="1"/>
  <c r="O68" i="66" s="1"/>
  <c r="AY30" i="66"/>
  <c r="AZ30" i="66" s="1"/>
  <c r="O69" i="66" s="1"/>
  <c r="AY31" i="66"/>
  <c r="AZ31" i="66" s="1"/>
  <c r="O70" i="66" s="1"/>
  <c r="AY32" i="66"/>
  <c r="AZ32" i="66" s="1"/>
  <c r="O71" i="66" s="1"/>
  <c r="N48" i="66"/>
  <c r="A32" i="24"/>
  <c r="AT32" i="24"/>
  <c r="A31" i="24"/>
  <c r="AT31" i="24"/>
  <c r="A30" i="24"/>
  <c r="AT30" i="24"/>
  <c r="A29" i="24"/>
  <c r="AT29" i="24"/>
  <c r="A28" i="24"/>
  <c r="AT28" i="24"/>
  <c r="A27" i="24"/>
  <c r="A26" i="24"/>
  <c r="A23" i="24"/>
  <c r="AT23" i="24"/>
  <c r="A22" i="24"/>
  <c r="AT22" i="24"/>
  <c r="A21" i="24"/>
  <c r="AT21" i="24"/>
  <c r="A20" i="24"/>
  <c r="AT20" i="24"/>
  <c r="A19" i="24"/>
  <c r="AT19" i="24"/>
  <c r="A18" i="24"/>
  <c r="AT18" i="24"/>
  <c r="A17" i="24"/>
  <c r="AT17" i="24"/>
  <c r="A14" i="24"/>
  <c r="A13" i="24"/>
  <c r="AT13" i="24"/>
  <c r="A12" i="24"/>
  <c r="AT12" i="24"/>
  <c r="A11" i="24"/>
  <c r="AT11" i="24"/>
  <c r="A10" i="24"/>
  <c r="AT10" i="24"/>
  <c r="A9" i="24"/>
  <c r="AT9" i="24"/>
  <c r="A8" i="24"/>
  <c r="AT8" i="24"/>
  <c r="A16" i="24"/>
  <c r="AT16" i="24"/>
  <c r="A7" i="24"/>
  <c r="AP32" i="24"/>
  <c r="AL32" i="24"/>
  <c r="AQ32" i="24" s="1"/>
  <c r="AP31" i="24"/>
  <c r="AL31" i="24"/>
  <c r="AQ31" i="24" s="1"/>
  <c r="AP30" i="24"/>
  <c r="AL30" i="24"/>
  <c r="AQ30" i="24" s="1"/>
  <c r="AP29" i="24"/>
  <c r="AL29" i="24"/>
  <c r="AQ29" i="24" s="1"/>
  <c r="AP28" i="24"/>
  <c r="AL28" i="24"/>
  <c r="AQ28" i="24" s="1"/>
  <c r="AP27" i="24"/>
  <c r="AL27" i="24"/>
  <c r="AQ27" i="24" s="1"/>
  <c r="AP26" i="24"/>
  <c r="AL26" i="24"/>
  <c r="AQ26" i="24" s="1"/>
  <c r="AP25" i="24"/>
  <c r="AL25" i="24"/>
  <c r="AP23" i="24"/>
  <c r="AL23" i="24"/>
  <c r="AQ23" i="24" s="1"/>
  <c r="AP22" i="24"/>
  <c r="AL22" i="24"/>
  <c r="AQ22" i="24" s="1"/>
  <c r="AP21" i="24"/>
  <c r="AL21" i="24"/>
  <c r="AQ21" i="24" s="1"/>
  <c r="AP20" i="24"/>
  <c r="AL20" i="24"/>
  <c r="AQ20" i="24" s="1"/>
  <c r="AP19" i="24"/>
  <c r="AL19" i="24"/>
  <c r="AQ19" i="24" s="1"/>
  <c r="AP18" i="24"/>
  <c r="AL18" i="24"/>
  <c r="AQ18" i="24" s="1"/>
  <c r="AP17" i="24"/>
  <c r="AL17" i="24"/>
  <c r="AQ17" i="24" s="1"/>
  <c r="AP16" i="24"/>
  <c r="AL16" i="24"/>
  <c r="AQ16" i="24" s="1"/>
  <c r="AP14" i="24"/>
  <c r="AL14" i="24"/>
  <c r="AQ14" i="24" s="1"/>
  <c r="AP13" i="24"/>
  <c r="AL13" i="24"/>
  <c r="AQ13" i="24" s="1"/>
  <c r="AP12" i="24"/>
  <c r="AL12" i="24"/>
  <c r="AQ12" i="24" s="1"/>
  <c r="AP11" i="24"/>
  <c r="AL11" i="24"/>
  <c r="AQ11" i="24" s="1"/>
  <c r="AP10" i="24"/>
  <c r="AL10" i="24"/>
  <c r="AQ10" i="24" s="1"/>
  <c r="AP9" i="24"/>
  <c r="AL9" i="24"/>
  <c r="AQ9" i="24" s="1"/>
  <c r="AP8" i="24"/>
  <c r="AL8" i="24"/>
  <c r="AQ8" i="24" s="1"/>
  <c r="AP7" i="24"/>
  <c r="G39" i="24"/>
  <c r="AL7" i="24"/>
  <c r="AQ7" i="24"/>
  <c r="A25" i="24"/>
  <c r="AT25" i="24"/>
  <c r="N58" i="66" l="1"/>
  <c r="N70" i="66"/>
  <c r="AZ27" i="66"/>
  <c r="O66" i="66" s="1"/>
  <c r="N54" i="66"/>
  <c r="N62" i="66"/>
  <c r="AZ20" i="66"/>
  <c r="O60" i="66" s="1"/>
  <c r="N49" i="66"/>
  <c r="N67" i="66"/>
  <c r="N51" i="66"/>
  <c r="N71" i="66"/>
  <c r="N55" i="66"/>
  <c r="N53" i="66"/>
  <c r="N68" i="66"/>
  <c r="AZ25" i="66"/>
  <c r="O64" i="66" s="1"/>
  <c r="N56" i="66"/>
  <c r="N52" i="66"/>
  <c r="AZ21" i="66"/>
  <c r="O61" i="66" s="1"/>
  <c r="N65" i="66"/>
  <c r="AT24" i="24"/>
  <c r="E24" i="24" s="1"/>
  <c r="I42" i="24" s="1"/>
  <c r="AY24" i="66"/>
  <c r="E24" i="66" s="1"/>
  <c r="I41" i="66" s="1"/>
  <c r="N69" i="66"/>
  <c r="N57" i="66"/>
  <c r="N50" i="66"/>
  <c r="AY15" i="66"/>
  <c r="O65" i="66"/>
  <c r="AZ15" i="66"/>
  <c r="O48" i="66"/>
  <c r="AY33" i="66"/>
  <c r="N63" i="66"/>
  <c r="N59" i="66"/>
  <c r="AZ19" i="66"/>
  <c r="O59" i="66" s="1"/>
  <c r="AU25" i="24"/>
  <c r="AS25" i="24"/>
  <c r="AR7" i="24"/>
  <c r="AR8" i="24"/>
  <c r="AR9" i="24"/>
  <c r="AR10" i="24"/>
  <c r="AR11" i="24"/>
  <c r="AR12" i="24"/>
  <c r="AR13" i="24"/>
  <c r="AR14" i="24"/>
  <c r="AR16" i="24"/>
  <c r="AR17" i="24"/>
  <c r="AR18" i="24"/>
  <c r="AR19" i="24"/>
  <c r="AR20" i="24"/>
  <c r="AR21" i="24"/>
  <c r="AR22" i="24"/>
  <c r="AR23" i="24"/>
  <c r="AQ25" i="24"/>
  <c r="AR25" i="24"/>
  <c r="AR26" i="24"/>
  <c r="AT26" i="24" s="1"/>
  <c r="AU26" i="24" s="1"/>
  <c r="L65" i="24" s="1"/>
  <c r="AR27" i="24"/>
  <c r="AR28" i="24"/>
  <c r="AR29" i="24"/>
  <c r="AR30" i="24"/>
  <c r="AR31" i="24"/>
  <c r="AR32" i="24"/>
  <c r="AU7" i="24"/>
  <c r="AS7" i="24"/>
  <c r="AU16" i="24"/>
  <c r="AS16" i="24"/>
  <c r="AU8" i="24"/>
  <c r="L49" i="24" s="1"/>
  <c r="AS8" i="24"/>
  <c r="AU9" i="24"/>
  <c r="L50" i="24" s="1"/>
  <c r="AS9" i="24"/>
  <c r="AU10" i="24"/>
  <c r="L51" i="24" s="1"/>
  <c r="AS10" i="24"/>
  <c r="AU11" i="24"/>
  <c r="L52" i="24" s="1"/>
  <c r="AS11" i="24"/>
  <c r="AU12" i="24"/>
  <c r="L53" i="24" s="1"/>
  <c r="AS12" i="24"/>
  <c r="AU13" i="24"/>
  <c r="L54" i="24" s="1"/>
  <c r="AS13" i="24"/>
  <c r="AS14" i="24"/>
  <c r="AU17" i="24"/>
  <c r="L57" i="24" s="1"/>
  <c r="AS17" i="24"/>
  <c r="AU18" i="24"/>
  <c r="L58" i="24" s="1"/>
  <c r="AS18" i="24"/>
  <c r="AU19" i="24"/>
  <c r="L59" i="24" s="1"/>
  <c r="AS19" i="24"/>
  <c r="AU20" i="24"/>
  <c r="L60" i="24" s="1"/>
  <c r="AS20" i="24"/>
  <c r="AU21" i="24"/>
  <c r="L61" i="24" s="1"/>
  <c r="AS21" i="24"/>
  <c r="AU22" i="24"/>
  <c r="L62" i="24" s="1"/>
  <c r="AS22" i="24"/>
  <c r="AU23" i="24"/>
  <c r="L63" i="24" s="1"/>
  <c r="AS23" i="24"/>
  <c r="AS26" i="24"/>
  <c r="AS27" i="24"/>
  <c r="AU28" i="24"/>
  <c r="L67" i="24" s="1"/>
  <c r="AS28" i="24"/>
  <c r="AU29" i="24"/>
  <c r="L68" i="24" s="1"/>
  <c r="AS29" i="24"/>
  <c r="AU30" i="24"/>
  <c r="L69" i="24" s="1"/>
  <c r="AS30" i="24"/>
  <c r="AU31" i="24"/>
  <c r="L70" i="24" s="1"/>
  <c r="AS31" i="24"/>
  <c r="AU32" i="24"/>
  <c r="L71" i="24" s="1"/>
  <c r="AS32" i="24"/>
  <c r="AZ33" i="66" l="1"/>
  <c r="I41" i="24"/>
  <c r="I40" i="66"/>
  <c r="H40" i="66"/>
  <c r="E15" i="66"/>
  <c r="H41" i="66" s="1"/>
  <c r="E33" i="66"/>
  <c r="J41" i="66" s="1"/>
  <c r="J40" i="66"/>
  <c r="AY35" i="66"/>
  <c r="N45" i="66" s="1"/>
  <c r="R45" i="66" s="1"/>
  <c r="AZ24" i="66"/>
  <c r="AZ35" i="66" s="1"/>
  <c r="P45" i="66" s="1"/>
  <c r="AT27" i="24"/>
  <c r="AU27" i="24" s="1"/>
  <c r="L66" i="24" s="1"/>
  <c r="AT14" i="24"/>
  <c r="AU14" i="24" s="1"/>
  <c r="L55" i="24" s="1"/>
  <c r="L56" i="24"/>
  <c r="AU24" i="24"/>
  <c r="L48" i="24"/>
  <c r="L64" i="24"/>
  <c r="AT7" i="49"/>
  <c r="AU7" i="49" s="1"/>
  <c r="L48" i="49" s="1"/>
  <c r="AT8" i="49"/>
  <c r="AU8" i="49" s="1"/>
  <c r="L49" i="49" s="1"/>
  <c r="AT9" i="49"/>
  <c r="AU9" i="49" s="1"/>
  <c r="L50" i="49" s="1"/>
  <c r="AT10" i="49"/>
  <c r="AU10" i="49" s="1"/>
  <c r="L51" i="49" s="1"/>
  <c r="AT11" i="49"/>
  <c r="AU11" i="49" s="1"/>
  <c r="AT12" i="49"/>
  <c r="AU12" i="49" s="1"/>
  <c r="L53" i="49" s="1"/>
  <c r="AT13" i="49"/>
  <c r="AU13" i="49" s="1"/>
  <c r="L54" i="49" s="1"/>
  <c r="AT14" i="49"/>
  <c r="AU14" i="49" s="1"/>
  <c r="L55" i="49" s="1"/>
  <c r="AT17" i="49"/>
  <c r="AU17" i="49" s="1"/>
  <c r="AT21" i="49"/>
  <c r="AU21" i="49" s="1"/>
  <c r="L61" i="49" s="1"/>
  <c r="AT22" i="49"/>
  <c r="AU22" i="49" s="1"/>
  <c r="L62" i="49" s="1"/>
  <c r="AT23" i="49"/>
  <c r="AU23" i="49" s="1"/>
  <c r="L63" i="49" s="1"/>
  <c r="AT15" i="24" l="1"/>
  <c r="H41" i="24" s="1"/>
  <c r="K40" i="66"/>
  <c r="AU33" i="24"/>
  <c r="AU15" i="24"/>
  <c r="AT33" i="24"/>
  <c r="AT35" i="24" s="1"/>
  <c r="M46" i="24" s="1"/>
  <c r="Q46" i="24" s="1"/>
  <c r="AU15" i="49"/>
  <c r="L52" i="49"/>
  <c r="AU24" i="49"/>
  <c r="L57" i="49"/>
  <c r="AT24" i="49"/>
  <c r="AT15" i="49"/>
  <c r="C5" i="69"/>
  <c r="B7" i="69"/>
  <c r="AT25" i="49"/>
  <c r="AU25" i="49" s="1"/>
  <c r="L64" i="49" s="1"/>
  <c r="AT23" i="51"/>
  <c r="AU23" i="51" s="1"/>
  <c r="AU35" i="24" l="1"/>
  <c r="O46" i="24" s="1"/>
  <c r="E15" i="24"/>
  <c r="H42" i="24" s="1"/>
  <c r="J41" i="24"/>
  <c r="K41" i="24" s="1"/>
  <c r="C4" i="69" s="1"/>
  <c r="E33" i="24"/>
  <c r="J42" i="24" s="1"/>
  <c r="L63" i="51"/>
  <c r="AU24" i="51"/>
  <c r="AU35" i="51" s="1"/>
  <c r="O46" i="51" s="1"/>
  <c r="E24" i="49"/>
  <c r="I42" i="49" s="1"/>
  <c r="I41" i="49"/>
  <c r="AT24" i="51"/>
  <c r="AU33" i="49"/>
  <c r="AU35" i="49" s="1"/>
  <c r="O46" i="49" s="1"/>
  <c r="AT33" i="49"/>
  <c r="H41" i="49"/>
  <c r="E15" i="49"/>
  <c r="H42" i="49" s="1"/>
  <c r="C6" i="69"/>
  <c r="E33" i="49" l="1"/>
  <c r="J42" i="49" s="1"/>
  <c r="J41" i="49"/>
  <c r="K41" i="49" s="1"/>
  <c r="AT35" i="49"/>
  <c r="M46" i="49" s="1"/>
  <c r="Q46" i="49" s="1"/>
  <c r="E24" i="51"/>
  <c r="I42" i="51" s="1"/>
  <c r="I41" i="51"/>
  <c r="K41" i="51" s="1"/>
  <c r="AT35" i="51"/>
  <c r="M46" i="51" s="1"/>
  <c r="Q46" i="51" s="1"/>
  <c r="C7" i="69"/>
  <c r="C8" i="69" l="1"/>
  <c r="C9" i="69" l="1"/>
  <c r="C10" i="69" l="1"/>
  <c r="C11" i="69" l="1"/>
  <c r="C12" i="69" l="1"/>
  <c r="C13" i="69" l="1"/>
  <c r="C14" i="69" l="1"/>
  <c r="F14" i="69" s="1"/>
  <c r="C15" i="69" l="1"/>
  <c r="F15" i="69" s="1"/>
  <c r="C16" i="69" l="1"/>
  <c r="F16" i="69" s="1"/>
  <c r="C17" i="69" l="1"/>
  <c r="F17" i="69" s="1"/>
  <c r="C18" i="69" l="1"/>
  <c r="F18" i="69" s="1"/>
  <c r="C19" i="69" l="1"/>
  <c r="F19" i="69" s="1"/>
  <c r="C20" i="69" l="1"/>
  <c r="F20" i="69" s="1"/>
  <c r="C21" i="69" l="1"/>
  <c r="F21" i="69" s="1"/>
  <c r="C22" i="69" l="1"/>
  <c r="F22" i="69" s="1"/>
  <c r="AT7" i="55"/>
  <c r="AU7" i="55" s="1"/>
  <c r="L48" i="55" s="1"/>
  <c r="AT8" i="55"/>
  <c r="AU8" i="55" s="1"/>
  <c r="AT9" i="55"/>
  <c r="AU9" i="55" s="1"/>
  <c r="L50" i="55" s="1"/>
  <c r="AT10" i="55"/>
  <c r="AU10" i="55"/>
  <c r="L51" i="55" s="1"/>
  <c r="AT11" i="55"/>
  <c r="AU11" i="55" s="1"/>
  <c r="L52" i="55" s="1"/>
  <c r="AT12" i="55"/>
  <c r="AU12" i="55" s="1"/>
  <c r="L53" i="55" s="1"/>
  <c r="AT13" i="55"/>
  <c r="AU13" i="55" s="1"/>
  <c r="L54" i="55" s="1"/>
  <c r="AT14" i="55"/>
  <c r="AU14" i="55" s="1"/>
  <c r="L55" i="55" s="1"/>
  <c r="AT16" i="55"/>
  <c r="AU16" i="55" s="1"/>
  <c r="L56" i="55" s="1"/>
  <c r="AT17" i="55"/>
  <c r="AU17" i="55" s="1"/>
  <c r="L57" i="55" s="1"/>
  <c r="AT18" i="55"/>
  <c r="AU18" i="55" s="1"/>
  <c r="L58" i="55" s="1"/>
  <c r="AT19" i="55"/>
  <c r="AU19" i="55" s="1"/>
  <c r="L59" i="55" s="1"/>
  <c r="AT20" i="55"/>
  <c r="AU20" i="55" s="1"/>
  <c r="AT21" i="55"/>
  <c r="AU21" i="55" s="1"/>
  <c r="L61" i="55" s="1"/>
  <c r="AT22" i="55"/>
  <c r="AU22" i="55" s="1"/>
  <c r="L62" i="55" s="1"/>
  <c r="AT23" i="55"/>
  <c r="AU23" i="55" s="1"/>
  <c r="L63" i="55" s="1"/>
  <c r="AT25" i="55"/>
  <c r="AU25" i="55" s="1"/>
  <c r="AT26" i="55"/>
  <c r="AU26" i="55" s="1"/>
  <c r="L65" i="55" s="1"/>
  <c r="AT27" i="55"/>
  <c r="AU27" i="55" s="1"/>
  <c r="L66" i="55" s="1"/>
  <c r="AT28" i="55"/>
  <c r="AU28" i="55" s="1"/>
  <c r="L67" i="55" s="1"/>
  <c r="AT29" i="55"/>
  <c r="AU29" i="55" s="1"/>
  <c r="L68" i="55" s="1"/>
  <c r="AT30" i="55"/>
  <c r="AU30" i="55" s="1"/>
  <c r="L69" i="55" s="1"/>
  <c r="AT31" i="55"/>
  <c r="AU31" i="55" s="1"/>
  <c r="L70" i="55" s="1"/>
  <c r="AT32" i="55"/>
  <c r="AU32" i="55" s="1"/>
  <c r="L71" i="55" s="1"/>
  <c r="AU33" i="55" l="1"/>
  <c r="L64" i="55"/>
  <c r="AU15" i="55"/>
  <c r="L49" i="55"/>
  <c r="L60" i="55"/>
  <c r="AU24" i="55"/>
  <c r="AT33" i="55"/>
  <c r="AT24" i="55"/>
  <c r="AT15" i="55"/>
  <c r="C23" i="69"/>
  <c r="F23" i="69" s="1"/>
  <c r="AT8" i="58"/>
  <c r="AU8" i="58" s="1"/>
  <c r="AT9" i="58"/>
  <c r="AU9" i="58" s="1"/>
  <c r="L50" i="58" s="1"/>
  <c r="AT10" i="58"/>
  <c r="AU10" i="58" s="1"/>
  <c r="L51" i="58" s="1"/>
  <c r="AT11" i="58"/>
  <c r="AU11" i="58" s="1"/>
  <c r="L52" i="58" s="1"/>
  <c r="AT12" i="58"/>
  <c r="AU12" i="58" s="1"/>
  <c r="L53" i="58" s="1"/>
  <c r="AT13" i="58"/>
  <c r="AU13" i="58" s="1"/>
  <c r="L54" i="58" s="1"/>
  <c r="AT14" i="58"/>
  <c r="AU14" i="58" s="1"/>
  <c r="L55" i="58" s="1"/>
  <c r="L49" i="58" l="1"/>
  <c r="AU15" i="58"/>
  <c r="AU35" i="58" s="1"/>
  <c r="O46" i="58" s="1"/>
  <c r="AT15" i="58"/>
  <c r="I41" i="55"/>
  <c r="E24" i="55"/>
  <c r="I42" i="55" s="1"/>
  <c r="AT35" i="55"/>
  <c r="M46" i="55" s="1"/>
  <c r="Q46" i="55" s="1"/>
  <c r="E33" i="55"/>
  <c r="J42" i="55" s="1"/>
  <c r="J41" i="55"/>
  <c r="E15" i="55"/>
  <c r="H42" i="55" s="1"/>
  <c r="H41" i="55"/>
  <c r="AU35" i="55"/>
  <c r="O46" i="55" s="1"/>
  <c r="C24" i="69"/>
  <c r="F24" i="69" s="1"/>
  <c r="K41" i="55" l="1"/>
  <c r="H41" i="58"/>
  <c r="K41" i="58" s="1"/>
  <c r="E15" i="58"/>
  <c r="H42" i="58" s="1"/>
  <c r="AT35" i="58"/>
  <c r="M46" i="58" s="1"/>
  <c r="Q46" i="58" s="1"/>
  <c r="C25" i="69"/>
  <c r="F25" i="69" s="1"/>
  <c r="C26" i="69" l="1"/>
  <c r="F26" i="69" s="1"/>
  <c r="C27" i="69" l="1"/>
  <c r="F27" i="69" s="1"/>
  <c r="C28" i="69" l="1"/>
  <c r="F28" i="69" s="1"/>
  <c r="C29" i="69" l="1"/>
  <c r="F29" i="69" s="1"/>
  <c r="C30" i="69" l="1"/>
  <c r="F30" i="69" s="1"/>
  <c r="C31" i="69" l="1"/>
  <c r="F31" i="69" s="1"/>
  <c r="C32" i="69" l="1"/>
  <c r="F32" i="69" s="1"/>
  <c r="AT10" i="60"/>
  <c r="AU10" i="60" s="1"/>
  <c r="L51" i="60" s="1"/>
  <c r="AT11" i="60"/>
  <c r="AU11" i="60" s="1"/>
  <c r="L52" i="60" s="1"/>
  <c r="AT12" i="60"/>
  <c r="AU12" i="60" s="1"/>
  <c r="AT13" i="60"/>
  <c r="AT14" i="60"/>
  <c r="AU14" i="60" s="1"/>
  <c r="L55" i="60" s="1"/>
  <c r="AT16" i="60"/>
  <c r="AU16" i="60" s="1"/>
  <c r="AT8" i="59"/>
  <c r="AU8" i="59" s="1"/>
  <c r="L49" i="59" s="1"/>
  <c r="AT9" i="59"/>
  <c r="AU9" i="59" s="1"/>
  <c r="AT10" i="59"/>
  <c r="AU10" i="59" s="1"/>
  <c r="L51" i="59" s="1"/>
  <c r="AT11" i="59"/>
  <c r="AU11" i="59" s="1"/>
  <c r="L52" i="59" s="1"/>
  <c r="AT12" i="59"/>
  <c r="AU12" i="59" s="1"/>
  <c r="L53" i="59" s="1"/>
  <c r="AT13" i="59"/>
  <c r="AU13" i="59" s="1"/>
  <c r="L54" i="59" s="1"/>
  <c r="AT16" i="59"/>
  <c r="AU16" i="59" s="1"/>
  <c r="L56" i="59" s="1"/>
  <c r="AT17" i="59"/>
  <c r="AU17" i="59" s="1"/>
  <c r="L57" i="59" s="1"/>
  <c r="AT18" i="59"/>
  <c r="AU18" i="59" s="1"/>
  <c r="AT19" i="59"/>
  <c r="AU19" i="59" s="1"/>
  <c r="L59" i="59" s="1"/>
  <c r="AT20" i="59"/>
  <c r="AU20" i="59" s="1"/>
  <c r="L60" i="59" s="1"/>
  <c r="AT21" i="59"/>
  <c r="AU21" i="59" s="1"/>
  <c r="L61" i="59" s="1"/>
  <c r="AT22" i="59"/>
  <c r="AU22" i="59" s="1"/>
  <c r="L62" i="59" s="1"/>
  <c r="AT23" i="59"/>
  <c r="AU23" i="59" s="1"/>
  <c r="L63" i="59" s="1"/>
  <c r="AT25" i="59"/>
  <c r="AU25" i="59" s="1"/>
  <c r="AT26" i="59"/>
  <c r="AU26" i="59" s="1"/>
  <c r="L65" i="59" s="1"/>
  <c r="AT27" i="59"/>
  <c r="AU27" i="59" s="1"/>
  <c r="L66" i="59" s="1"/>
  <c r="AT28" i="59"/>
  <c r="AU28" i="59" s="1"/>
  <c r="L67" i="59" s="1"/>
  <c r="AT29" i="59"/>
  <c r="AU29" i="59" s="1"/>
  <c r="L68" i="59" s="1"/>
  <c r="AT30" i="59"/>
  <c r="AU30" i="59" s="1"/>
  <c r="L69" i="59" s="1"/>
  <c r="AT31" i="59"/>
  <c r="AU31" i="59" s="1"/>
  <c r="L70" i="59" s="1"/>
  <c r="AT32" i="59"/>
  <c r="AU32" i="59" s="1"/>
  <c r="L71" i="59" s="1"/>
  <c r="AT24" i="60" l="1"/>
  <c r="E24" i="60" s="1"/>
  <c r="I42" i="60" s="1"/>
  <c r="AT15" i="60"/>
  <c r="H41" i="60" s="1"/>
  <c r="AT24" i="59"/>
  <c r="AT15" i="59"/>
  <c r="L64" i="59"/>
  <c r="AU33" i="59"/>
  <c r="L50" i="59"/>
  <c r="AU15" i="59"/>
  <c r="L58" i="59"/>
  <c r="AU24" i="59"/>
  <c r="AU24" i="60"/>
  <c r="L56" i="60"/>
  <c r="L53" i="60"/>
  <c r="AT33" i="59"/>
  <c r="AU13" i="60"/>
  <c r="L54" i="60" s="1"/>
  <c r="E15" i="60" l="1"/>
  <c r="H42" i="60" s="1"/>
  <c r="I41" i="60"/>
  <c r="K41" i="60" s="1"/>
  <c r="AT35" i="60"/>
  <c r="M46" i="60" s="1"/>
  <c r="Q46" i="60" s="1"/>
  <c r="H41" i="59"/>
  <c r="E15" i="59"/>
  <c r="H42" i="59" s="1"/>
  <c r="AU35" i="59"/>
  <c r="O46" i="59" s="1"/>
  <c r="E24" i="59"/>
  <c r="I42" i="59" s="1"/>
  <c r="I41" i="59"/>
  <c r="AU15" i="60"/>
  <c r="AU35" i="60" s="1"/>
  <c r="O46" i="60" s="1"/>
  <c r="AT35" i="59"/>
  <c r="M46" i="59" s="1"/>
  <c r="Q46" i="59" s="1"/>
  <c r="J41" i="59"/>
  <c r="E33" i="59"/>
  <c r="J42" i="59" s="1"/>
  <c r="K41" i="59" l="1"/>
  <c r="AW1" i="51"/>
  <c r="AW1" i="51" a="1"/>
  <c r="AV13" i="51"/>
  <c r="AV13" i="51" a="1"/>
  <c r="M54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N2" authorId="0" shapeId="0" xr:uid="{9C7FA023-4830-4F31-97EF-94E61CBF9471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O2" authorId="0" shapeId="0" xr:uid="{779C9D37-9F29-42DB-BF9C-25F2928DA757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AB4AB565-B593-468B-A4D5-32E773D09CCE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8240F8B9-7654-4E70-9ABF-75260BE704F4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610CA8F2-72B2-4D67-AF25-4D054DF23623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A4D52690-F150-483D-BD24-F4AF97D7222F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AEC1E0F1-B6E6-43B1-88C0-C9828D5C95C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327641E6-CA92-457A-BA8E-0FB35C3CCFD5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0645D412-1846-4265-A157-55DCE63992D8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E36EBF8A-1D20-487B-B061-770A75CE0461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5639DE75-A696-40CE-95DD-8820B26C4EC1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F5BAEDCE-DB0E-40E4-BA67-D90343A66110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3CE9CA75-8806-4FCA-A256-4D5FD6AD504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C4800BDD-E0AE-4D1F-AACE-DB31AA1762B7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1D546A2C-36BA-4D15-8C6A-E659DBA410EC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EF439BDB-979F-498A-8839-793363EB7F03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8CF4C900-03C8-482D-9583-1534C1E399E1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CB24888F-903D-436D-B6C0-8E13B6FC90E9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780E414D-72F2-43DD-AF38-6E1984637131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C14F9B2F-2BEA-43D8-A076-4484DF62438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65C3BD19-02BB-4157-B989-DAC381956A99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06B7684B-C5F0-4A77-8187-5DA6BC999985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N2" authorId="0" shapeId="0" xr:uid="{5840CCED-5272-4686-AA3D-B7B01B0C98E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O2" authorId="0" shapeId="0" xr:uid="{D8E60D83-70F6-4333-99EC-9ECA73C81C53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402BE2A8-6242-4744-B428-20A89487B229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C814863C-93AA-4216-886B-215A6003E3D6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761D24F9-233E-4EEE-BF49-35B99262CBE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B573D902-CAD6-400A-A091-9B5971C700A8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2D781C0C-CACE-41F5-810D-340432B9CE22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3DC8AEA7-15E7-450E-AE79-F28044717C2C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044AF04F-AB92-44E7-9590-F949F41DD7A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F408F9D9-D8A0-4216-B94B-C5C8F52D66D3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043B674C-1773-4E49-B251-4E67A3AC5BB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42865360-250E-4515-A455-870A0CF989E5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F2820CF6-8AA2-4924-9CBB-FED77939D77E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E28D8712-9FF4-4B4A-B1FA-B6D349E41B2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2C16E948-C5F6-4CE5-87AF-6E37FFBF3CF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675D6B9B-AC76-4C42-8E8B-E276A7F4C13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CE45A3FA-DE9A-4A2E-A49E-4CCA37E8A8AF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24356207-93BB-4877-9A8B-870460DD70E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18D7B51A-1219-4882-A627-7F52F975BC3D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F3F876DF-C094-4DCC-A5E2-8F4B22C1AF44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282529A8-140C-48D0-ACEF-81CCDF005D54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86758DE0-CA61-4B9E-BCD5-DEE78C1B0B43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de Villiers</author>
  </authors>
  <commentList>
    <comment ref="AI2" authorId="0" shapeId="0" xr:uid="{7C6860BB-9561-4FCF-8900-63670CFA7C1A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there is downtime or breakdown that started in this hour</t>
        </r>
      </text>
    </comment>
    <comment ref="AJ2" authorId="0" shapeId="0" xr:uid="{1401731B-58E9-435E-AE70-0E8F3064963B}">
      <text>
        <r>
          <rPr>
            <b/>
            <sz val="9"/>
            <color indexed="81"/>
            <rFont val="Tahoma"/>
            <family val="2"/>
          </rPr>
          <t>Emil de Villiers:</t>
        </r>
        <r>
          <rPr>
            <sz val="9"/>
            <color indexed="81"/>
            <rFont val="Tahoma"/>
            <family val="2"/>
          </rPr>
          <t xml:space="preserve">
Fill in this column if we have started again in this hour after a breakdown or shutdown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<sst xmlns="http://schemas.openxmlformats.org/spreadsheetml/2006/main" count="3946" uniqueCount="360">
  <si>
    <t>Crusher Product  Conveyor</t>
  </si>
  <si>
    <t>Secondary Crusher TP 51</t>
  </si>
  <si>
    <t>Tertiary Crusher TC 350</t>
  </si>
  <si>
    <t>Bin Levels</t>
  </si>
  <si>
    <t>Feeders</t>
  </si>
  <si>
    <t>Level Control- Bowl level</t>
  </si>
  <si>
    <t>Feeders Condition</t>
  </si>
  <si>
    <t>Final Stockpile</t>
  </si>
  <si>
    <t>Now</t>
  </si>
  <si>
    <t>DMS SECTION</t>
  </si>
  <si>
    <t xml:space="preserve">Process </t>
  </si>
  <si>
    <t>Thickener Underflow Pumping</t>
  </si>
  <si>
    <t>Feed Source
INF, CAL</t>
  </si>
  <si>
    <t>Crushed Product Totalizer</t>
  </si>
  <si>
    <t>Actual [t/h]</t>
  </si>
  <si>
    <t>Target (t/h)</t>
  </si>
  <si>
    <t>AMBIENT TEMPERATURE</t>
  </si>
  <si>
    <r>
      <t xml:space="preserve">OIL TEMPERATURE </t>
    </r>
    <r>
      <rPr>
        <b/>
        <sz val="11"/>
        <color theme="1"/>
        <rFont val="Calibri"/>
        <family val="2"/>
      </rPr>
      <t>°C</t>
    </r>
  </si>
  <si>
    <t>OIL PRESSURE BAR (PSI)</t>
  </si>
  <si>
    <t>CLOSED SIDE SETTING (MM)</t>
  </si>
  <si>
    <t>NOTE ANY ALARMS CHECKED</t>
  </si>
  <si>
    <t>COST DOWN TIME (SECONDS)</t>
  </si>
  <si>
    <r>
      <t xml:space="preserve">LOW CLAMPING AND RELEASE PRESSURE PILOT LIGHTS MUST BE </t>
    </r>
    <r>
      <rPr>
        <b/>
        <u/>
        <sz val="11"/>
        <color theme="1"/>
        <rFont val="Calibri"/>
        <family val="2"/>
        <scheme val="minor"/>
      </rPr>
      <t>OFF</t>
    </r>
  </si>
  <si>
    <t>Feed Bin</t>
  </si>
  <si>
    <t>Seconary Crusher Feed Bin</t>
  </si>
  <si>
    <t>Tertiary Crusher Feed Bin</t>
  </si>
  <si>
    <t>Feeder Bin FE1</t>
  </si>
  <si>
    <t>Feeder Bin FE2</t>
  </si>
  <si>
    <t xml:space="preserve">Secondary Crusher </t>
  </si>
  <si>
    <t>Secondary Crusher</t>
  </si>
  <si>
    <t>Tertiary Crusher</t>
  </si>
  <si>
    <t>FE 02 Secondary Feed</t>
  </si>
  <si>
    <t>FE 03 Tertiary Feed</t>
  </si>
  <si>
    <t>Check for oversize plus 7mm</t>
  </si>
  <si>
    <t>Sample for 24 hr PSD</t>
  </si>
  <si>
    <t>Time off</t>
  </si>
  <si>
    <t>Time on</t>
  </si>
  <si>
    <t>Running</t>
  </si>
  <si>
    <t>Standing</t>
  </si>
  <si>
    <t>Notes/Description</t>
  </si>
  <si>
    <t>Pipe ID</t>
  </si>
  <si>
    <t>Pie</t>
  </si>
  <si>
    <t>A</t>
  </si>
  <si>
    <t xml:space="preserve">Solids SG </t>
  </si>
  <si>
    <t>Shift Target</t>
  </si>
  <si>
    <t>IN</t>
  </si>
  <si>
    <t>OUT</t>
  </si>
  <si>
    <t>YES</t>
  </si>
  <si>
    <t>NO</t>
  </si>
  <si>
    <t>Set Point</t>
  </si>
  <si>
    <t>Actual</t>
  </si>
  <si>
    <t>Build Up/ Clean</t>
  </si>
  <si>
    <t>Upper</t>
  </si>
  <si>
    <t>:Down at end of hour</t>
  </si>
  <si>
    <t>Lower</t>
  </si>
  <si>
    <t>Running at end of hour</t>
  </si>
  <si>
    <t>CALCITIC</t>
  </si>
  <si>
    <t>Planned plant shutdown</t>
  </si>
  <si>
    <t>N/S Total</t>
  </si>
  <si>
    <t>M/S Total</t>
  </si>
  <si>
    <t>A/S Total</t>
  </si>
  <si>
    <t>Day</t>
  </si>
  <si>
    <t>Production (Wet Report)</t>
  </si>
  <si>
    <t>Morning</t>
  </si>
  <si>
    <t>Afternoon</t>
  </si>
  <si>
    <t>Target</t>
  </si>
  <si>
    <t>Feed</t>
  </si>
  <si>
    <t>Date</t>
  </si>
  <si>
    <t>PLANT TONNAGES START</t>
  </si>
  <si>
    <t>PLANT TONNAGES END</t>
  </si>
  <si>
    <t>TOTAL TONNAGES FEED</t>
  </si>
  <si>
    <t>OPERATED HOURS START</t>
  </si>
  <si>
    <t>OPERATED HOURS END</t>
  </si>
  <si>
    <t>TOTAL HOURS</t>
  </si>
  <si>
    <t>ACTUAL RUN HOURS</t>
  </si>
  <si>
    <t>DECIMAL HOURS</t>
  </si>
  <si>
    <t>STANDING TIME</t>
  </si>
  <si>
    <t>SCHEDULED TONS PER HOUR</t>
  </si>
  <si>
    <t>ACTUAL OPERATED TONS PER HOUR</t>
  </si>
  <si>
    <t>COMMENTS</t>
  </si>
  <si>
    <t>Nr</t>
  </si>
  <si>
    <t xml:space="preserve">POWER DRAW KW (AMPS)Max </t>
  </si>
  <si>
    <t>Item</t>
  </si>
  <si>
    <t>Step</t>
  </si>
  <si>
    <t>Plant Inspection</t>
  </si>
  <si>
    <t>Start the Crusher Lube system both Secondary and Tertiary</t>
  </si>
  <si>
    <t>Start Conveyor CV11</t>
  </si>
  <si>
    <t>Start Conveyor CV10</t>
  </si>
  <si>
    <t>Start Conveyor CV08</t>
  </si>
  <si>
    <t>Start Conveyor CV07</t>
  </si>
  <si>
    <t>Start Tertiary Screen SC02</t>
  </si>
  <si>
    <t>Start Conveyor CV05</t>
  </si>
  <si>
    <t>Start Conveyor CV06</t>
  </si>
  <si>
    <t>Start Conveyor CV03</t>
  </si>
  <si>
    <t>Start Conveyor CV09</t>
  </si>
  <si>
    <t>Start Conveyor CV02</t>
  </si>
  <si>
    <t>Start Secondary Screen SC01</t>
  </si>
  <si>
    <t>Start Conveyor CV01</t>
  </si>
  <si>
    <t>Start Conveyor CV04</t>
  </si>
  <si>
    <t>Iron Belt Magnet BM01</t>
  </si>
  <si>
    <t>Check the Bins Level (Secondary and Tertiary), if empty Start the Plant Feeder FE01</t>
  </si>
  <si>
    <t xml:space="preserve">Check the Bins Level (Secondary and Tertiary) again </t>
  </si>
  <si>
    <t>Start the Tertiary Crusher and check the gap settings</t>
  </si>
  <si>
    <t>Start the Secondary Crusher Feeder FE02</t>
  </si>
  <si>
    <t>Start the Secondry Crusher and check the gap settings</t>
  </si>
  <si>
    <t>Start the Tertiary Crusher Feeder FE03</t>
  </si>
  <si>
    <t>vcxv</t>
  </si>
  <si>
    <t xml:space="preserve">  </t>
  </si>
  <si>
    <t xml:space="preserve">   </t>
  </si>
  <si>
    <t>06:00 -07:00&gt; Caucus and plant startup</t>
  </si>
  <si>
    <t>37.9</t>
  </si>
  <si>
    <t>07:10-07:20&gt;Stop plant feeder due to conveyer no. 5 trip. 07:20&gt;  Plant feeder speed was reduced to monitoring conveyor number 5</t>
  </si>
  <si>
    <t>160-200</t>
  </si>
  <si>
    <t>08:25&gt;08:35 Power deep (09:00-09:10&gt; Plant and secondary feeder stopped due   Tertiary bin high level, waiting to drop)</t>
  </si>
  <si>
    <t>09:35&gt;Stop plant feeder, tertiary bin full full</t>
  </si>
  <si>
    <t>Night</t>
  </si>
  <si>
    <t>2.6</t>
  </si>
  <si>
    <t>CRUSHER SECTION</t>
  </si>
  <si>
    <t>2.4</t>
  </si>
  <si>
    <t>1.9</t>
  </si>
  <si>
    <t>40.9</t>
  </si>
  <si>
    <t>Total</t>
  </si>
  <si>
    <t>40.0</t>
  </si>
  <si>
    <t>39.0</t>
  </si>
  <si>
    <t>37.0</t>
  </si>
  <si>
    <t>Run Hours</t>
  </si>
  <si>
    <t>Rate</t>
  </si>
  <si>
    <t>CRUSHER PRODUCT (WET)</t>
  </si>
  <si>
    <t>Crusher Product Totalizer</t>
  </si>
  <si>
    <t xml:space="preserve"> 22:00</t>
  </si>
  <si>
    <t>CAL</t>
  </si>
  <si>
    <t>Datetime</t>
  </si>
  <si>
    <t>CRUSHER PRODUCTION</t>
  </si>
  <si>
    <t>OPERATED HOURS STOP</t>
  </si>
  <si>
    <t>Clean</t>
  </si>
  <si>
    <t>build-up</t>
  </si>
  <si>
    <t>yes</t>
  </si>
  <si>
    <t>38.8</t>
  </si>
  <si>
    <t>No night shift</t>
  </si>
  <si>
    <t xml:space="preserve">Maintanace </t>
  </si>
  <si>
    <t>Maintanace</t>
  </si>
  <si>
    <t>06:00-14:00&gt;Caucus,Plant inspection ,doing maintanance</t>
  </si>
  <si>
    <t>DATE</t>
  </si>
  <si>
    <t>TARGET</t>
  </si>
  <si>
    <t>DAILY TARGET</t>
  </si>
  <si>
    <t>Mon</t>
  </si>
  <si>
    <t>Tue</t>
  </si>
  <si>
    <t>Wed</t>
  </si>
  <si>
    <t>Thu</t>
  </si>
  <si>
    <t>Fri</t>
  </si>
  <si>
    <t>Sat</t>
  </si>
  <si>
    <t>Sun</t>
  </si>
  <si>
    <t>CRUSHER PRODUCT</t>
  </si>
  <si>
    <t>CUMMULATIVE CRUSHER PRODUCT TARGET</t>
  </si>
  <si>
    <t>CUMMULATIVE CRUSHER FEED TARGET</t>
  </si>
  <si>
    <t>Build Up</t>
  </si>
  <si>
    <t>Busy clean build-up on the FEO1 and FEO3</t>
  </si>
  <si>
    <t>18:45&gt; Stop FEO1 due to secondary crusher tripped</t>
  </si>
  <si>
    <t>Attending the meeting and doing caucus to prepare plant start up</t>
  </si>
  <si>
    <t>19:32&gt;Plant start -up ,after 20 minutes FE02 tripped again and the crusher was inspectedto   check  for obstrution nothing to be found</t>
  </si>
  <si>
    <t>20:14&gt; Tertiary Crusher Tripped. Plant stopped, tertiary crusher will be attended tomorrow</t>
  </si>
  <si>
    <t>37.8</t>
  </si>
  <si>
    <t>06:00-07:00Caucus, plant inspection and Electrician fixed the trapped CC01,Setting both CC to 20mm</t>
  </si>
  <si>
    <t>07:25-07:35 Cleaning FE03 build up</t>
  </si>
  <si>
    <t xml:space="preserve">08:20-08:35 Cleaning Build up on FE02 </t>
  </si>
  <si>
    <t>09:05-10:15 Secondary crusher trapped without a load,power cut due to resta</t>
  </si>
  <si>
    <t>10:36-11:00 secondary trapped again without a load,while restarting it,it trapped CC02</t>
  </si>
  <si>
    <t>11:00-11:30Cleaning build up on FE03 and inside the CC02</t>
  </si>
  <si>
    <t>Plant stopped - No night shift</t>
  </si>
  <si>
    <t>14:10-14:23&gt; Cleaning build-ups on the feeders</t>
  </si>
  <si>
    <t>38.9</t>
  </si>
  <si>
    <t>2.2</t>
  </si>
  <si>
    <t>build Up</t>
  </si>
  <si>
    <t>build up</t>
  </si>
  <si>
    <t>36.8</t>
  </si>
  <si>
    <t>2.3</t>
  </si>
  <si>
    <t>build -up</t>
  </si>
  <si>
    <t>Plant stopped due to clean SCO1 build -up in panels</t>
  </si>
  <si>
    <t>38.1</t>
  </si>
  <si>
    <t>40.7</t>
  </si>
  <si>
    <t>1.8</t>
  </si>
  <si>
    <t>18:18=18:31&gt;Stop frant loader due to clean build-up at FEO1</t>
  </si>
  <si>
    <t>39.7</t>
  </si>
  <si>
    <t>41.6</t>
  </si>
  <si>
    <t>33.8</t>
  </si>
  <si>
    <t>37.3</t>
  </si>
  <si>
    <t>19:00&gt;Still struggling with build-up at FEO1,FEO3 and SCO1</t>
  </si>
  <si>
    <t>31.0</t>
  </si>
  <si>
    <t>2.5</t>
  </si>
  <si>
    <t>39.5</t>
  </si>
  <si>
    <t>40.4</t>
  </si>
  <si>
    <t>2.1</t>
  </si>
  <si>
    <t>06:00-07:54 Caucus,doing plant inspection and cleaning SC01 bottom deck panels(blocked )</t>
  </si>
  <si>
    <t>10:15-12:00Cleaning the build up of the CC02 Bin(it showed 80% but it's empty)</t>
  </si>
  <si>
    <t>12:00-12:20 Cleaning up FE03 build up</t>
  </si>
  <si>
    <t>08:10-08:45 Feeding at a low rate(material is very wet)</t>
  </si>
  <si>
    <t>33.5</t>
  </si>
  <si>
    <t>37.2</t>
  </si>
  <si>
    <t>Doing caucus, inspection and clean build-up on the FEO1 and FEO3</t>
  </si>
  <si>
    <t>38.0</t>
  </si>
  <si>
    <t>40.5</t>
  </si>
  <si>
    <t>Stop plant feeder FEO1 due to offload conveyor no 6 and clean SCO1 panels</t>
  </si>
  <si>
    <t>32.9</t>
  </si>
  <si>
    <t>32.6</t>
  </si>
  <si>
    <t>37.5</t>
  </si>
  <si>
    <t>18:40&gt;We do less tons due to clean build-up at FEO1</t>
  </si>
  <si>
    <t>39.1</t>
  </si>
  <si>
    <t>40.3</t>
  </si>
  <si>
    <t>19:00&gt;Strugling with build up at FEO1 and FEO3</t>
  </si>
  <si>
    <t>37.7</t>
  </si>
  <si>
    <t>20:30&gt;Crucher plant feed depleted</t>
  </si>
  <si>
    <t>Doing  Caucus ,preparing for plant to start-up  and waiting for material . No feed for crusher plant</t>
  </si>
  <si>
    <t>09:02&gt; Plant start -up</t>
  </si>
  <si>
    <t>29.7</t>
  </si>
  <si>
    <t>31.5</t>
  </si>
  <si>
    <t>39.4</t>
  </si>
  <si>
    <t>40.8</t>
  </si>
  <si>
    <t>1.7</t>
  </si>
  <si>
    <t>37.6</t>
  </si>
  <si>
    <t>Stop plant feeder FEO1 due to conveyor no 2 chute block of big rock</t>
  </si>
  <si>
    <t>FEO1 start stop due to big rock block</t>
  </si>
  <si>
    <t>12:00=13:00&gt;Struggling with big rocks at FEO1 and build -up at FEO3</t>
  </si>
  <si>
    <t>buil-up</t>
  </si>
  <si>
    <t>14:13-15:02 Telehandler is cleaning the feedbin build up,cleaning build-up on FE2&amp;FE03</t>
  </si>
  <si>
    <t>Build-up</t>
  </si>
  <si>
    <t>17:25-17:40Stopped FE01,Cleaning build up on FE02</t>
  </si>
  <si>
    <t>16:12-16:21Cleaning build up on FE01</t>
  </si>
  <si>
    <t>18:30-18:45 Cleaning FE03 build up</t>
  </si>
  <si>
    <t>No Feedstock</t>
  </si>
  <si>
    <t>20:00-22:00 Plant stopped due to no feedstock(Cleaning build-up on FE01, FE02&amp;FE03</t>
  </si>
  <si>
    <t>41.5</t>
  </si>
  <si>
    <t>39.8</t>
  </si>
  <si>
    <t>40.6</t>
  </si>
  <si>
    <t>Doing caucus ,cleaning tail pulley,inspection and cleaning of the  plant feeder bin.</t>
  </si>
  <si>
    <t>15:20-15:35&gt;Stopped FE01 Cleaning build-up on FE03</t>
  </si>
  <si>
    <t>17:03-17:13&gt;Stopped FE01 Cleaning build-up on FE03</t>
  </si>
  <si>
    <t>19:39-22:00&gt;The  dry coarse material is finished, we are now feeding Kwagga</t>
  </si>
  <si>
    <t>20:30-20:46&gt;Stopped FE01,Cleaning FE03</t>
  </si>
  <si>
    <t>clean</t>
  </si>
  <si>
    <t>32.2</t>
  </si>
  <si>
    <t>2.9</t>
  </si>
  <si>
    <t>19:00-+AV26+AV1:AV36+AV26+AV1:AV36+AV1:AV38+AV26+AV1:AV36+AV26+AV1:AV36+AV1:AV40</t>
  </si>
  <si>
    <t xml:space="preserve">  06:00-11:21&gt;Caucus ,maintenance ,Cleaning Secondary screen rubber panels and  conveyor tail  pulley</t>
  </si>
  <si>
    <t xml:space="preserve">  12:58-13:01&gt;Stop plant feeder FEO1 due to FEO3 bin full, busy cleaning build -up</t>
  </si>
  <si>
    <t xml:space="preserve"> 14:00-15:00&gt;Cleaning all 3 Febuild-ups</t>
  </si>
  <si>
    <t xml:space="preserve"> 15:35-15:45&gt;Estop was pressed by mistake on CV10 , stopped CC02 circuit and we restarted </t>
  </si>
  <si>
    <t xml:space="preserve"> 19:00-20:20&gt; CV8 trapped because of overload, we had build up on CVO7 chute</t>
  </si>
  <si>
    <t>36.5</t>
  </si>
  <si>
    <t>HiPhos</t>
  </si>
  <si>
    <t>37.4</t>
  </si>
  <si>
    <t xml:space="preserve">Doing inspection ,caucus ,plant start -up FEO1 and FEO2 Crusher tripped </t>
  </si>
  <si>
    <t>07:09&gt;Stop FEO1 due to FEO2 still tripped ,busy working on it</t>
  </si>
  <si>
    <t>07:21&gt;Power dipped ,restart at 08:03</t>
  </si>
  <si>
    <t>08:40&gt; Stop FEO1 due to clean build -up at FEO3</t>
  </si>
  <si>
    <t>39.9</t>
  </si>
  <si>
    <t>09:30&gt;Plant tripped due  to FEO3 bin full full . Delay time 5 minutes</t>
  </si>
  <si>
    <t>41.1</t>
  </si>
  <si>
    <t>2.0</t>
  </si>
  <si>
    <t>10:02&gt;FEO1 bin block ,delay time to unblock is 10 minutes</t>
  </si>
  <si>
    <t>42.5</t>
  </si>
  <si>
    <t>10:15&gt;Plant running ok no problem,PTH is 278 per hour</t>
  </si>
  <si>
    <t>40.2</t>
  </si>
  <si>
    <t>41.8</t>
  </si>
  <si>
    <t>11:00 TO 12:00&gt; Plant running no problem</t>
  </si>
  <si>
    <t>Feedback from Wed A/N shift, top CC01 shows trip on HMI- Sello&amp; Nkosi</t>
  </si>
  <si>
    <t xml:space="preserve">14:11-14:21&gt;stopped FE01 cleaning build-up&gt;14:50-14:55 Adjusting CC02 Gap size to 20mm  </t>
  </si>
  <si>
    <t>18:11-18:34&gt;Stopped the plant to clean Tertiary Screen bottom deck(Blocked)</t>
  </si>
  <si>
    <t xml:space="preserve">19:08-19:19&gt;Stopped the feed,cleaning Secondary Screen bottom deck </t>
  </si>
  <si>
    <t>21:00-22:00kwagga stockpile depleted, Running the bins empty,cleaning the secondary screen,FE01</t>
  </si>
  <si>
    <t xml:space="preserve">15:31-15:40&gt; Stopped FE01&amp;FEO2 due to the big rock stuck on the CV02 discharge chute </t>
  </si>
  <si>
    <t>16:41-17:01&gt;Stopped FE01,cleaning build-up on the secondary bottom deck</t>
  </si>
  <si>
    <t>When shutting down the plant CC01 trapped</t>
  </si>
  <si>
    <t>Doing inspection,caucus , plant start -up . We are waiting fel</t>
  </si>
  <si>
    <t>08:00 To 09:00&gt; Still struggling with build-up due to feeding wet material</t>
  </si>
  <si>
    <t>39.6</t>
  </si>
  <si>
    <t>Stop FEO1 due to unblock CCO1</t>
  </si>
  <si>
    <t>2.8</t>
  </si>
  <si>
    <t>10:50 To 11:05&gt; Stop plant feeder due to clean build-up at FEO1</t>
  </si>
  <si>
    <t>41.</t>
  </si>
  <si>
    <t>13:00&gt; We do less tons due to clean CCO1</t>
  </si>
  <si>
    <t>13:10&gt; Stop FEO1 due to clean build-up at FEO1 feeder</t>
  </si>
  <si>
    <t xml:space="preserve">yes </t>
  </si>
  <si>
    <t>14:30-15:20&gt; Stop FE01 due to Clean both SC01, SC02 and Clean build-up at all feeds FE01, FE02 and FE03</t>
  </si>
  <si>
    <t xml:space="preserve">15:20&gt; the plant is running </t>
  </si>
  <si>
    <t>16:28-17:00&gt; Changing bottom deck panels SC01</t>
  </si>
  <si>
    <t>17:00-18:00&gt; Changing bottom deck panels SC01</t>
  </si>
  <si>
    <t>18:00-19:00&gt; Changing bottom deck panels SC01</t>
  </si>
  <si>
    <t>19:00-20:00&gt; Changing bottom deck panels SC01</t>
  </si>
  <si>
    <t>20:44-20:55&gt; Starting the plant</t>
  </si>
  <si>
    <t>No Night shift</t>
  </si>
  <si>
    <t>06:00 - 06:55&gt; Waiting for the front loader</t>
  </si>
  <si>
    <t>07:00&gt; we started the feed now; 07:49 - 08:00&gt; Tertiary crusher trip the power. Calling the AMSA electrician</t>
  </si>
  <si>
    <t>08:00 - 08:46&gt; Tertiary crusher trip the power. Calling the AMSA electrician; 08:51&gt; Tertiary crusher trip Again due to starting the CC01</t>
  </si>
  <si>
    <t>VARIANCE</t>
  </si>
  <si>
    <t>10:50-11:02&gt; FE01 Was Blocked</t>
  </si>
  <si>
    <t>14:00 TO 14:30&gt; Doing inspection, caucus and clean build-up at FEO1, Plant running no problem</t>
  </si>
  <si>
    <t>32.7</t>
  </si>
  <si>
    <t>36.1</t>
  </si>
  <si>
    <t xml:space="preserve">14:50&gt;Stop plant feeder due to clean build -up at FEO3 and tertiary bin full full </t>
  </si>
  <si>
    <t>Secondary overfloawing at the setpoint of 10 /  SP-10</t>
  </si>
  <si>
    <t>15:42&gt; Stop FEO1 due to clean SCO1 bottom deck Phoenix want to do trial</t>
  </si>
  <si>
    <t>16:39&gt; Phoenix done with trial restart the plant ,Tertiary crusher tripped</t>
  </si>
  <si>
    <t>38.6</t>
  </si>
  <si>
    <t>2.7</t>
  </si>
  <si>
    <t>17:03&gt;Electrician done recent Tertiary crusher ,feed back online</t>
  </si>
  <si>
    <t>INF</t>
  </si>
  <si>
    <t>35.5</t>
  </si>
  <si>
    <t>21:11&gt; Power dipped,reset all equipment are running ,but Tertiary crusher want to lift it up before we restart</t>
  </si>
  <si>
    <t>06:00&gt; the plant is running now</t>
  </si>
  <si>
    <t xml:space="preserve"> 06:30-06:40&gt;stop FE01 clening build up on tertiary crusher and secondary</t>
  </si>
  <si>
    <t>The plant still running good and no problems for now</t>
  </si>
  <si>
    <t>Build up</t>
  </si>
  <si>
    <t>10:12-10:35&gt; Reduce FE01 SPEED to clean build up on FE02</t>
  </si>
  <si>
    <t>11:30-11:45&gt; Stopped front End loader to clean build up on FE01</t>
  </si>
  <si>
    <t>12:22-12:38&gt; Stopped FE01 due to build up on FE03</t>
  </si>
  <si>
    <t>14:05-14:10&gt; Stopped FE01 to clean FE02 BUILD UP</t>
  </si>
  <si>
    <t>15:18-15:55&gt; CC02 Tripped and stopped all section, now we're struggling to start CV01</t>
  </si>
  <si>
    <t>14:12-14:30&gt; FE01 also have build up and we Stopped front End loader to clean it</t>
  </si>
  <si>
    <t>16,10-17:20&gt; We called the fitter to adjust the tertiary crusher gaps, there is high recirculation load and tertiary bin gets full very fast.</t>
  </si>
  <si>
    <t>17:28-We have offloaded CVO8 and does not want to start so we have called the electrician to come and reset it.</t>
  </si>
  <si>
    <t>InfKwa</t>
  </si>
  <si>
    <t>18:52&gt;Done with offloading conveyor no 8 and no 1,Plant now is running</t>
  </si>
  <si>
    <t>19:00 TO 20:00&gt; Plant running no problem</t>
  </si>
  <si>
    <t>39.3</t>
  </si>
  <si>
    <t>31.3</t>
  </si>
  <si>
    <t>31.7</t>
  </si>
  <si>
    <t>42.1</t>
  </si>
  <si>
    <t>22:00 TO 23:00&gt; Plant running no problem</t>
  </si>
  <si>
    <t>30.4</t>
  </si>
  <si>
    <t>Stop FEO1 due to clean build-up at FEO3</t>
  </si>
  <si>
    <t>01:42&gt; Stop FEL due to clean build -up at FEO1</t>
  </si>
  <si>
    <t>38.2</t>
  </si>
  <si>
    <t>03:00 TO 04:00&gt; Plant running good ,and getting good material</t>
  </si>
  <si>
    <t>39.2</t>
  </si>
  <si>
    <t>41.3</t>
  </si>
  <si>
    <t xml:space="preserve">04:40&gt; Reduce the speed at FEO1 due to tertiary bin full </t>
  </si>
  <si>
    <t>Build- up</t>
  </si>
  <si>
    <t xml:space="preserve">                                                                                                                                                                    </t>
  </si>
  <si>
    <t>06:02-06:52&gt; Stop FE01 to clean all feeds, FE02 AND FE03 build ups</t>
  </si>
  <si>
    <t>%</t>
  </si>
  <si>
    <t>08:55-10:38&gt;we Stopped FE01 to inspecting the crusher because we see the smoke coming out for tertiary crusher</t>
  </si>
  <si>
    <t>11:00-12:00&gt; CV06 overloaded</t>
  </si>
  <si>
    <t>1,,9</t>
  </si>
  <si>
    <t>12:00-12:20&gt; CV06 overloaded; 12:50-13:00&gt;:CV08 Overloaded and tripped CV06 Overloaded now</t>
  </si>
  <si>
    <t>13:00 - &gt; CC02 gap settings</t>
  </si>
  <si>
    <t>Plant still running good for now&gt;&gt;&gt;16:28-16:33 CC02 Bin 70% is full and tripped the plant</t>
  </si>
  <si>
    <t>18:00&gt;Stop FEL due to clean build-up at FEO1 and FEO3,Plant running no problem</t>
  </si>
  <si>
    <t>32.3</t>
  </si>
  <si>
    <t>20:39&gt;Stop FEO1, Conveyor no 4 trip wire tripped</t>
  </si>
  <si>
    <t>40.1</t>
  </si>
  <si>
    <t>Plant running no problem</t>
  </si>
  <si>
    <t>Stop FEO1 due to clean  build -up at FEO3</t>
  </si>
  <si>
    <t xml:space="preserve">    yes</t>
  </si>
  <si>
    <t>33.7</t>
  </si>
  <si>
    <t>Stop FEO1 due Secondary bin full, received more rocks from FEO1</t>
  </si>
  <si>
    <t>Stop FEL due to clean build-up at FEO1</t>
  </si>
  <si>
    <t>32.1</t>
  </si>
  <si>
    <t>36.3</t>
  </si>
  <si>
    <t>30.1</t>
  </si>
  <si>
    <t>Tertiary circuite high circulating load, ( CC02 ), feeder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</si>
</sst>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&quot;* #,##0.00_-;\-&quot;R&quot;* #,##0.00_-;_-&quot;R&quot;* &quot;-&quot;??_-;_-@_-"/>
    <numFmt numFmtId="164" formatCode="[$-409]d\-mmm\-yy;@"/>
    <numFmt numFmtId="165" formatCode="hh:mm;@"/>
    <numFmt numFmtId="166" formatCode="0.0"/>
    <numFmt numFmtId="167" formatCode="h:mm;@"/>
    <numFmt numFmtId="168" formatCode="0.0%"/>
    <numFmt numFmtId="169" formatCode="[$-F800]dddd\,\ mmmm\ dd\,\ yyyy"/>
    <numFmt numFmtId="170" formatCode="[$-1C09]dd\ mmmm\ yyyy;@"/>
    <numFmt numFmtId="171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70C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8" tint="-0.499984740745262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6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165" fontId="4" fillId="11" borderId="0" xfId="0" applyNumberFormat="1" applyFont="1" applyFill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/>
    </xf>
    <xf numFmtId="0" fontId="0" fillId="7" borderId="13" xfId="0" applyFill="1" applyBorder="1"/>
    <xf numFmtId="166" fontId="0" fillId="7" borderId="13" xfId="0" applyNumberFormat="1" applyFill="1" applyBorder="1"/>
    <xf numFmtId="164" fontId="4" fillId="0" borderId="21" xfId="0" applyNumberFormat="1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2" fontId="4" fillId="5" borderId="17" xfId="0" applyNumberFormat="1" applyFont="1" applyFill="1" applyBorder="1" applyAlignment="1">
      <alignment horizontal="center" vertical="center" wrapText="1"/>
    </xf>
    <xf numFmtId="2" fontId="4" fillId="5" borderId="13" xfId="0" applyNumberFormat="1" applyFont="1" applyFill="1" applyBorder="1" applyAlignment="1">
      <alignment horizontal="center" vertical="center" wrapText="1"/>
    </xf>
    <xf numFmtId="2" fontId="4" fillId="6" borderId="17" xfId="0" applyNumberFormat="1" applyFont="1" applyFill="1" applyBorder="1" applyAlignment="1">
      <alignment horizontal="center" vertical="center" wrapText="1"/>
    </xf>
    <xf numFmtId="2" fontId="4" fillId="6" borderId="18" xfId="0" applyNumberFormat="1" applyFont="1" applyFill="1" applyBorder="1" applyAlignment="1">
      <alignment horizontal="center" vertical="center" wrapText="1"/>
    </xf>
    <xf numFmtId="2" fontId="4" fillId="7" borderId="19" xfId="0" applyNumberFormat="1" applyFont="1" applyFill="1" applyBorder="1" applyAlignment="1">
      <alignment horizontal="center" vertical="center" wrapText="1"/>
    </xf>
    <xf numFmtId="2" fontId="4" fillId="7" borderId="13" xfId="0" applyNumberFormat="1" applyFont="1" applyFill="1" applyBorder="1" applyAlignment="1">
      <alignment horizontal="center" vertical="center" wrapText="1"/>
    </xf>
    <xf numFmtId="2" fontId="4" fillId="7" borderId="18" xfId="0" applyNumberFormat="1" applyFont="1" applyFill="1" applyBorder="1" applyAlignment="1">
      <alignment horizontal="center" vertical="center" wrapText="1"/>
    </xf>
    <xf numFmtId="2" fontId="4" fillId="8" borderId="17" xfId="0" applyNumberFormat="1" applyFont="1" applyFill="1" applyBorder="1" applyAlignment="1">
      <alignment horizontal="center" vertical="center" wrapText="1"/>
    </xf>
    <xf numFmtId="2" fontId="4" fillId="8" borderId="18" xfId="0" applyNumberFormat="1" applyFont="1" applyFill="1" applyBorder="1" applyAlignment="1">
      <alignment horizontal="center" vertical="center" wrapText="1"/>
    </xf>
    <xf numFmtId="2" fontId="4" fillId="9" borderId="17" xfId="0" applyNumberFormat="1" applyFont="1" applyFill="1" applyBorder="1" applyAlignment="1">
      <alignment horizontal="center" vertical="center" wrapText="1"/>
    </xf>
    <xf numFmtId="2" fontId="4" fillId="9" borderId="18" xfId="0" applyNumberFormat="1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8" fillId="7" borderId="2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2" fontId="4" fillId="3" borderId="23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2" fontId="4" fillId="4" borderId="23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2" fontId="4" fillId="5" borderId="22" xfId="0" applyNumberFormat="1" applyFont="1" applyFill="1" applyBorder="1" applyAlignment="1">
      <alignment horizontal="center" vertical="center" wrapText="1"/>
    </xf>
    <xf numFmtId="2" fontId="4" fillId="5" borderId="23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11" borderId="0" xfId="0" quotePrefix="1" applyFont="1" applyFill="1" applyAlignment="1">
      <alignment horizontal="left" vertical="center"/>
    </xf>
    <xf numFmtId="2" fontId="4" fillId="5" borderId="30" xfId="0" applyNumberFormat="1" applyFont="1" applyFill="1" applyBorder="1" applyAlignment="1">
      <alignment horizontal="center" vertical="center" wrapText="1"/>
    </xf>
    <xf numFmtId="2" fontId="4" fillId="5" borderId="31" xfId="0" applyNumberFormat="1" applyFont="1" applyFill="1" applyBorder="1" applyAlignment="1">
      <alignment horizontal="center" vertical="center" wrapText="1"/>
    </xf>
    <xf numFmtId="2" fontId="4" fillId="5" borderId="32" xfId="0" applyNumberFormat="1" applyFont="1" applyFill="1" applyBorder="1" applyAlignment="1">
      <alignment horizontal="center" vertical="center" wrapText="1"/>
    </xf>
    <xf numFmtId="2" fontId="4" fillId="7" borderId="33" xfId="0" applyNumberFormat="1" applyFont="1" applyFill="1" applyBorder="1" applyAlignment="1">
      <alignment horizontal="center" vertical="center" wrapText="1"/>
    </xf>
    <xf numFmtId="2" fontId="4" fillId="7" borderId="26" xfId="0" applyNumberFormat="1" applyFont="1" applyFill="1" applyBorder="1" applyAlignment="1">
      <alignment horizontal="center" vertical="center" wrapText="1"/>
    </xf>
    <xf numFmtId="2" fontId="4" fillId="7" borderId="27" xfId="0" applyNumberFormat="1" applyFont="1" applyFill="1" applyBorder="1" applyAlignment="1">
      <alignment horizontal="center" vertical="center" wrapText="1"/>
    </xf>
    <xf numFmtId="2" fontId="4" fillId="8" borderId="25" xfId="0" applyNumberFormat="1" applyFont="1" applyFill="1" applyBorder="1" applyAlignment="1">
      <alignment horizontal="center" vertical="center" wrapText="1"/>
    </xf>
    <xf numFmtId="2" fontId="4" fillId="8" borderId="27" xfId="0" applyNumberFormat="1" applyFont="1" applyFill="1" applyBorder="1" applyAlignment="1">
      <alignment horizontal="center" vertical="center" wrapText="1"/>
    </xf>
    <xf numFmtId="2" fontId="4" fillId="9" borderId="25" xfId="0" applyNumberFormat="1" applyFont="1" applyFill="1" applyBorder="1" applyAlignment="1">
      <alignment horizontal="center" vertical="center" wrapText="1"/>
    </xf>
    <xf numFmtId="2" fontId="4" fillId="9" borderId="27" xfId="0" applyNumberFormat="1" applyFont="1" applyFill="1" applyBorder="1" applyAlignment="1">
      <alignment horizontal="center" vertical="center" wrapText="1"/>
    </xf>
    <xf numFmtId="167" fontId="4" fillId="0" borderId="35" xfId="0" applyNumberFormat="1" applyFont="1" applyBorder="1" applyAlignment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20" fontId="3" fillId="0" borderId="38" xfId="0" applyNumberFormat="1" applyFont="1" applyBorder="1" applyAlignment="1" applyProtection="1">
      <alignment horizontal="center" vertical="center"/>
      <protection locked="0"/>
    </xf>
    <xf numFmtId="20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>
      <alignment horizontal="center" vertical="center"/>
    </xf>
    <xf numFmtId="165" fontId="3" fillId="0" borderId="35" xfId="0" applyNumberFormat="1" applyFont="1" applyBorder="1" applyAlignment="1">
      <alignment horizontal="center" vertical="center"/>
    </xf>
    <xf numFmtId="20" fontId="3" fillId="0" borderId="35" xfId="0" applyNumberFormat="1" applyFont="1" applyBorder="1" applyAlignment="1">
      <alignment horizontal="center" vertical="center"/>
    </xf>
    <xf numFmtId="20" fontId="3" fillId="0" borderId="35" xfId="0" applyNumberFormat="1" applyFont="1" applyBorder="1" applyAlignment="1" applyProtection="1">
      <alignment horizontal="left" vertical="center"/>
      <protection locked="0"/>
    </xf>
    <xf numFmtId="166" fontId="0" fillId="0" borderId="13" xfId="0" applyNumberFormat="1" applyBorder="1"/>
    <xf numFmtId="9" fontId="0" fillId="0" borderId="13" xfId="1" applyFont="1" applyBorder="1"/>
    <xf numFmtId="2" fontId="0" fillId="0" borderId="13" xfId="1" applyNumberFormat="1" applyFont="1" applyBorder="1"/>
    <xf numFmtId="168" fontId="0" fillId="0" borderId="13" xfId="1" applyNumberFormat="1" applyFont="1" applyBorder="1"/>
    <xf numFmtId="2" fontId="0" fillId="0" borderId="13" xfId="0" applyNumberFormat="1" applyBorder="1"/>
    <xf numFmtId="2" fontId="3" fillId="0" borderId="13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 applyProtection="1">
      <alignment horizontal="center" vertical="center"/>
      <protection locked="0"/>
    </xf>
    <xf numFmtId="2" fontId="3" fillId="0" borderId="18" xfId="0" applyNumberFormat="1" applyFont="1" applyBorder="1" applyAlignment="1" applyProtection="1">
      <alignment horizontal="center" vertical="center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13" xfId="0" applyNumberFormat="1" applyFont="1" applyBorder="1" applyAlignment="1" applyProtection="1">
      <alignment horizontal="center" vertical="center"/>
      <protection locked="0"/>
    </xf>
    <xf numFmtId="2" fontId="3" fillId="0" borderId="35" xfId="0" applyNumberFormat="1" applyFont="1" applyBorder="1" applyAlignment="1" applyProtection="1">
      <alignment horizontal="center" vertical="center"/>
      <protection locked="0"/>
    </xf>
    <xf numFmtId="0" fontId="3" fillId="10" borderId="39" xfId="0" applyFont="1" applyFill="1" applyBorder="1" applyAlignment="1" applyProtection="1">
      <alignment horizontal="center" vertical="center"/>
      <protection locked="0"/>
    </xf>
    <xf numFmtId="0" fontId="3" fillId="13" borderId="17" xfId="0" applyFont="1" applyFill="1" applyBorder="1" applyAlignment="1" applyProtection="1">
      <alignment horizontal="center" vertical="center"/>
      <protection locked="0"/>
    </xf>
    <xf numFmtId="20" fontId="3" fillId="0" borderId="38" xfId="0" applyNumberFormat="1" applyFont="1" applyBorder="1" applyAlignment="1" applyProtection="1">
      <alignment horizontal="left" vertical="center"/>
      <protection locked="0"/>
    </xf>
    <xf numFmtId="0" fontId="3" fillId="12" borderId="35" xfId="0" applyFont="1" applyFill="1" applyBorder="1" applyAlignment="1">
      <alignment horizontal="center" vertical="center"/>
    </xf>
    <xf numFmtId="1" fontId="3" fillId="12" borderId="13" xfId="0" applyNumberFormat="1" applyFont="1" applyFill="1" applyBorder="1" applyAlignment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  <protection locked="0"/>
    </xf>
    <xf numFmtId="1" fontId="3" fillId="12" borderId="17" xfId="0" applyNumberFormat="1" applyFont="1" applyFill="1" applyBorder="1" applyAlignment="1" applyProtection="1">
      <alignment horizontal="center" vertical="center"/>
      <protection locked="0"/>
    </xf>
    <xf numFmtId="1" fontId="3" fillId="12" borderId="13" xfId="0" applyNumberFormat="1" applyFont="1" applyFill="1" applyBorder="1" applyAlignment="1" applyProtection="1">
      <alignment horizontal="center" vertical="center"/>
      <protection locked="0"/>
    </xf>
    <xf numFmtId="0" fontId="3" fillId="12" borderId="13" xfId="0" applyFont="1" applyFill="1" applyBorder="1" applyAlignment="1" applyProtection="1">
      <alignment horizontal="center" vertical="center"/>
      <protection locked="0"/>
    </xf>
    <xf numFmtId="2" fontId="3" fillId="12" borderId="13" xfId="0" applyNumberFormat="1" applyFont="1" applyFill="1" applyBorder="1" applyAlignment="1" applyProtection="1">
      <alignment horizontal="center" vertical="center"/>
      <protection locked="0"/>
    </xf>
    <xf numFmtId="2" fontId="3" fillId="12" borderId="18" xfId="0" applyNumberFormat="1" applyFont="1" applyFill="1" applyBorder="1" applyAlignment="1" applyProtection="1">
      <alignment horizontal="center" vertical="center"/>
      <protection locked="0"/>
    </xf>
    <xf numFmtId="2" fontId="3" fillId="12" borderId="17" xfId="0" applyNumberFormat="1" applyFont="1" applyFill="1" applyBorder="1" applyAlignment="1" applyProtection="1">
      <alignment horizontal="center" vertical="center"/>
      <protection locked="0"/>
    </xf>
    <xf numFmtId="2" fontId="3" fillId="12" borderId="35" xfId="0" applyNumberFormat="1" applyFont="1" applyFill="1" applyBorder="1" applyAlignment="1" applyProtection="1">
      <alignment horizontal="center" vertical="center"/>
      <protection locked="0"/>
    </xf>
    <xf numFmtId="2" fontId="3" fillId="12" borderId="19" xfId="0" applyNumberFormat="1" applyFont="1" applyFill="1" applyBorder="1" applyAlignment="1" applyProtection="1">
      <alignment horizontal="center" vertical="center"/>
      <protection locked="0"/>
    </xf>
    <xf numFmtId="0" fontId="3" fillId="12" borderId="38" xfId="0" applyFont="1" applyFill="1" applyBorder="1" applyAlignment="1" applyProtection="1">
      <alignment horizontal="center" vertical="center"/>
      <protection locked="0"/>
    </xf>
    <xf numFmtId="0" fontId="3" fillId="12" borderId="35" xfId="0" applyFont="1" applyFill="1" applyBorder="1" applyAlignment="1" applyProtection="1">
      <alignment horizontal="center" vertical="center"/>
      <protection locked="0"/>
    </xf>
    <xf numFmtId="167" fontId="3" fillId="12" borderId="35" xfId="0" applyNumberFormat="1" applyFont="1" applyFill="1" applyBorder="1" applyAlignment="1">
      <alignment horizontal="center" vertical="center"/>
    </xf>
    <xf numFmtId="20" fontId="3" fillId="0" borderId="13" xfId="0" applyNumberFormat="1" applyFont="1" applyBorder="1" applyAlignment="1" applyProtection="1">
      <alignment horizontal="center" vertical="center"/>
      <protection locked="0"/>
    </xf>
    <xf numFmtId="0" fontId="3" fillId="12" borderId="17" xfId="0" applyFont="1" applyFill="1" applyBorder="1" applyAlignment="1">
      <alignment horizontal="center" vertical="center"/>
    </xf>
    <xf numFmtId="2" fontId="3" fillId="12" borderId="40" xfId="0" applyNumberFormat="1" applyFont="1" applyFill="1" applyBorder="1" applyAlignment="1" applyProtection="1">
      <alignment horizontal="center" vertical="center"/>
      <protection locked="0"/>
    </xf>
    <xf numFmtId="2" fontId="3" fillId="12" borderId="41" xfId="0" applyNumberFormat="1" applyFont="1" applyFill="1" applyBorder="1" applyAlignment="1" applyProtection="1">
      <alignment horizontal="center" vertical="center"/>
      <protection locked="0"/>
    </xf>
    <xf numFmtId="2" fontId="3" fillId="12" borderId="42" xfId="0" applyNumberFormat="1" applyFont="1" applyFill="1" applyBorder="1" applyAlignment="1" applyProtection="1">
      <alignment horizontal="center" vertical="center"/>
      <protection locked="0"/>
    </xf>
    <xf numFmtId="2" fontId="3" fillId="12" borderId="1" xfId="0" applyNumberFormat="1" applyFont="1" applyFill="1" applyBorder="1" applyAlignment="1" applyProtection="1">
      <alignment horizontal="center" vertical="center"/>
      <protection locked="0"/>
    </xf>
    <xf numFmtId="2" fontId="3" fillId="12" borderId="39" xfId="0" applyNumberFormat="1" applyFont="1" applyFill="1" applyBorder="1" applyAlignment="1" applyProtection="1">
      <alignment horizontal="center" vertical="center"/>
      <protection locked="0"/>
    </xf>
    <xf numFmtId="2" fontId="3" fillId="12" borderId="43" xfId="0" applyNumberFormat="1" applyFont="1" applyFill="1" applyBorder="1" applyAlignment="1" applyProtection="1">
      <alignment horizontal="center" vertical="center"/>
      <protection locked="0"/>
    </xf>
    <xf numFmtId="2" fontId="3" fillId="12" borderId="44" xfId="0" applyNumberFormat="1" applyFont="1" applyFill="1" applyBorder="1" applyAlignment="1" applyProtection="1">
      <alignment horizontal="center" vertical="center"/>
      <protection locked="0"/>
    </xf>
    <xf numFmtId="165" fontId="3" fillId="12" borderId="35" xfId="0" applyNumberFormat="1" applyFont="1" applyFill="1" applyBorder="1" applyAlignment="1">
      <alignment horizontal="center" vertical="center"/>
    </xf>
    <xf numFmtId="20" fontId="3" fillId="0" borderId="19" xfId="0" applyNumberFormat="1" applyFont="1" applyBorder="1" applyAlignment="1" applyProtection="1">
      <alignment horizontal="center" vertical="center"/>
      <protection locked="0"/>
    </xf>
    <xf numFmtId="20" fontId="3" fillId="0" borderId="13" xfId="0" applyNumberFormat="1" applyFont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1" fontId="3" fillId="12" borderId="26" xfId="0" applyNumberFormat="1" applyFont="1" applyFill="1" applyBorder="1" applyAlignment="1">
      <alignment horizontal="center" vertical="center"/>
    </xf>
    <xf numFmtId="1" fontId="3" fillId="12" borderId="25" xfId="0" applyNumberFormat="1" applyFont="1" applyFill="1" applyBorder="1" applyAlignment="1" applyProtection="1">
      <alignment horizontal="center" vertical="center"/>
      <protection locked="0"/>
    </xf>
    <xf numFmtId="1" fontId="3" fillId="12" borderId="26" xfId="0" applyNumberFormat="1" applyFont="1" applyFill="1" applyBorder="1" applyAlignment="1" applyProtection="1">
      <alignment horizontal="center" vertical="center"/>
      <protection locked="0"/>
    </xf>
    <xf numFmtId="2" fontId="3" fillId="12" borderId="26" xfId="0" applyNumberFormat="1" applyFont="1" applyFill="1" applyBorder="1" applyAlignment="1" applyProtection="1">
      <alignment horizontal="center" vertical="center"/>
      <protection locked="0"/>
    </xf>
    <xf numFmtId="2" fontId="3" fillId="12" borderId="27" xfId="0" applyNumberFormat="1" applyFont="1" applyFill="1" applyBorder="1" applyAlignment="1" applyProtection="1">
      <alignment horizontal="center" vertical="center"/>
      <protection locked="0"/>
    </xf>
    <xf numFmtId="2" fontId="3" fillId="12" borderId="25" xfId="0" applyNumberFormat="1" applyFont="1" applyFill="1" applyBorder="1" applyAlignment="1" applyProtection="1">
      <alignment horizontal="center" vertical="center"/>
      <protection locked="0"/>
    </xf>
    <xf numFmtId="1" fontId="3" fillId="12" borderId="19" xfId="0" applyNumberFormat="1" applyFont="1" applyFill="1" applyBorder="1" applyAlignment="1" applyProtection="1">
      <alignment horizontal="center" vertical="center"/>
      <protection locked="0"/>
    </xf>
    <xf numFmtId="0" fontId="3" fillId="12" borderId="45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1" fontId="3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2" fontId="3" fillId="12" borderId="0" xfId="0" applyNumberFormat="1" applyFont="1" applyFill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0" fontId="5" fillId="0" borderId="12" xfId="1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164" fontId="5" fillId="0" borderId="17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3" fillId="0" borderId="13" xfId="0" applyNumberFormat="1" applyFont="1" applyBorder="1" applyAlignment="1" applyProtection="1">
      <alignment horizontal="center" vertical="center"/>
      <protection locked="0"/>
    </xf>
    <xf numFmtId="1" fontId="3" fillId="0" borderId="17" xfId="0" applyNumberFormat="1" applyFont="1" applyBorder="1" applyAlignment="1" applyProtection="1">
      <alignment horizontal="center" vertical="center"/>
      <protection locked="0"/>
    </xf>
    <xf numFmtId="1" fontId="3" fillId="0" borderId="18" xfId="0" applyNumberFormat="1" applyFont="1" applyBorder="1" applyAlignment="1" applyProtection="1">
      <alignment horizontal="center" vertical="center"/>
      <protection locked="0"/>
    </xf>
    <xf numFmtId="1" fontId="3" fillId="0" borderId="19" xfId="0" applyNumberFormat="1" applyFont="1" applyBorder="1" applyAlignment="1" applyProtection="1">
      <alignment horizontal="center" vertical="center"/>
      <protection locked="0"/>
    </xf>
    <xf numFmtId="1" fontId="3" fillId="0" borderId="35" xfId="0" applyNumberFormat="1" applyFont="1" applyBorder="1" applyAlignment="1" applyProtection="1">
      <alignment horizontal="center" vertical="center"/>
      <protection locked="0"/>
    </xf>
    <xf numFmtId="0" fontId="2" fillId="14" borderId="13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vertical="center" wrapText="1"/>
    </xf>
    <xf numFmtId="169" fontId="0" fillId="0" borderId="13" xfId="0" applyNumberFormat="1" applyBorder="1"/>
    <xf numFmtId="0" fontId="0" fillId="0" borderId="13" xfId="0" applyBorder="1"/>
    <xf numFmtId="0" fontId="0" fillId="2" borderId="13" xfId="0" applyFill="1" applyBorder="1"/>
    <xf numFmtId="20" fontId="0" fillId="2" borderId="13" xfId="0" applyNumberFormat="1" applyFill="1" applyBorder="1" applyAlignment="1">
      <alignment horizontal="center"/>
    </xf>
    <xf numFmtId="20" fontId="0" fillId="0" borderId="13" xfId="0" applyNumberFormat="1" applyBorder="1"/>
    <xf numFmtId="166" fontId="0" fillId="2" borderId="13" xfId="0" applyNumberFormat="1" applyFill="1" applyBorder="1"/>
    <xf numFmtId="1" fontId="0" fillId="2" borderId="13" xfId="0" applyNumberFormat="1" applyFill="1" applyBorder="1"/>
    <xf numFmtId="0" fontId="0" fillId="0" borderId="13" xfId="0" applyBorder="1" applyAlignment="1">
      <alignment wrapText="1"/>
    </xf>
    <xf numFmtId="1" fontId="9" fillId="0" borderId="13" xfId="0" applyNumberFormat="1" applyFont="1" applyBorder="1" applyAlignment="1">
      <alignment horizontal="center" vertical="center"/>
    </xf>
    <xf numFmtId="164" fontId="4" fillId="0" borderId="45" xfId="0" applyNumberFormat="1" applyFont="1" applyBorder="1" applyAlignment="1">
      <alignment horizontal="center" vertical="center" wrapText="1"/>
    </xf>
    <xf numFmtId="164" fontId="4" fillId="0" borderId="29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7" fontId="4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  <protection locked="0"/>
    </xf>
    <xf numFmtId="0" fontId="3" fillId="10" borderId="13" xfId="0" applyFont="1" applyFill="1" applyBorder="1" applyAlignment="1" applyProtection="1">
      <alignment horizontal="center" vertical="center"/>
      <protection locked="0"/>
    </xf>
    <xf numFmtId="9" fontId="3" fillId="0" borderId="13" xfId="0" applyNumberFormat="1" applyFont="1" applyBorder="1" applyAlignment="1">
      <alignment horizontal="center" vertical="center"/>
    </xf>
    <xf numFmtId="10" fontId="3" fillId="0" borderId="13" xfId="1" applyNumberFormat="1" applyFont="1" applyFill="1" applyBorder="1" applyAlignment="1">
      <alignment horizontal="center" vertical="center"/>
    </xf>
    <xf numFmtId="2" fontId="14" fillId="0" borderId="13" xfId="0" applyNumberFormat="1" applyFont="1" applyBorder="1" applyAlignment="1" applyProtection="1">
      <alignment horizontal="center" vertical="center"/>
      <protection locked="0"/>
    </xf>
    <xf numFmtId="0" fontId="3" fillId="10" borderId="45" xfId="0" applyFont="1" applyFill="1" applyBorder="1" applyAlignment="1" applyProtection="1">
      <alignment horizontal="center" vertical="center"/>
      <protection locked="0"/>
    </xf>
    <xf numFmtId="9" fontId="3" fillId="12" borderId="13" xfId="0" applyNumberFormat="1" applyFont="1" applyFill="1" applyBorder="1" applyAlignment="1">
      <alignment horizontal="center" vertical="center"/>
    </xf>
    <xf numFmtId="10" fontId="3" fillId="12" borderId="13" xfId="1" applyNumberFormat="1" applyFont="1" applyFill="1" applyBorder="1" applyAlignment="1">
      <alignment horizontal="center" vertical="center"/>
    </xf>
    <xf numFmtId="1" fontId="3" fillId="12" borderId="35" xfId="0" applyNumberFormat="1" applyFont="1" applyFill="1" applyBorder="1" applyAlignment="1" applyProtection="1">
      <alignment horizontal="center" vertical="center"/>
      <protection locked="0"/>
    </xf>
    <xf numFmtId="2" fontId="14" fillId="12" borderId="13" xfId="0" applyNumberFormat="1" applyFont="1" applyFill="1" applyBorder="1" applyAlignment="1" applyProtection="1">
      <alignment horizontal="center" vertical="center"/>
      <protection locked="0"/>
    </xf>
    <xf numFmtId="166" fontId="3" fillId="0" borderId="13" xfId="0" applyNumberFormat="1" applyFont="1" applyBorder="1" applyAlignment="1" applyProtection="1">
      <alignment horizontal="center" vertical="center"/>
      <protection locked="0"/>
    </xf>
    <xf numFmtId="166" fontId="3" fillId="0" borderId="13" xfId="0" applyNumberFormat="1" applyFont="1" applyBorder="1" applyAlignment="1">
      <alignment horizontal="center" vertical="center"/>
    </xf>
    <xf numFmtId="166" fontId="3" fillId="0" borderId="13" xfId="1" applyNumberFormat="1" applyFont="1" applyFill="1" applyBorder="1" applyAlignment="1">
      <alignment horizontal="center" vertical="center"/>
    </xf>
    <xf numFmtId="166" fontId="3" fillId="0" borderId="35" xfId="0" applyNumberFormat="1" applyFont="1" applyBorder="1" applyAlignment="1" applyProtection="1">
      <alignment horizontal="center" vertical="center"/>
      <protection locked="0"/>
    </xf>
    <xf numFmtId="166" fontId="14" fillId="0" borderId="13" xfId="0" applyNumberFormat="1" applyFont="1" applyBorder="1" applyAlignment="1" applyProtection="1">
      <alignment horizontal="center" vertical="center"/>
      <protection locked="0"/>
    </xf>
    <xf numFmtId="167" fontId="4" fillId="13" borderId="13" xfId="0" applyNumberFormat="1" applyFont="1" applyFill="1" applyBorder="1" applyAlignment="1">
      <alignment horizontal="center" vertical="center" wrapText="1"/>
    </xf>
    <xf numFmtId="167" fontId="4" fillId="0" borderId="45" xfId="0" applyNumberFormat="1" applyFont="1" applyBorder="1" applyAlignment="1">
      <alignment horizontal="center" vertical="center" wrapText="1"/>
    </xf>
    <xf numFmtId="2" fontId="3" fillId="12" borderId="13" xfId="0" applyNumberFormat="1" applyFont="1" applyFill="1" applyBorder="1" applyAlignment="1">
      <alignment horizontal="center" vertical="center"/>
    </xf>
    <xf numFmtId="2" fontId="3" fillId="12" borderId="13" xfId="1" applyNumberFormat="1" applyFont="1" applyFill="1" applyBorder="1" applyAlignment="1">
      <alignment horizontal="center" vertical="center"/>
    </xf>
    <xf numFmtId="2" fontId="3" fillId="12" borderId="45" xfId="0" applyNumberFormat="1" applyFont="1" applyFill="1" applyBorder="1" applyAlignment="1">
      <alignment horizontal="center" vertical="center"/>
    </xf>
    <xf numFmtId="1" fontId="3" fillId="12" borderId="1" xfId="0" applyNumberFormat="1" applyFont="1" applyFill="1" applyBorder="1" applyAlignment="1" applyProtection="1">
      <alignment horizontal="center" vertical="center"/>
      <protection locked="0"/>
    </xf>
    <xf numFmtId="2" fontId="14" fillId="12" borderId="40" xfId="0" applyNumberFormat="1" applyFont="1" applyFill="1" applyBorder="1" applyAlignment="1" applyProtection="1">
      <alignment horizontal="center" vertical="center"/>
      <protection locked="0"/>
    </xf>
    <xf numFmtId="1" fontId="3" fillId="12" borderId="45" xfId="0" applyNumberFormat="1" applyFont="1" applyFill="1" applyBorder="1" applyAlignment="1">
      <alignment horizontal="center" vertical="center"/>
    </xf>
    <xf numFmtId="2" fontId="3" fillId="12" borderId="45" xfId="0" applyNumberFormat="1" applyFont="1" applyFill="1" applyBorder="1" applyAlignment="1" applyProtection="1">
      <alignment horizontal="center" vertical="center"/>
      <protection locked="0"/>
    </xf>
    <xf numFmtId="1" fontId="3" fillId="12" borderId="45" xfId="0" applyNumberFormat="1" applyFont="1" applyFill="1" applyBorder="1" applyAlignment="1" applyProtection="1">
      <alignment horizontal="center" vertical="center"/>
      <protection locked="0"/>
    </xf>
    <xf numFmtId="0" fontId="3" fillId="10" borderId="45" xfId="0" applyFont="1" applyFill="1" applyBorder="1" applyAlignment="1">
      <alignment horizontal="center" vertical="center"/>
    </xf>
    <xf numFmtId="9" fontId="3" fillId="12" borderId="45" xfId="0" applyNumberFormat="1" applyFont="1" applyFill="1" applyBorder="1" applyAlignment="1">
      <alignment horizontal="center" vertical="center"/>
    </xf>
    <xf numFmtId="9" fontId="3" fillId="12" borderId="0" xfId="0" applyNumberFormat="1" applyFont="1" applyFill="1" applyAlignment="1">
      <alignment horizontal="center" vertical="center"/>
    </xf>
    <xf numFmtId="10" fontId="3" fillId="12" borderId="0" xfId="1" applyNumberFormat="1" applyFont="1" applyFill="1" applyBorder="1" applyAlignment="1">
      <alignment horizontal="center" vertical="center"/>
    </xf>
    <xf numFmtId="2" fontId="14" fillId="12" borderId="0" xfId="0" applyNumberFormat="1" applyFont="1" applyFill="1" applyAlignment="1">
      <alignment horizontal="center" vertical="center"/>
    </xf>
    <xf numFmtId="9" fontId="3" fillId="0" borderId="40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64" fontId="5" fillId="0" borderId="13" xfId="0" applyNumberFormat="1" applyFont="1" applyBorder="1" applyAlignment="1">
      <alignment vertical="center"/>
    </xf>
    <xf numFmtId="167" fontId="3" fillId="0" borderId="13" xfId="0" applyNumberFormat="1" applyFont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 applyProtection="1">
      <alignment horizontal="left" vertical="center"/>
      <protection locked="0"/>
    </xf>
    <xf numFmtId="0" fontId="2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2" fillId="15" borderId="13" xfId="0" applyNumberFormat="1" applyFont="1" applyFill="1" applyBorder="1" applyAlignment="1">
      <alignment horizontal="center" vertical="center" wrapText="1"/>
    </xf>
    <xf numFmtId="170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16" borderId="13" xfId="0" applyFill="1" applyBorder="1" applyAlignment="1">
      <alignment horizontal="center"/>
    </xf>
    <xf numFmtId="15" fontId="0" fillId="16" borderId="13" xfId="0" applyNumberFormat="1" applyFill="1" applyBorder="1" applyAlignment="1">
      <alignment horizontal="center"/>
    </xf>
    <xf numFmtId="3" fontId="0" fillId="16" borderId="13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3" fontId="15" fillId="17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10" borderId="12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8" fontId="3" fillId="12" borderId="13" xfId="1" applyNumberFormat="1" applyFont="1" applyFill="1" applyBorder="1" applyAlignment="1">
      <alignment horizontal="center" vertical="center"/>
    </xf>
    <xf numFmtId="171" fontId="3" fillId="0" borderId="13" xfId="1" applyNumberFormat="1" applyFont="1" applyFill="1" applyBorder="1" applyAlignment="1">
      <alignment horizontal="center" vertical="center"/>
    </xf>
    <xf numFmtId="44" fontId="3" fillId="0" borderId="13" xfId="2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textRotation="90"/>
    </xf>
    <xf numFmtId="0" fontId="2" fillId="3" borderId="25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11" borderId="0" xfId="0" quotePrefix="1" applyFont="1" applyFill="1" applyAlignment="1">
      <alignment horizontal="center" vertical="center" wrapText="1"/>
    </xf>
    <xf numFmtId="0" fontId="4" fillId="11" borderId="34" xfId="0" quotePrefix="1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textRotation="90"/>
    </xf>
    <xf numFmtId="0" fontId="2" fillId="4" borderId="25" xfId="0" applyFont="1" applyFill="1" applyBorder="1" applyAlignment="1">
      <alignment horizontal="center" vertical="center" textRotation="90"/>
    </xf>
    <xf numFmtId="0" fontId="2" fillId="4" borderId="26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15" borderId="35" xfId="0" applyFont="1" applyFill="1" applyBorder="1" applyAlignment="1">
      <alignment horizontal="center" vertical="center" wrapText="1"/>
    </xf>
    <xf numFmtId="0" fontId="2" fillId="15" borderId="19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10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8039-483A-44CE-85C0-4808ACD9D7B4}">
  <dimension ref="A1:BA71"/>
  <sheetViews>
    <sheetView showGridLines="0" workbookViewId="0">
      <pane ySplit="5" topLeftCell="A29" activePane="bottomLeft" state="frozen"/>
      <selection pane="bottomLeft" activeCell="K39" sqref="K39"/>
    </sheetView>
  </sheetViews>
  <sheetFormatPr defaultColWidth="9" defaultRowHeight="12.75" x14ac:dyDescent="0.25"/>
  <cols>
    <col min="1" max="1" width="0.28515625" style="1" customWidth="1"/>
    <col min="2" max="6" width="9" style="1"/>
    <col min="7" max="7" width="9.7109375" style="1" customWidth="1"/>
    <col min="8" max="8" width="9" style="1"/>
    <col min="9" max="9" width="7.42578125" style="1" customWidth="1"/>
    <col min="10" max="10" width="12.42578125" style="1" customWidth="1"/>
    <col min="11" max="11" width="9" style="1" customWidth="1"/>
    <col min="12" max="12" width="9.28515625" style="233" bestFit="1" customWidth="1"/>
    <col min="13" max="13" width="9" style="233"/>
    <col min="14" max="14" width="0" style="1" hidden="1" customWidth="1"/>
    <col min="15" max="15" width="9" style="1"/>
    <col min="16" max="16" width="11" style="1" customWidth="1"/>
    <col min="17" max="17" width="0" style="1" hidden="1" customWidth="1"/>
    <col min="18" max="18" width="8.7109375" style="1" customWidth="1"/>
    <col min="19" max="19" width="9" style="1"/>
    <col min="20" max="20" width="11.42578125" style="1" customWidth="1"/>
    <col min="21" max="21" width="11.42578125" style="1" hidden="1" customWidth="1"/>
    <col min="22" max="22" width="8.42578125" style="1" customWidth="1"/>
    <col min="23" max="23" width="9" style="1"/>
    <col min="24" max="24" width="0" style="1" hidden="1" customWidth="1"/>
    <col min="25" max="25" width="11.5703125" style="1" customWidth="1"/>
    <col min="26" max="26" width="11.28515625" style="1" customWidth="1"/>
    <col min="27" max="27" width="9.140625" style="1" bestFit="1" customWidth="1"/>
    <col min="28" max="28" width="12.5703125" style="1" customWidth="1"/>
    <col min="29" max="29" width="13.7109375" style="1" customWidth="1"/>
    <col min="30" max="30" width="11.7109375" style="1" customWidth="1"/>
    <col min="31" max="31" width="11.140625" style="1" customWidth="1"/>
    <col min="32" max="32" width="11.28515625" style="1" customWidth="1"/>
    <col min="33" max="34" width="13.7109375" style="1" customWidth="1"/>
    <col min="35" max="35" width="10.5703125" style="232" customWidth="1"/>
    <col min="36" max="37" width="10.5703125" style="1" customWidth="1"/>
    <col min="38" max="39" width="10.5703125" style="1" hidden="1" customWidth="1"/>
    <col min="40" max="41" width="9" style="1"/>
    <col min="42" max="42" width="3.5703125" style="1" bestFit="1" customWidth="1"/>
    <col min="43" max="43" width="6.140625" style="1" hidden="1" customWidth="1"/>
    <col min="44" max="46" width="2.140625" style="1" hidden="1" customWidth="1"/>
    <col min="47" max="48" width="6" style="1" hidden="1" customWidth="1"/>
    <col min="49" max="49" width="9.42578125" style="1" hidden="1" customWidth="1"/>
    <col min="50" max="50" width="6" style="1" hidden="1" customWidth="1"/>
    <col min="51" max="51" width="20.28515625" style="1" bestFit="1" customWidth="1"/>
    <col min="52" max="52" width="12.42578125" style="1" customWidth="1"/>
    <col min="53" max="53" width="89.7109375" style="1" customWidth="1"/>
    <col min="54" max="16384" width="9" style="1"/>
  </cols>
  <sheetData>
    <row r="1" spans="1:53" ht="13.9" customHeight="1" thickBot="1" x14ac:dyDescent="0.3">
      <c r="B1" s="195">
        <v>45133</v>
      </c>
      <c r="C1" s="259" t="s">
        <v>127</v>
      </c>
      <c r="D1" s="260"/>
      <c r="E1" s="260"/>
      <c r="F1" s="261"/>
      <c r="G1" s="262" t="s">
        <v>1</v>
      </c>
      <c r="H1" s="263"/>
      <c r="I1" s="263"/>
      <c r="J1" s="263"/>
      <c r="K1" s="263"/>
      <c r="L1" s="263"/>
      <c r="M1" s="263"/>
      <c r="N1" s="263"/>
      <c r="O1" s="263"/>
      <c r="P1" s="264"/>
      <c r="Q1" s="265" t="s">
        <v>2</v>
      </c>
      <c r="R1" s="266"/>
      <c r="S1" s="266"/>
      <c r="T1" s="266"/>
      <c r="U1" s="266"/>
      <c r="V1" s="266"/>
      <c r="W1" s="266"/>
      <c r="X1" s="266"/>
      <c r="Y1" s="266"/>
      <c r="Z1" s="267"/>
      <c r="AA1" s="268" t="s">
        <v>3</v>
      </c>
      <c r="AB1" s="269"/>
      <c r="AC1" s="270"/>
      <c r="AD1" s="271" t="s">
        <v>4</v>
      </c>
      <c r="AE1" s="272"/>
      <c r="AF1" s="284" t="s">
        <v>5</v>
      </c>
      <c r="AG1" s="285"/>
      <c r="AH1" s="285"/>
      <c r="AI1" s="286"/>
      <c r="AJ1" s="273" t="s">
        <v>6</v>
      </c>
      <c r="AK1" s="274"/>
      <c r="AL1" s="275" t="s">
        <v>7</v>
      </c>
      <c r="AM1" s="276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8</v>
      </c>
      <c r="AZ1" s="5">
        <f ca="1">NOW()</f>
        <v>45148.321596759262</v>
      </c>
      <c r="BA1" s="6" t="s">
        <v>117</v>
      </c>
    </row>
    <row r="2" spans="1:53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7" t="s">
        <v>16</v>
      </c>
      <c r="H2" s="279" t="s">
        <v>17</v>
      </c>
      <c r="I2" s="279"/>
      <c r="J2" s="280" t="s">
        <v>18</v>
      </c>
      <c r="K2" s="279" t="s">
        <v>81</v>
      </c>
      <c r="L2" s="280" t="s">
        <v>19</v>
      </c>
      <c r="M2" s="280" t="s">
        <v>20</v>
      </c>
      <c r="N2" s="280" t="s">
        <v>21</v>
      </c>
      <c r="O2" s="279" t="s">
        <v>22</v>
      </c>
      <c r="P2" s="283"/>
      <c r="Q2" s="296" t="s">
        <v>16</v>
      </c>
      <c r="R2" s="289" t="s">
        <v>17</v>
      </c>
      <c r="S2" s="289"/>
      <c r="T2" s="287" t="s">
        <v>18</v>
      </c>
      <c r="U2" s="289" t="s">
        <v>81</v>
      </c>
      <c r="V2" s="287" t="s">
        <v>19</v>
      </c>
      <c r="W2" s="287" t="s">
        <v>20</v>
      </c>
      <c r="X2" s="287" t="s">
        <v>21</v>
      </c>
      <c r="Y2" s="289" t="s">
        <v>22</v>
      </c>
      <c r="Z2" s="290"/>
      <c r="AA2" s="15" t="s">
        <v>23</v>
      </c>
      <c r="AB2" s="16" t="s">
        <v>24</v>
      </c>
      <c r="AC2" s="17" t="s">
        <v>25</v>
      </c>
      <c r="AD2" s="18" t="s">
        <v>26</v>
      </c>
      <c r="AE2" s="18" t="s">
        <v>27</v>
      </c>
      <c r="AF2" s="19" t="s">
        <v>28</v>
      </c>
      <c r="AG2" s="20" t="s">
        <v>29</v>
      </c>
      <c r="AH2" s="20" t="s">
        <v>30</v>
      </c>
      <c r="AI2" s="21" t="s">
        <v>30</v>
      </c>
      <c r="AJ2" s="22" t="s">
        <v>31</v>
      </c>
      <c r="AK2" s="23" t="s">
        <v>32</v>
      </c>
      <c r="AL2" s="24" t="s">
        <v>33</v>
      </c>
      <c r="AM2" s="25" t="s">
        <v>34</v>
      </c>
      <c r="AN2" s="4" t="s">
        <v>35</v>
      </c>
      <c r="AO2" s="4" t="s">
        <v>36</v>
      </c>
      <c r="AP2" s="4"/>
      <c r="AQ2" s="4"/>
      <c r="AR2" s="4"/>
      <c r="AS2" s="4"/>
      <c r="AT2" s="4"/>
      <c r="AU2" s="4"/>
      <c r="AV2" s="4"/>
      <c r="AW2" s="4"/>
      <c r="AX2" s="4"/>
      <c r="AY2" s="4" t="s">
        <v>37</v>
      </c>
      <c r="AZ2" s="4" t="s">
        <v>38</v>
      </c>
      <c r="BA2" s="26" t="s">
        <v>39</v>
      </c>
    </row>
    <row r="3" spans="1:53" ht="26.25" thickBot="1" x14ac:dyDescent="0.3">
      <c r="B3" s="197" t="s">
        <v>44</v>
      </c>
      <c r="C3" s="32"/>
      <c r="D3" s="32"/>
      <c r="E3" s="32">
        <v>1021</v>
      </c>
      <c r="F3" s="32"/>
      <c r="G3" s="278"/>
      <c r="H3" s="34" t="s">
        <v>45</v>
      </c>
      <c r="I3" s="34" t="s">
        <v>46</v>
      </c>
      <c r="J3" s="281"/>
      <c r="K3" s="282"/>
      <c r="L3" s="281"/>
      <c r="M3" s="281"/>
      <c r="N3" s="281"/>
      <c r="O3" s="34" t="s">
        <v>47</v>
      </c>
      <c r="P3" s="35" t="s">
        <v>48</v>
      </c>
      <c r="Q3" s="297"/>
      <c r="R3" s="36" t="s">
        <v>45</v>
      </c>
      <c r="S3" s="36" t="s">
        <v>46</v>
      </c>
      <c r="T3" s="288"/>
      <c r="U3" s="298"/>
      <c r="V3" s="288"/>
      <c r="W3" s="288"/>
      <c r="X3" s="288"/>
      <c r="Y3" s="36" t="s">
        <v>47</v>
      </c>
      <c r="Z3" s="37" t="s">
        <v>48</v>
      </c>
      <c r="AA3" s="38"/>
      <c r="AB3" s="39"/>
      <c r="AC3" s="17"/>
      <c r="AD3" s="40" t="s">
        <v>49</v>
      </c>
      <c r="AE3" s="41" t="s">
        <v>50</v>
      </c>
      <c r="AF3" s="42" t="s">
        <v>49</v>
      </c>
      <c r="AG3" s="43" t="s">
        <v>50</v>
      </c>
      <c r="AH3" s="43" t="s">
        <v>49</v>
      </c>
      <c r="AI3" s="44" t="s">
        <v>50</v>
      </c>
      <c r="AJ3" s="45" t="s">
        <v>51</v>
      </c>
      <c r="AK3" s="46" t="s">
        <v>51</v>
      </c>
      <c r="AL3" s="47"/>
      <c r="AM3" s="48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9"/>
    </row>
    <row r="4" spans="1:53" ht="14.45" customHeight="1" x14ac:dyDescent="0.25">
      <c r="B4" s="197" t="s">
        <v>52</v>
      </c>
      <c r="C4" s="32"/>
      <c r="D4" s="32"/>
      <c r="E4" s="32">
        <v>200</v>
      </c>
      <c r="F4" s="32"/>
      <c r="G4" s="51"/>
      <c r="H4" s="52"/>
      <c r="I4" s="53"/>
      <c r="J4" s="53"/>
      <c r="K4" s="53"/>
      <c r="L4" s="52"/>
      <c r="M4" s="54"/>
      <c r="N4" s="55"/>
      <c r="O4" s="55"/>
      <c r="P4" s="56"/>
      <c r="Q4" s="57"/>
      <c r="R4" s="58"/>
      <c r="S4" s="59"/>
      <c r="T4" s="59"/>
      <c r="U4" s="59"/>
      <c r="V4" s="58"/>
      <c r="W4" s="60"/>
      <c r="X4" s="61"/>
      <c r="Y4" s="61"/>
      <c r="Z4" s="62"/>
      <c r="AA4" s="63"/>
      <c r="AB4" s="64"/>
      <c r="AC4" s="65"/>
      <c r="AD4" s="40"/>
      <c r="AE4" s="41"/>
      <c r="AF4" s="42"/>
      <c r="AG4" s="43"/>
      <c r="AH4" s="43"/>
      <c r="AI4" s="44"/>
      <c r="AJ4" s="45"/>
      <c r="AK4" s="46"/>
      <c r="AL4" s="47"/>
      <c r="AM4" s="48"/>
      <c r="AN4" s="4"/>
      <c r="AO4" s="4"/>
      <c r="AP4" s="4">
        <v>0</v>
      </c>
      <c r="AQ4" s="4"/>
      <c r="AR4" s="4"/>
      <c r="AS4" s="4"/>
      <c r="AT4" s="4"/>
      <c r="AU4" s="4"/>
      <c r="AV4" s="4"/>
      <c r="AW4" s="4"/>
      <c r="AX4" s="4"/>
      <c r="AY4" s="66" t="s">
        <v>53</v>
      </c>
      <c r="AZ4" s="4"/>
      <c r="BA4" s="49"/>
    </row>
    <row r="5" spans="1:53" ht="14.45" customHeight="1" thickBot="1" x14ac:dyDescent="0.3">
      <c r="B5" s="197" t="s">
        <v>54</v>
      </c>
      <c r="C5" s="32"/>
      <c r="D5" s="32"/>
      <c r="E5" s="32">
        <v>160</v>
      </c>
      <c r="F5" s="32"/>
      <c r="G5" s="51"/>
      <c r="H5" s="52"/>
      <c r="I5" s="53"/>
      <c r="J5" s="53"/>
      <c r="K5" s="53"/>
      <c r="L5" s="52"/>
      <c r="M5" s="54"/>
      <c r="N5" s="55"/>
      <c r="O5" s="55"/>
      <c r="P5" s="56"/>
      <c r="Q5" s="57"/>
      <c r="R5" s="58"/>
      <c r="S5" s="59"/>
      <c r="T5" s="59"/>
      <c r="U5" s="59"/>
      <c r="V5" s="58"/>
      <c r="W5" s="60"/>
      <c r="X5" s="61"/>
      <c r="Y5" s="61"/>
      <c r="Z5" s="62"/>
      <c r="AA5" s="67"/>
      <c r="AB5" s="68"/>
      <c r="AC5" s="69"/>
      <c r="AD5" s="40"/>
      <c r="AE5" s="41"/>
      <c r="AF5" s="70"/>
      <c r="AG5" s="71"/>
      <c r="AH5" s="71"/>
      <c r="AI5" s="72"/>
      <c r="AJ5" s="73"/>
      <c r="AK5" s="74"/>
      <c r="AL5" s="75"/>
      <c r="AM5" s="76"/>
      <c r="AN5" s="4"/>
      <c r="AO5" s="4"/>
      <c r="AP5" s="4">
        <v>1</v>
      </c>
      <c r="AQ5" s="4"/>
      <c r="AR5" s="4"/>
      <c r="AS5" s="4"/>
      <c r="AT5" s="4"/>
      <c r="AU5" s="4"/>
      <c r="AV5" s="4"/>
      <c r="AW5" s="4"/>
      <c r="AX5" s="4"/>
      <c r="AY5" s="291" t="s">
        <v>55</v>
      </c>
      <c r="AZ5" s="292"/>
      <c r="BA5" s="49"/>
    </row>
    <row r="6" spans="1:53" ht="19.5" customHeight="1" x14ac:dyDescent="0.25">
      <c r="B6" s="198" t="s">
        <v>129</v>
      </c>
      <c r="C6" s="199" t="s">
        <v>130</v>
      </c>
      <c r="D6" s="79">
        <v>67623</v>
      </c>
      <c r="E6" s="80"/>
      <c r="F6" s="200">
        <v>200</v>
      </c>
      <c r="G6" s="85"/>
      <c r="H6" s="79"/>
      <c r="I6" s="201"/>
      <c r="J6" s="85"/>
      <c r="K6" s="111"/>
      <c r="L6" s="202"/>
      <c r="M6" s="202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6"/>
      <c r="AA6" s="86"/>
      <c r="AB6" s="86"/>
      <c r="AC6" s="86"/>
      <c r="AD6" s="85"/>
      <c r="AE6" s="85"/>
      <c r="AF6" s="85"/>
      <c r="AG6" s="86"/>
      <c r="AH6" s="86"/>
      <c r="AI6" s="203"/>
      <c r="AJ6" s="85"/>
      <c r="AK6" s="85"/>
      <c r="AL6" s="85"/>
      <c r="AM6" s="85"/>
      <c r="AN6" s="4"/>
      <c r="AO6" s="4"/>
      <c r="AP6" s="4">
        <v>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9"/>
    </row>
    <row r="7" spans="1:53" ht="15" customHeight="1" x14ac:dyDescent="0.25">
      <c r="A7" s="96">
        <f>B7+$B$1-1</f>
        <v>45132.958333333336</v>
      </c>
      <c r="B7" s="198">
        <v>0.95833333333333304</v>
      </c>
      <c r="C7" s="199" t="s">
        <v>130</v>
      </c>
      <c r="D7" s="79">
        <v>67623</v>
      </c>
      <c r="E7" s="80">
        <f t="shared" ref="E7:E14" si="0">IF(D7&gt;0,D7-D6,"")</f>
        <v>0</v>
      </c>
      <c r="F7" s="200">
        <f>F6</f>
        <v>200</v>
      </c>
      <c r="G7" s="85"/>
      <c r="H7" s="79"/>
      <c r="I7" s="79"/>
      <c r="J7" s="79"/>
      <c r="K7" s="111"/>
      <c r="L7" s="202"/>
      <c r="M7" s="202"/>
      <c r="N7" s="85"/>
      <c r="O7" s="85"/>
      <c r="P7" s="85"/>
      <c r="Q7" s="79"/>
      <c r="R7" s="79"/>
      <c r="S7" s="79"/>
      <c r="T7" s="79"/>
      <c r="U7" s="79"/>
      <c r="V7" s="79"/>
      <c r="W7" s="79"/>
      <c r="X7" s="85"/>
      <c r="Y7" s="85"/>
      <c r="Z7" s="86"/>
      <c r="AA7" s="86"/>
      <c r="AB7" s="86"/>
      <c r="AC7" s="86"/>
      <c r="AD7" s="85"/>
      <c r="AE7" s="85"/>
      <c r="AF7" s="85"/>
      <c r="AG7" s="86"/>
      <c r="AH7" s="86"/>
      <c r="AI7" s="203"/>
      <c r="AJ7" s="79"/>
      <c r="AK7" s="115"/>
      <c r="AL7" s="115"/>
      <c r="AM7" s="115"/>
      <c r="AN7" s="101">
        <v>0.91667824074074078</v>
      </c>
      <c r="AO7" s="101"/>
      <c r="AP7" s="102">
        <f t="shared" ref="AP7:AP13" si="1">AT7</f>
        <v>0</v>
      </c>
      <c r="AQ7" s="103">
        <f>IF(AN7&lt;&gt;"",AN7+$B$1-1,B7+$B$1-1/24)</f>
        <v>45132.916678240741</v>
      </c>
      <c r="AR7" s="102">
        <f>AP6</f>
        <v>1</v>
      </c>
      <c r="AS7" s="102">
        <f t="shared" ref="AS7:AS14" si="2">IF(AN7="",AR7,0)</f>
        <v>0</v>
      </c>
      <c r="AT7" s="102">
        <f t="shared" ref="AT7:AT14" si="3">IF(AO7&lt;&gt;"",1,AS7)</f>
        <v>0</v>
      </c>
      <c r="AU7" s="103">
        <f>IF(AO7&lt;&gt;"",AO7+$B$1-1,B7+$B$1-1)</f>
        <v>45132.958333333336</v>
      </c>
      <c r="AV7" s="103">
        <f t="shared" ref="AV7:AV14" si="4">AQ7-A7+1/24</f>
        <v>1.1574071929011664E-5</v>
      </c>
      <c r="AW7" s="103">
        <f>AU7-AQ7</f>
        <v>4.1655092594737653E-2</v>
      </c>
      <c r="AX7" s="103">
        <f t="shared" ref="AX7:AX14" si="5">A7-AU7</f>
        <v>0</v>
      </c>
      <c r="AY7" s="103">
        <f t="shared" ref="AY7:AY14" ca="1" si="6">IF(A7&lt;$AZ$1,SUMPRODUCT(AR7:AT7,AV7:AX7),0)</f>
        <v>1.1574071929011664E-5</v>
      </c>
      <c r="AZ7" s="104">
        <f t="shared" ref="AZ7:AZ14" ca="1" si="7">IF(A7&lt;$AZ$1,1/24-AY7,0)</f>
        <v>4.1655092594737653E-2</v>
      </c>
      <c r="BA7" s="239" t="s">
        <v>138</v>
      </c>
    </row>
    <row r="8" spans="1:53" x14ac:dyDescent="0.25">
      <c r="A8" s="96">
        <f t="shared" ref="A8:A23" si="8">B8+$B$1</f>
        <v>45133</v>
      </c>
      <c r="B8" s="198">
        <v>0</v>
      </c>
      <c r="C8" s="199" t="s">
        <v>130</v>
      </c>
      <c r="D8" s="79">
        <v>67623</v>
      </c>
      <c r="E8" s="80">
        <f t="shared" si="0"/>
        <v>0</v>
      </c>
      <c r="F8" s="200">
        <f t="shared" ref="F8:F33" si="9">F7</f>
        <v>200</v>
      </c>
      <c r="G8" s="85"/>
      <c r="H8" s="79"/>
      <c r="I8" s="79"/>
      <c r="J8" s="79"/>
      <c r="K8" s="111"/>
      <c r="L8" s="202"/>
      <c r="M8" s="202"/>
      <c r="N8" s="85"/>
      <c r="O8" s="85"/>
      <c r="P8" s="85"/>
      <c r="Q8" s="79"/>
      <c r="R8" s="79"/>
      <c r="S8" s="79"/>
      <c r="T8" s="79"/>
      <c r="U8" s="79"/>
      <c r="V8" s="79"/>
      <c r="W8" s="79"/>
      <c r="X8" s="85"/>
      <c r="Y8" s="85"/>
      <c r="Z8" s="86"/>
      <c r="AA8" s="86"/>
      <c r="AB8" s="86"/>
      <c r="AC8" s="86"/>
      <c r="AD8" s="85"/>
      <c r="AE8" s="85"/>
      <c r="AF8" s="85"/>
      <c r="AG8" s="86"/>
      <c r="AH8" s="86"/>
      <c r="AI8" s="203"/>
      <c r="AJ8" s="115"/>
      <c r="AK8" s="115"/>
      <c r="AL8" s="115"/>
      <c r="AM8" s="115"/>
      <c r="AN8" s="101"/>
      <c r="AO8" s="101"/>
      <c r="AP8" s="102">
        <f t="shared" si="1"/>
        <v>0</v>
      </c>
      <c r="AQ8" s="103">
        <f>IF(AN8&lt;&gt;"",AN8+$B$1-1,B8+$B$1-1/24)</f>
        <v>45132.958333333336</v>
      </c>
      <c r="AR8" s="102">
        <f t="shared" ref="AR8:AR14" si="10">AP7</f>
        <v>0</v>
      </c>
      <c r="AS8" s="102">
        <f t="shared" si="2"/>
        <v>0</v>
      </c>
      <c r="AT8" s="102">
        <f t="shared" si="3"/>
        <v>0</v>
      </c>
      <c r="AU8" s="103">
        <f>IF(AO8&lt;&gt;"",AO8+$B$1-1,B8+$B$1)</f>
        <v>45133</v>
      </c>
      <c r="AV8" s="103">
        <f t="shared" si="4"/>
        <v>2.425316891763174E-12</v>
      </c>
      <c r="AW8" s="103">
        <f t="shared" ref="AW8:AW14" si="11">AU8-AQ8</f>
        <v>4.1666666664241347E-2</v>
      </c>
      <c r="AX8" s="103">
        <f t="shared" si="5"/>
        <v>0</v>
      </c>
      <c r="AY8" s="103">
        <f t="shared" ca="1" si="6"/>
        <v>0</v>
      </c>
      <c r="AZ8" s="104">
        <f t="shared" ca="1" si="7"/>
        <v>4.1666666666666664E-2</v>
      </c>
      <c r="BA8" s="239" t="s">
        <v>138</v>
      </c>
    </row>
    <row r="9" spans="1:53" x14ac:dyDescent="0.25">
      <c r="A9" s="96">
        <f t="shared" si="8"/>
        <v>45133.041666666664</v>
      </c>
      <c r="B9" s="198">
        <v>4.1666666666666664E-2</v>
      </c>
      <c r="C9" s="199" t="s">
        <v>130</v>
      </c>
      <c r="D9" s="79">
        <v>67623</v>
      </c>
      <c r="E9" s="80">
        <f t="shared" si="0"/>
        <v>0</v>
      </c>
      <c r="F9" s="200">
        <f t="shared" si="9"/>
        <v>200</v>
      </c>
      <c r="G9" s="85"/>
      <c r="H9" s="79"/>
      <c r="I9" s="79"/>
      <c r="J9" s="79"/>
      <c r="K9" s="111"/>
      <c r="L9" s="202"/>
      <c r="M9" s="202"/>
      <c r="N9" s="85"/>
      <c r="O9" s="85"/>
      <c r="P9" s="85"/>
      <c r="Q9" s="79"/>
      <c r="R9" s="79"/>
      <c r="S9" s="79"/>
      <c r="T9" s="79"/>
      <c r="U9" s="79"/>
      <c r="V9" s="79"/>
      <c r="W9" s="79"/>
      <c r="X9" s="85"/>
      <c r="Y9" s="85"/>
      <c r="Z9" s="86"/>
      <c r="AA9" s="86"/>
      <c r="AB9" s="86"/>
      <c r="AC9" s="86"/>
      <c r="AD9" s="85"/>
      <c r="AE9" s="85"/>
      <c r="AF9" s="85"/>
      <c r="AG9" s="86"/>
      <c r="AH9" s="86"/>
      <c r="AI9" s="203"/>
      <c r="AJ9" s="115"/>
      <c r="AK9" s="115"/>
      <c r="AL9" s="115"/>
      <c r="AM9" s="115"/>
      <c r="AN9" s="101"/>
      <c r="AO9" s="101"/>
      <c r="AP9" s="102">
        <f t="shared" si="1"/>
        <v>0</v>
      </c>
      <c r="AQ9" s="103">
        <f t="shared" ref="AQ9:AQ14" si="12">IF(AN9&lt;&gt;"",AN9+$B$1,B9+$B$1-1/24)</f>
        <v>45133</v>
      </c>
      <c r="AR9" s="102">
        <f t="shared" si="10"/>
        <v>0</v>
      </c>
      <c r="AS9" s="102">
        <f t="shared" si="2"/>
        <v>0</v>
      </c>
      <c r="AT9" s="102">
        <f t="shared" si="3"/>
        <v>0</v>
      </c>
      <c r="AU9" s="103">
        <f t="shared" ref="AU9:AU14" si="13">IF(AO9&lt;&gt;"",AO9+$B$1,B9+$B$1)</f>
        <v>45133.041666666664</v>
      </c>
      <c r="AV9" s="103">
        <f t="shared" si="4"/>
        <v>2.425316891763174E-12</v>
      </c>
      <c r="AW9" s="103">
        <f t="shared" si="11"/>
        <v>4.1666666664241347E-2</v>
      </c>
      <c r="AX9" s="103">
        <f t="shared" si="5"/>
        <v>0</v>
      </c>
      <c r="AY9" s="103">
        <f t="shared" ca="1" si="6"/>
        <v>0</v>
      </c>
      <c r="AZ9" s="104">
        <f t="shared" ca="1" si="7"/>
        <v>4.1666666666666664E-2</v>
      </c>
      <c r="BA9" s="239" t="s">
        <v>138</v>
      </c>
    </row>
    <row r="10" spans="1:53" ht="15" customHeight="1" x14ac:dyDescent="0.25">
      <c r="A10" s="96">
        <f t="shared" si="8"/>
        <v>45133.083333333336</v>
      </c>
      <c r="B10" s="198">
        <v>8.3333333333333329E-2</v>
      </c>
      <c r="C10" s="199" t="s">
        <v>130</v>
      </c>
      <c r="D10" s="79">
        <v>67623</v>
      </c>
      <c r="E10" s="80">
        <f t="shared" si="0"/>
        <v>0</v>
      </c>
      <c r="F10" s="200">
        <f t="shared" si="9"/>
        <v>200</v>
      </c>
      <c r="G10" s="85"/>
      <c r="H10" s="79"/>
      <c r="I10" s="79"/>
      <c r="J10" s="79"/>
      <c r="K10" s="111"/>
      <c r="L10" s="202"/>
      <c r="M10" s="202"/>
      <c r="N10" s="85"/>
      <c r="O10" s="85"/>
      <c r="P10" s="85"/>
      <c r="Q10" s="79"/>
      <c r="R10" s="79"/>
      <c r="S10" s="79"/>
      <c r="T10" s="79"/>
      <c r="U10" s="79"/>
      <c r="V10" s="79"/>
      <c r="W10" s="79"/>
      <c r="X10" s="85"/>
      <c r="Y10" s="85"/>
      <c r="Z10" s="86"/>
      <c r="AA10" s="86"/>
      <c r="AB10" s="86"/>
      <c r="AC10" s="86"/>
      <c r="AD10" s="85"/>
      <c r="AE10" s="85"/>
      <c r="AF10" s="85"/>
      <c r="AG10" s="86"/>
      <c r="AH10" s="86"/>
      <c r="AI10" s="203"/>
      <c r="AJ10" s="115"/>
      <c r="AK10" s="115"/>
      <c r="AL10" s="115"/>
      <c r="AM10" s="115"/>
      <c r="AN10" s="101"/>
      <c r="AO10" s="101"/>
      <c r="AP10" s="102">
        <f t="shared" si="1"/>
        <v>0</v>
      </c>
      <c r="AQ10" s="103">
        <f t="shared" si="12"/>
        <v>45133.041666666672</v>
      </c>
      <c r="AR10" s="102">
        <f t="shared" si="10"/>
        <v>0</v>
      </c>
      <c r="AS10" s="102">
        <f t="shared" si="2"/>
        <v>0</v>
      </c>
      <c r="AT10" s="102">
        <f t="shared" si="3"/>
        <v>0</v>
      </c>
      <c r="AU10" s="103">
        <f t="shared" si="13"/>
        <v>45133.083333333336</v>
      </c>
      <c r="AV10" s="103">
        <f t="shared" si="4"/>
        <v>2.425316891763174E-12</v>
      </c>
      <c r="AW10" s="103">
        <f t="shared" si="11"/>
        <v>4.1666666664241347E-2</v>
      </c>
      <c r="AX10" s="103">
        <f t="shared" si="5"/>
        <v>0</v>
      </c>
      <c r="AY10" s="103">
        <f t="shared" ca="1" si="6"/>
        <v>0</v>
      </c>
      <c r="AZ10" s="104">
        <f t="shared" ca="1" si="7"/>
        <v>4.1666666666666664E-2</v>
      </c>
      <c r="BA10" s="239" t="s">
        <v>138</v>
      </c>
    </row>
    <row r="11" spans="1:53" ht="15" customHeight="1" x14ac:dyDescent="0.25">
      <c r="A11" s="96">
        <f t="shared" si="8"/>
        <v>45133.125</v>
      </c>
      <c r="B11" s="198">
        <v>0.125</v>
      </c>
      <c r="C11" s="199" t="s">
        <v>130</v>
      </c>
      <c r="D11" s="79">
        <v>67623</v>
      </c>
      <c r="E11" s="80">
        <f t="shared" si="0"/>
        <v>0</v>
      </c>
      <c r="F11" s="200">
        <f t="shared" si="9"/>
        <v>200</v>
      </c>
      <c r="G11" s="85"/>
      <c r="H11" s="79"/>
      <c r="I11" s="79"/>
      <c r="J11" s="79"/>
      <c r="K11" s="111"/>
      <c r="L11" s="202"/>
      <c r="M11" s="202"/>
      <c r="N11" s="85"/>
      <c r="O11" s="85"/>
      <c r="P11" s="85"/>
      <c r="Q11" s="79"/>
      <c r="R11" s="79"/>
      <c r="S11" s="79"/>
      <c r="T11" s="79"/>
      <c r="U11" s="79"/>
      <c r="V11" s="79"/>
      <c r="W11" s="79"/>
      <c r="X11" s="85"/>
      <c r="Y11" s="85"/>
      <c r="Z11" s="86"/>
      <c r="AA11" s="86"/>
      <c r="AB11" s="86"/>
      <c r="AC11" s="86"/>
      <c r="AD11" s="85"/>
      <c r="AE11" s="85"/>
      <c r="AF11" s="85"/>
      <c r="AG11" s="86"/>
      <c r="AH11" s="86"/>
      <c r="AI11" s="203"/>
      <c r="AJ11" s="115"/>
      <c r="AK11" s="115"/>
      <c r="AL11" s="115"/>
      <c r="AM11" s="115"/>
      <c r="AN11" s="101"/>
      <c r="AO11" s="101"/>
      <c r="AP11" s="102">
        <f t="shared" si="1"/>
        <v>0</v>
      </c>
      <c r="AQ11" s="103">
        <f t="shared" si="12"/>
        <v>45133.083333333336</v>
      </c>
      <c r="AR11" s="102">
        <f t="shared" si="10"/>
        <v>0</v>
      </c>
      <c r="AS11" s="102">
        <f>IF(AN11="",AR11,0)</f>
        <v>0</v>
      </c>
      <c r="AT11" s="102">
        <f t="shared" si="3"/>
        <v>0</v>
      </c>
      <c r="AU11" s="103">
        <f t="shared" si="13"/>
        <v>45133.125</v>
      </c>
      <c r="AV11" s="103">
        <f t="shared" si="4"/>
        <v>2.425316891763174E-12</v>
      </c>
      <c r="AW11" s="103">
        <f t="shared" si="11"/>
        <v>4.1666666664241347E-2</v>
      </c>
      <c r="AX11" s="103">
        <f t="shared" si="5"/>
        <v>0</v>
      </c>
      <c r="AY11" s="103">
        <f t="shared" ca="1" si="6"/>
        <v>0</v>
      </c>
      <c r="AZ11" s="104">
        <f t="shared" ca="1" si="7"/>
        <v>4.1666666666666664E-2</v>
      </c>
      <c r="BA11" s="239" t="s">
        <v>138</v>
      </c>
    </row>
    <row r="12" spans="1:53" ht="14.45" customHeight="1" x14ac:dyDescent="0.25">
      <c r="A12" s="96">
        <f t="shared" si="8"/>
        <v>45133.166666666664</v>
      </c>
      <c r="B12" s="198">
        <v>0.16666666666666666</v>
      </c>
      <c r="C12" s="199" t="s">
        <v>130</v>
      </c>
      <c r="D12" s="79">
        <v>67623</v>
      </c>
      <c r="E12" s="80">
        <f t="shared" si="0"/>
        <v>0</v>
      </c>
      <c r="F12" s="200">
        <f t="shared" si="9"/>
        <v>200</v>
      </c>
      <c r="G12" s="85"/>
      <c r="H12" s="79"/>
      <c r="I12" s="79"/>
      <c r="J12" s="79"/>
      <c r="K12" s="111"/>
      <c r="L12" s="202"/>
      <c r="M12" s="202"/>
      <c r="N12" s="85"/>
      <c r="O12" s="85"/>
      <c r="P12" s="85"/>
      <c r="Q12" s="79"/>
      <c r="R12" s="79"/>
      <c r="S12" s="79"/>
      <c r="T12" s="79"/>
      <c r="U12" s="79"/>
      <c r="V12" s="79"/>
      <c r="W12" s="79"/>
      <c r="X12" s="85"/>
      <c r="Y12" s="85"/>
      <c r="Z12" s="86"/>
      <c r="AA12" s="86"/>
      <c r="AB12" s="86"/>
      <c r="AC12" s="86"/>
      <c r="AD12" s="85"/>
      <c r="AE12" s="85"/>
      <c r="AF12" s="85"/>
      <c r="AG12" s="86"/>
      <c r="AH12" s="86"/>
      <c r="AI12" s="203"/>
      <c r="AJ12" s="85"/>
      <c r="AK12" s="115"/>
      <c r="AL12" s="115"/>
      <c r="AM12" s="115"/>
      <c r="AN12" s="101"/>
      <c r="AO12" s="101"/>
      <c r="AP12" s="102">
        <f t="shared" si="1"/>
        <v>0</v>
      </c>
      <c r="AQ12" s="103">
        <f t="shared" si="12"/>
        <v>45133.125</v>
      </c>
      <c r="AR12" s="102">
        <f t="shared" si="10"/>
        <v>0</v>
      </c>
      <c r="AS12" s="102">
        <f>IF(AN12="",AR12,0)</f>
        <v>0</v>
      </c>
      <c r="AT12" s="102">
        <f t="shared" si="3"/>
        <v>0</v>
      </c>
      <c r="AU12" s="103">
        <f t="shared" si="13"/>
        <v>45133.166666666664</v>
      </c>
      <c r="AV12" s="103">
        <f t="shared" si="4"/>
        <v>2.425316891763174E-12</v>
      </c>
      <c r="AW12" s="103">
        <f t="shared" si="11"/>
        <v>4.1666666664241347E-2</v>
      </c>
      <c r="AX12" s="103">
        <f t="shared" si="5"/>
        <v>0</v>
      </c>
      <c r="AY12" s="103">
        <f t="shared" ca="1" si="6"/>
        <v>0</v>
      </c>
      <c r="AZ12" s="104">
        <f t="shared" ca="1" si="7"/>
        <v>4.1666666666666664E-2</v>
      </c>
      <c r="BA12" s="239" t="s">
        <v>138</v>
      </c>
    </row>
    <row r="13" spans="1:53" ht="15" customHeight="1" x14ac:dyDescent="0.25">
      <c r="A13" s="96">
        <f t="shared" si="8"/>
        <v>45133.208333333336</v>
      </c>
      <c r="B13" s="198">
        <v>0.20833333333333334</v>
      </c>
      <c r="C13" s="199" t="s">
        <v>130</v>
      </c>
      <c r="D13" s="79">
        <v>67623</v>
      </c>
      <c r="E13" s="80">
        <f t="shared" si="0"/>
        <v>0</v>
      </c>
      <c r="F13" s="200">
        <f t="shared" si="9"/>
        <v>200</v>
      </c>
      <c r="G13" s="85"/>
      <c r="H13" s="79"/>
      <c r="I13" s="79"/>
      <c r="J13" s="79"/>
      <c r="K13" s="111"/>
      <c r="L13" s="202"/>
      <c r="M13" s="202"/>
      <c r="N13" s="85"/>
      <c r="O13" s="85"/>
      <c r="P13" s="85"/>
      <c r="Q13" s="79"/>
      <c r="R13" s="79"/>
      <c r="S13" s="79"/>
      <c r="T13" s="79"/>
      <c r="U13" s="79"/>
      <c r="V13" s="79"/>
      <c r="W13" s="79"/>
      <c r="X13" s="85"/>
      <c r="Y13" s="85"/>
      <c r="Z13" s="86"/>
      <c r="AA13" s="86"/>
      <c r="AB13" s="86"/>
      <c r="AC13" s="86"/>
      <c r="AD13" s="85"/>
      <c r="AE13" s="85"/>
      <c r="AF13" s="85"/>
      <c r="AG13" s="86"/>
      <c r="AH13" s="86"/>
      <c r="AI13" s="203"/>
      <c r="AJ13" s="85"/>
      <c r="AK13" s="115"/>
      <c r="AL13" s="115"/>
      <c r="AM13" s="115"/>
      <c r="AN13" s="101"/>
      <c r="AO13" s="101"/>
      <c r="AP13" s="102">
        <f t="shared" si="1"/>
        <v>0</v>
      </c>
      <c r="AQ13" s="103">
        <f t="shared" si="12"/>
        <v>45133.166666666672</v>
      </c>
      <c r="AR13" s="102">
        <f t="shared" si="10"/>
        <v>0</v>
      </c>
      <c r="AS13" s="102">
        <f t="shared" si="2"/>
        <v>0</v>
      </c>
      <c r="AT13" s="102">
        <f t="shared" si="3"/>
        <v>0</v>
      </c>
      <c r="AU13" s="103">
        <f t="shared" si="13"/>
        <v>45133.208333333336</v>
      </c>
      <c r="AV13" s="103">
        <f t="shared" si="4"/>
        <v>2.425316891763174E-12</v>
      </c>
      <c r="AW13" s="103">
        <f t="shared" si="11"/>
        <v>4.1666666664241347E-2</v>
      </c>
      <c r="AX13" s="103">
        <f t="shared" si="5"/>
        <v>0</v>
      </c>
      <c r="AY13" s="103">
        <f t="shared" ca="1" si="6"/>
        <v>0</v>
      </c>
      <c r="AZ13" s="104">
        <f t="shared" ca="1" si="7"/>
        <v>4.1666666666666664E-2</v>
      </c>
      <c r="BA13" s="239" t="s">
        <v>138</v>
      </c>
    </row>
    <row r="14" spans="1:53" x14ac:dyDescent="0.25">
      <c r="A14" s="96">
        <f t="shared" si="8"/>
        <v>45133.25</v>
      </c>
      <c r="B14" s="198">
        <v>0.25</v>
      </c>
      <c r="C14" s="199" t="s">
        <v>130</v>
      </c>
      <c r="D14" s="79">
        <v>67623</v>
      </c>
      <c r="E14" s="80">
        <f t="shared" si="0"/>
        <v>0</v>
      </c>
      <c r="F14" s="204">
        <f t="shared" si="9"/>
        <v>200</v>
      </c>
      <c r="G14" s="85"/>
      <c r="H14" s="79"/>
      <c r="I14" s="79"/>
      <c r="J14" s="79"/>
      <c r="K14" s="111"/>
      <c r="L14" s="202"/>
      <c r="M14" s="202"/>
      <c r="O14" s="85"/>
      <c r="P14" s="85"/>
      <c r="Q14" s="79"/>
      <c r="R14" s="79"/>
      <c r="S14" s="79"/>
      <c r="T14" s="79"/>
      <c r="U14" s="79"/>
      <c r="V14" s="79"/>
      <c r="W14" s="79"/>
      <c r="X14" s="85"/>
      <c r="Y14" s="85"/>
      <c r="Z14" s="86"/>
      <c r="AA14" s="86"/>
      <c r="AB14" s="86"/>
      <c r="AC14" s="86"/>
      <c r="AD14" s="85"/>
      <c r="AE14" s="85"/>
      <c r="AF14" s="85"/>
      <c r="AG14" s="86"/>
      <c r="AH14" s="86"/>
      <c r="AI14" s="203"/>
      <c r="AJ14" s="85"/>
      <c r="AK14" s="85"/>
      <c r="AL14" s="85"/>
      <c r="AM14" s="85"/>
      <c r="AN14" s="101">
        <v>0.25</v>
      </c>
      <c r="AO14" s="101"/>
      <c r="AP14" s="102">
        <f>AT14</f>
        <v>0</v>
      </c>
      <c r="AQ14" s="103">
        <f t="shared" si="12"/>
        <v>45133.25</v>
      </c>
      <c r="AR14" s="102">
        <f t="shared" si="10"/>
        <v>0</v>
      </c>
      <c r="AS14" s="102">
        <f t="shared" si="2"/>
        <v>0</v>
      </c>
      <c r="AT14" s="102">
        <f t="shared" si="3"/>
        <v>0</v>
      </c>
      <c r="AU14" s="103">
        <f t="shared" si="13"/>
        <v>45133.25</v>
      </c>
      <c r="AV14" s="103">
        <f t="shared" si="4"/>
        <v>4.1666666666666664E-2</v>
      </c>
      <c r="AW14" s="103">
        <f t="shared" si="11"/>
        <v>0</v>
      </c>
      <c r="AX14" s="103">
        <f t="shared" si="5"/>
        <v>0</v>
      </c>
      <c r="AY14" s="103">
        <f t="shared" ca="1" si="6"/>
        <v>0</v>
      </c>
      <c r="AZ14" s="104">
        <f t="shared" ca="1" si="7"/>
        <v>4.1666666666666664E-2</v>
      </c>
      <c r="BA14" s="239" t="s">
        <v>141</v>
      </c>
    </row>
    <row r="15" spans="1:53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IFERROR(D15/24/AY15,"")</f>
        <v>0</v>
      </c>
      <c r="F15" s="125">
        <f t="shared" si="9"/>
        <v>200</v>
      </c>
      <c r="G15" s="125"/>
      <c r="H15" s="7">
        <f>SUM(H6:H14)</f>
        <v>0</v>
      </c>
      <c r="I15" s="205"/>
      <c r="J15" s="124" t="str">
        <f>IFERROR(AVERAGE(J7:J14),"")</f>
        <v/>
      </c>
      <c r="K15" s="126" t="str">
        <f>IFERROR(AVERAGE(K7:K14),"")</f>
        <v/>
      </c>
      <c r="L15" s="206" t="str">
        <f>IFERROR(+AVERAGE(L7:L14),"")</f>
        <v/>
      </c>
      <c r="M15" s="206" t="str">
        <f>IFERROR(+AVERAGE(M7:M14),"")</f>
        <v/>
      </c>
      <c r="N15" s="124" t="str">
        <f>IFERROR(AVERAGE(N7:N14),"")</f>
        <v/>
      </c>
      <c r="O15" s="124" t="str">
        <f>IFERROR(AVERAGE(O7:O14),"")</f>
        <v/>
      </c>
      <c r="P15" s="124" t="str">
        <f>IFERROR(AVERAGE(P7:P14),"")</f>
        <v/>
      </c>
      <c r="Q15" s="124" t="str">
        <f>IFERROR(AVERAGE(Q7:Q14),"")</f>
        <v/>
      </c>
      <c r="R15" s="124" t="str">
        <f>IFERROR(AVERAGE(R7:R14),"")</f>
        <v/>
      </c>
      <c r="S15" s="125">
        <f>IF(S14=0,SUM(T7:T14),S14-S6)</f>
        <v>0</v>
      </c>
      <c r="T15" s="121"/>
      <c r="U15" s="121"/>
      <c r="V15" s="126" t="str">
        <f>IFERROR(AVERAGE(V7:V14),"")</f>
        <v/>
      </c>
      <c r="W15" s="126"/>
      <c r="X15" s="126"/>
      <c r="Y15" s="126"/>
      <c r="Z15" s="129"/>
      <c r="AA15" s="129"/>
      <c r="AB15" s="129"/>
      <c r="AC15" s="129"/>
      <c r="AD15" s="129"/>
      <c r="AE15" s="129"/>
      <c r="AF15" s="207"/>
      <c r="AG15" s="207"/>
      <c r="AH15" s="207"/>
      <c r="AI15" s="208" t="str">
        <f t="shared" ref="AI15:AM15" si="14">IFERROR(AVERAGE(AI7:AI14),"")</f>
        <v/>
      </c>
      <c r="AJ15" s="126" t="str">
        <f t="shared" si="14"/>
        <v/>
      </c>
      <c r="AK15" s="126" t="str">
        <f t="shared" si="14"/>
        <v/>
      </c>
      <c r="AL15" s="126" t="str">
        <f t="shared" si="14"/>
        <v/>
      </c>
      <c r="AM15" s="126" t="str">
        <f t="shared" si="14"/>
        <v/>
      </c>
      <c r="AN15" s="132"/>
      <c r="AO15" s="132"/>
      <c r="AP15" s="120">
        <f>AP14</f>
        <v>0</v>
      </c>
      <c r="AQ15" s="120"/>
      <c r="AR15" s="120"/>
      <c r="AS15" s="120"/>
      <c r="AT15" s="120"/>
      <c r="AU15" s="120"/>
      <c r="AV15" s="120"/>
      <c r="AW15" s="120"/>
      <c r="AX15" s="120"/>
      <c r="AY15" s="133">
        <f ca="1">SUM(AY7:AY14)</f>
        <v>1.1574071929011664E-5</v>
      </c>
      <c r="AZ15" s="133">
        <f ca="1">SUM(AZ7:AZ14)</f>
        <v>0.33332175926140428</v>
      </c>
      <c r="BA15" s="132"/>
    </row>
    <row r="16" spans="1:53" ht="13.15" customHeight="1" x14ac:dyDescent="0.25">
      <c r="A16" s="96">
        <f t="shared" si="8"/>
        <v>45133.291666666664</v>
      </c>
      <c r="B16" s="198">
        <v>0.29166666666666669</v>
      </c>
      <c r="C16" s="199" t="s">
        <v>130</v>
      </c>
      <c r="D16" s="79">
        <v>67623</v>
      </c>
      <c r="E16" s="80">
        <f>IF(D16&gt;0,D16-D14,"")</f>
        <v>0</v>
      </c>
      <c r="F16" s="200">
        <f t="shared" si="9"/>
        <v>200</v>
      </c>
      <c r="G16" s="209"/>
      <c r="H16" s="210"/>
      <c r="I16" s="210"/>
      <c r="J16" s="209"/>
      <c r="K16" s="210"/>
      <c r="L16" s="211"/>
      <c r="M16" s="211"/>
      <c r="N16" s="209"/>
      <c r="O16" s="209"/>
      <c r="P16" s="209"/>
      <c r="Q16" s="209"/>
      <c r="R16" s="79"/>
      <c r="S16" s="79"/>
      <c r="T16" s="79"/>
      <c r="U16" s="79"/>
      <c r="V16" s="79"/>
      <c r="W16" s="79"/>
      <c r="X16" s="85"/>
      <c r="Y16" s="85"/>
      <c r="Z16" s="86"/>
      <c r="AA16" s="86"/>
      <c r="AB16" s="86"/>
      <c r="AC16" s="86"/>
      <c r="AD16" s="85"/>
      <c r="AE16" s="85"/>
      <c r="AF16" s="85"/>
      <c r="AG16" s="86"/>
      <c r="AH16" s="86"/>
      <c r="AI16" s="213"/>
      <c r="AJ16" s="209"/>
      <c r="AK16" s="209"/>
      <c r="AL16" s="209"/>
      <c r="AM16" s="209"/>
      <c r="AN16" s="101"/>
      <c r="AO16" s="101"/>
      <c r="AP16" s="102">
        <f t="shared" ref="AP16:AP23" si="15">AT16</f>
        <v>0</v>
      </c>
      <c r="AQ16" s="103">
        <f t="shared" ref="AQ16:AQ23" si="16">IF(AN16&lt;&gt;"",AN16+$B$1,B16+$B$1-1/24)</f>
        <v>45133.25</v>
      </c>
      <c r="AR16" s="102">
        <f t="shared" ref="AR16:AR23" si="17">AP15</f>
        <v>0</v>
      </c>
      <c r="AS16" s="102">
        <f t="shared" ref="AS16:AS23" si="18">IF(AN16="",AR16,0)</f>
        <v>0</v>
      </c>
      <c r="AT16" s="102">
        <f t="shared" ref="AT16:AT23" si="19">IF(AO16&lt;&gt;"",1,AS16)</f>
        <v>0</v>
      </c>
      <c r="AU16" s="103">
        <f t="shared" ref="AU16:AU23" si="20">IF(AO16&lt;&gt;"",AO16+$B$1,B16+$B$1)</f>
        <v>45133.291666666664</v>
      </c>
      <c r="AV16" s="103">
        <f t="shared" ref="AV16:AV23" si="21">AQ16-A16+1/24</f>
        <v>2.425316891763174E-12</v>
      </c>
      <c r="AW16" s="103">
        <f>AU16-AQ16</f>
        <v>4.1666666664241347E-2</v>
      </c>
      <c r="AX16" s="103">
        <f t="shared" ref="AX16:AX23" si="22">A16-AU16</f>
        <v>0</v>
      </c>
      <c r="AY16" s="103">
        <f t="shared" ref="AY16:AY23" ca="1" si="23">IF(A16&lt;$AZ$1,SUMPRODUCT(AR16:AT16,AV16:AX16),0)</f>
        <v>0</v>
      </c>
      <c r="AZ16" s="104">
        <f t="shared" ref="AZ16:AZ23" ca="1" si="24">IF(A16&lt;$AZ$1,1/24-AY16,0)</f>
        <v>4.1666666666666664E-2</v>
      </c>
      <c r="BA16" s="239" t="s">
        <v>139</v>
      </c>
    </row>
    <row r="17" spans="1:53" x14ac:dyDescent="0.25">
      <c r="A17" s="96">
        <f t="shared" si="8"/>
        <v>45133.333333333336</v>
      </c>
      <c r="B17" s="198">
        <v>0.33333333333333331</v>
      </c>
      <c r="C17" s="199" t="s">
        <v>130</v>
      </c>
      <c r="D17" s="79">
        <v>67623</v>
      </c>
      <c r="E17" s="80">
        <f>IF(D17&gt;0,D17-D16,"")</f>
        <v>0</v>
      </c>
      <c r="F17" s="200">
        <f t="shared" si="9"/>
        <v>200</v>
      </c>
      <c r="G17" s="209"/>
      <c r="H17" s="210"/>
      <c r="I17" s="210"/>
      <c r="J17" s="209"/>
      <c r="K17" s="210"/>
      <c r="L17" s="211"/>
      <c r="M17" s="211"/>
      <c r="N17" s="209"/>
      <c r="O17" s="209"/>
      <c r="P17" s="209"/>
      <c r="Q17" s="209"/>
      <c r="R17" s="79"/>
      <c r="S17" s="79"/>
      <c r="T17" s="79"/>
      <c r="U17" s="79"/>
      <c r="V17" s="79"/>
      <c r="W17" s="79"/>
      <c r="X17" s="85"/>
      <c r="Y17" s="85"/>
      <c r="Z17" s="86"/>
      <c r="AA17" s="86"/>
      <c r="AB17" s="86"/>
      <c r="AC17" s="86"/>
      <c r="AD17" s="85"/>
      <c r="AE17" s="85"/>
      <c r="AF17" s="85"/>
      <c r="AG17" s="86"/>
      <c r="AH17" s="86"/>
      <c r="AI17" s="213"/>
      <c r="AJ17" s="209"/>
      <c r="AK17" s="209"/>
      <c r="AL17" s="209"/>
      <c r="AM17" s="209"/>
      <c r="AN17" s="101"/>
      <c r="AO17" s="101"/>
      <c r="AP17" s="102">
        <f t="shared" si="15"/>
        <v>0</v>
      </c>
      <c r="AQ17" s="103">
        <f t="shared" si="16"/>
        <v>45133.291666666672</v>
      </c>
      <c r="AR17" s="102">
        <f t="shared" si="17"/>
        <v>0</v>
      </c>
      <c r="AS17" s="102">
        <f t="shared" si="18"/>
        <v>0</v>
      </c>
      <c r="AT17" s="102">
        <f t="shared" si="19"/>
        <v>0</v>
      </c>
      <c r="AU17" s="103">
        <f t="shared" si="20"/>
        <v>45133.333333333336</v>
      </c>
      <c r="AV17" s="103">
        <f t="shared" si="21"/>
        <v>2.425316891763174E-12</v>
      </c>
      <c r="AW17" s="103">
        <f t="shared" ref="AW17:AW23" si="25">AU17-AQ17</f>
        <v>4.1666666664241347E-2</v>
      </c>
      <c r="AX17" s="103">
        <f t="shared" si="22"/>
        <v>0</v>
      </c>
      <c r="AY17" s="103">
        <f t="shared" ca="1" si="23"/>
        <v>0</v>
      </c>
      <c r="AZ17" s="104">
        <f t="shared" ca="1" si="24"/>
        <v>4.1666666666666664E-2</v>
      </c>
      <c r="BA17" s="239" t="s">
        <v>140</v>
      </c>
    </row>
    <row r="18" spans="1:53" x14ac:dyDescent="0.25">
      <c r="A18" s="96">
        <f t="shared" si="8"/>
        <v>45133.375</v>
      </c>
      <c r="B18" s="198">
        <v>0.375</v>
      </c>
      <c r="C18" s="199" t="s">
        <v>130</v>
      </c>
      <c r="D18" s="79">
        <v>67623</v>
      </c>
      <c r="E18" s="80">
        <f>IF(D18&gt;0,D18-D17,"")</f>
        <v>0</v>
      </c>
      <c r="F18" s="200">
        <f t="shared" si="9"/>
        <v>200</v>
      </c>
      <c r="G18" s="210"/>
      <c r="H18" s="210"/>
      <c r="I18" s="209"/>
      <c r="J18" s="210"/>
      <c r="K18" s="211"/>
      <c r="L18" s="211"/>
      <c r="M18" s="209"/>
      <c r="N18" s="209"/>
      <c r="O18" s="209"/>
      <c r="P18" s="209"/>
      <c r="Q18" s="209"/>
      <c r="R18" s="209"/>
      <c r="S18" s="209"/>
      <c r="T18" s="79"/>
      <c r="U18" s="209"/>
      <c r="V18" s="79"/>
      <c r="W18" s="79"/>
      <c r="X18" s="209"/>
      <c r="Y18" s="85"/>
      <c r="Z18" s="209"/>
      <c r="AA18" s="212"/>
      <c r="AB18" s="212"/>
      <c r="AC18" s="209"/>
      <c r="AD18" s="209"/>
      <c r="AE18" s="209"/>
      <c r="AF18" s="212"/>
      <c r="AG18" s="212"/>
      <c r="AH18" s="213"/>
      <c r="AI18" s="213"/>
      <c r="AJ18" s="209"/>
      <c r="AK18" s="209"/>
      <c r="AL18" s="209"/>
      <c r="AM18" s="209"/>
      <c r="AN18" s="101"/>
      <c r="AO18" s="101"/>
      <c r="AP18" s="102">
        <f t="shared" si="15"/>
        <v>0</v>
      </c>
      <c r="AQ18" s="103">
        <f t="shared" si="16"/>
        <v>45133.333333333336</v>
      </c>
      <c r="AR18" s="102">
        <f t="shared" si="17"/>
        <v>0</v>
      </c>
      <c r="AS18" s="102">
        <f t="shared" si="18"/>
        <v>0</v>
      </c>
      <c r="AT18" s="102">
        <f t="shared" si="19"/>
        <v>0</v>
      </c>
      <c r="AU18" s="103">
        <f t="shared" si="20"/>
        <v>45133.375</v>
      </c>
      <c r="AV18" s="103">
        <f t="shared" si="21"/>
        <v>2.425316891763174E-12</v>
      </c>
      <c r="AW18" s="103">
        <f t="shared" si="25"/>
        <v>4.1666666664241347E-2</v>
      </c>
      <c r="AX18" s="103">
        <f t="shared" si="22"/>
        <v>0</v>
      </c>
      <c r="AY18" s="103">
        <f t="shared" ca="1" si="23"/>
        <v>0</v>
      </c>
      <c r="AZ18" s="104">
        <f t="shared" ca="1" si="24"/>
        <v>4.1666666666666664E-2</v>
      </c>
      <c r="BA18" s="239" t="s">
        <v>140</v>
      </c>
    </row>
    <row r="19" spans="1:53" ht="15.75" customHeight="1" x14ac:dyDescent="0.25">
      <c r="A19" s="96">
        <f t="shared" si="8"/>
        <v>45133.416666666664</v>
      </c>
      <c r="B19" s="198">
        <v>0.41666666666666702</v>
      </c>
      <c r="C19" s="199" t="s">
        <v>130</v>
      </c>
      <c r="D19" s="79">
        <v>67623</v>
      </c>
      <c r="E19" s="80">
        <f t="shared" ref="E19:E35" si="26">IF(D19&gt;0,D19-D18,"")</f>
        <v>0</v>
      </c>
      <c r="F19" s="200">
        <f t="shared" si="9"/>
        <v>200</v>
      </c>
      <c r="G19" s="210"/>
      <c r="H19" s="210"/>
      <c r="I19" s="209"/>
      <c r="J19" s="210"/>
      <c r="K19" s="211"/>
      <c r="L19" s="211"/>
      <c r="M19" s="209"/>
      <c r="N19" s="209"/>
      <c r="O19" s="209"/>
      <c r="P19" s="209"/>
      <c r="Q19" s="209"/>
      <c r="R19" s="209"/>
      <c r="S19" s="209"/>
      <c r="T19" s="79"/>
      <c r="U19" s="209"/>
      <c r="V19" s="79"/>
      <c r="W19" s="79"/>
      <c r="X19" s="209"/>
      <c r="Y19" s="85"/>
      <c r="Z19" s="209"/>
      <c r="AA19" s="212"/>
      <c r="AB19" s="212"/>
      <c r="AC19" s="209"/>
      <c r="AD19" s="209"/>
      <c r="AE19" s="209"/>
      <c r="AF19" s="212"/>
      <c r="AG19" s="212"/>
      <c r="AH19" s="213"/>
      <c r="AI19" s="213"/>
      <c r="AJ19" s="209"/>
      <c r="AK19" s="209"/>
      <c r="AL19" s="209"/>
      <c r="AM19" s="209"/>
      <c r="AN19" s="101"/>
      <c r="AO19" s="101"/>
      <c r="AP19" s="102">
        <f t="shared" si="15"/>
        <v>0</v>
      </c>
      <c r="AQ19" s="103">
        <f t="shared" si="16"/>
        <v>45133.375</v>
      </c>
      <c r="AR19" s="102">
        <f t="shared" si="17"/>
        <v>0</v>
      </c>
      <c r="AS19" s="102">
        <f t="shared" si="18"/>
        <v>0</v>
      </c>
      <c r="AT19" s="102">
        <f t="shared" si="19"/>
        <v>0</v>
      </c>
      <c r="AU19" s="103">
        <f t="shared" si="20"/>
        <v>45133.416666666664</v>
      </c>
      <c r="AV19" s="103">
        <f t="shared" si="21"/>
        <v>2.425316891763174E-12</v>
      </c>
      <c r="AW19" s="103">
        <f t="shared" si="25"/>
        <v>4.1666666664241347E-2</v>
      </c>
      <c r="AX19" s="103">
        <f t="shared" si="22"/>
        <v>0</v>
      </c>
      <c r="AY19" s="103">
        <f t="shared" ca="1" si="23"/>
        <v>0</v>
      </c>
      <c r="AZ19" s="104">
        <f ca="1">IF(A19&lt;$AZ$1,1/24-AY19,0)</f>
        <v>4.1666666666666664E-2</v>
      </c>
      <c r="BA19" s="239" t="s">
        <v>140</v>
      </c>
    </row>
    <row r="20" spans="1:53" x14ac:dyDescent="0.25">
      <c r="A20" s="96">
        <f t="shared" si="8"/>
        <v>45133.458333333336</v>
      </c>
      <c r="B20" s="198">
        <v>0.45833333333333331</v>
      </c>
      <c r="C20" s="199" t="s">
        <v>130</v>
      </c>
      <c r="D20" s="79">
        <v>67623</v>
      </c>
      <c r="E20" s="80">
        <f t="shared" si="26"/>
        <v>0</v>
      </c>
      <c r="F20" s="200">
        <f t="shared" si="9"/>
        <v>200</v>
      </c>
      <c r="G20" s="210"/>
      <c r="H20" s="210"/>
      <c r="I20" s="209"/>
      <c r="J20" s="210"/>
      <c r="K20" s="211"/>
      <c r="L20" s="211"/>
      <c r="M20" s="209"/>
      <c r="N20" s="209"/>
      <c r="O20" s="209"/>
      <c r="P20" s="209"/>
      <c r="Q20" s="209"/>
      <c r="R20" s="209"/>
      <c r="S20" s="209"/>
      <c r="T20" s="79"/>
      <c r="U20" s="209"/>
      <c r="V20" s="79"/>
      <c r="W20" s="79"/>
      <c r="X20" s="209"/>
      <c r="Y20" s="85"/>
      <c r="Z20" s="209"/>
      <c r="AA20" s="212"/>
      <c r="AB20" s="212"/>
      <c r="AC20" s="209"/>
      <c r="AD20" s="209"/>
      <c r="AE20" s="209"/>
      <c r="AF20" s="212"/>
      <c r="AG20" s="212"/>
      <c r="AH20" s="213"/>
      <c r="AI20" s="213"/>
      <c r="AJ20" s="209"/>
      <c r="AK20" s="209"/>
      <c r="AL20" s="209"/>
      <c r="AM20" s="209"/>
      <c r="AN20" s="101"/>
      <c r="AO20" s="101"/>
      <c r="AP20" s="102">
        <f t="shared" si="15"/>
        <v>0</v>
      </c>
      <c r="AQ20" s="103">
        <f t="shared" si="16"/>
        <v>45133.416666666672</v>
      </c>
      <c r="AR20" s="102">
        <f t="shared" si="17"/>
        <v>0</v>
      </c>
      <c r="AS20" s="102">
        <f t="shared" si="18"/>
        <v>0</v>
      </c>
      <c r="AT20" s="102">
        <f t="shared" si="19"/>
        <v>0</v>
      </c>
      <c r="AU20" s="103">
        <f t="shared" si="20"/>
        <v>45133.458333333336</v>
      </c>
      <c r="AV20" s="103">
        <f t="shared" si="21"/>
        <v>2.425316891763174E-12</v>
      </c>
      <c r="AW20" s="103">
        <f t="shared" si="25"/>
        <v>4.1666666664241347E-2</v>
      </c>
      <c r="AX20" s="103">
        <f t="shared" si="22"/>
        <v>0</v>
      </c>
      <c r="AY20" s="103">
        <f t="shared" ca="1" si="23"/>
        <v>0</v>
      </c>
      <c r="AZ20" s="104">
        <f t="shared" ca="1" si="24"/>
        <v>4.1666666666666664E-2</v>
      </c>
      <c r="BA20" s="239" t="s">
        <v>140</v>
      </c>
    </row>
    <row r="21" spans="1:53" x14ac:dyDescent="0.25">
      <c r="A21" s="96">
        <f t="shared" si="8"/>
        <v>45133.5</v>
      </c>
      <c r="B21" s="214">
        <v>0.5</v>
      </c>
      <c r="C21" s="199" t="s">
        <v>130</v>
      </c>
      <c r="D21" s="79">
        <v>67623</v>
      </c>
      <c r="E21" s="80">
        <f t="shared" si="26"/>
        <v>0</v>
      </c>
      <c r="F21" s="200">
        <f t="shared" si="9"/>
        <v>200</v>
      </c>
      <c r="G21" s="210"/>
      <c r="H21" s="210"/>
      <c r="I21" s="209"/>
      <c r="J21" s="210"/>
      <c r="K21" s="211"/>
      <c r="L21" s="211"/>
      <c r="M21" s="209"/>
      <c r="N21" s="209"/>
      <c r="O21" s="209"/>
      <c r="P21" s="209"/>
      <c r="Q21" s="209"/>
      <c r="R21" s="209"/>
      <c r="S21" s="209"/>
      <c r="T21" s="79"/>
      <c r="U21" s="209"/>
      <c r="V21" s="79"/>
      <c r="W21" s="79"/>
      <c r="X21" s="209"/>
      <c r="Y21" s="85"/>
      <c r="Z21" s="209"/>
      <c r="AA21" s="212"/>
      <c r="AB21" s="212"/>
      <c r="AC21" s="209"/>
      <c r="AD21" s="209"/>
      <c r="AE21" s="209"/>
      <c r="AF21" s="212"/>
      <c r="AG21" s="212"/>
      <c r="AH21" s="213"/>
      <c r="AI21" s="213"/>
      <c r="AJ21" s="209"/>
      <c r="AK21" s="209"/>
      <c r="AL21" s="209"/>
      <c r="AM21" s="209"/>
      <c r="AN21" s="101"/>
      <c r="AO21" s="101"/>
      <c r="AP21" s="102">
        <f t="shared" si="15"/>
        <v>0</v>
      </c>
      <c r="AQ21" s="103">
        <f t="shared" si="16"/>
        <v>45133.458333333336</v>
      </c>
      <c r="AR21" s="102">
        <f t="shared" si="17"/>
        <v>0</v>
      </c>
      <c r="AS21" s="102">
        <f t="shared" si="18"/>
        <v>0</v>
      </c>
      <c r="AT21" s="102">
        <f t="shared" si="19"/>
        <v>0</v>
      </c>
      <c r="AU21" s="103">
        <f t="shared" si="20"/>
        <v>45133.5</v>
      </c>
      <c r="AV21" s="103">
        <f t="shared" si="21"/>
        <v>2.425316891763174E-12</v>
      </c>
      <c r="AW21" s="103">
        <f t="shared" si="25"/>
        <v>4.1666666664241347E-2</v>
      </c>
      <c r="AX21" s="103">
        <f t="shared" si="22"/>
        <v>0</v>
      </c>
      <c r="AY21" s="103">
        <f t="shared" ca="1" si="23"/>
        <v>0</v>
      </c>
      <c r="AZ21" s="104">
        <f t="shared" ca="1" si="24"/>
        <v>4.1666666666666664E-2</v>
      </c>
      <c r="BA21" s="239" t="s">
        <v>140</v>
      </c>
    </row>
    <row r="22" spans="1:53" ht="13.5" customHeight="1" x14ac:dyDescent="0.25">
      <c r="A22" s="96">
        <f t="shared" si="8"/>
        <v>45133.541666666664</v>
      </c>
      <c r="B22" s="214">
        <v>0.54166666666666663</v>
      </c>
      <c r="C22" s="199" t="s">
        <v>130</v>
      </c>
      <c r="D22" s="79">
        <v>67623</v>
      </c>
      <c r="E22" s="80">
        <f t="shared" si="26"/>
        <v>0</v>
      </c>
      <c r="F22" s="200">
        <f t="shared" si="9"/>
        <v>200</v>
      </c>
      <c r="G22" s="210"/>
      <c r="H22" s="210"/>
      <c r="I22" s="209"/>
      <c r="J22" s="210"/>
      <c r="K22" s="211"/>
      <c r="L22" s="211"/>
      <c r="M22" s="209"/>
      <c r="N22" s="209"/>
      <c r="O22" s="209"/>
      <c r="P22" s="209"/>
      <c r="Q22" s="209"/>
      <c r="R22" s="209"/>
      <c r="S22" s="209"/>
      <c r="T22" s="79"/>
      <c r="U22" s="209"/>
      <c r="V22" s="79"/>
      <c r="W22" s="79"/>
      <c r="X22" s="209"/>
      <c r="Y22" s="85"/>
      <c r="Z22" s="209"/>
      <c r="AA22" s="212"/>
      <c r="AB22" s="212"/>
      <c r="AC22" s="209"/>
      <c r="AD22" s="209"/>
      <c r="AE22" s="209"/>
      <c r="AF22" s="212"/>
      <c r="AG22" s="212"/>
      <c r="AH22" s="213"/>
      <c r="AI22" s="213"/>
      <c r="AJ22" s="209"/>
      <c r="AK22" s="209"/>
      <c r="AL22" s="209"/>
      <c r="AM22" s="209"/>
      <c r="AN22" s="101"/>
      <c r="AO22" s="101"/>
      <c r="AP22" s="102">
        <f t="shared" si="15"/>
        <v>0</v>
      </c>
      <c r="AQ22" s="103">
        <f t="shared" si="16"/>
        <v>45133.5</v>
      </c>
      <c r="AR22" s="102">
        <f t="shared" si="17"/>
        <v>0</v>
      </c>
      <c r="AS22" s="102">
        <f t="shared" si="18"/>
        <v>0</v>
      </c>
      <c r="AT22" s="102">
        <f t="shared" si="19"/>
        <v>0</v>
      </c>
      <c r="AU22" s="103">
        <f t="shared" si="20"/>
        <v>45133.541666666664</v>
      </c>
      <c r="AV22" s="103">
        <f t="shared" si="21"/>
        <v>2.425316891763174E-12</v>
      </c>
      <c r="AW22" s="103">
        <f t="shared" si="25"/>
        <v>4.1666666664241347E-2</v>
      </c>
      <c r="AX22" s="103">
        <f t="shared" si="22"/>
        <v>0</v>
      </c>
      <c r="AY22" s="103">
        <f t="shared" ca="1" si="23"/>
        <v>0</v>
      </c>
      <c r="AZ22" s="104">
        <f t="shared" ca="1" si="24"/>
        <v>4.1666666666666664E-2</v>
      </c>
      <c r="BA22" s="239" t="s">
        <v>140</v>
      </c>
    </row>
    <row r="23" spans="1:53" x14ac:dyDescent="0.25">
      <c r="A23" s="96">
        <f t="shared" si="8"/>
        <v>45133.583333333336</v>
      </c>
      <c r="B23" s="215">
        <v>0.58333333333333337</v>
      </c>
      <c r="C23" s="199" t="s">
        <v>130</v>
      </c>
      <c r="D23" s="79">
        <v>67623</v>
      </c>
      <c r="E23" s="80">
        <f t="shared" si="26"/>
        <v>0</v>
      </c>
      <c r="F23" s="200">
        <f t="shared" si="9"/>
        <v>200</v>
      </c>
      <c r="G23" s="210"/>
      <c r="H23" s="210"/>
      <c r="I23" s="209"/>
      <c r="J23" s="210"/>
      <c r="K23" s="211"/>
      <c r="L23" s="211"/>
      <c r="M23" s="209"/>
      <c r="N23" s="209"/>
      <c r="O23" s="209"/>
      <c r="P23" s="209"/>
      <c r="Q23" s="209"/>
      <c r="R23" s="209"/>
      <c r="S23" s="209"/>
      <c r="T23" s="79"/>
      <c r="U23" s="209"/>
      <c r="V23" s="79"/>
      <c r="W23" s="209"/>
      <c r="X23" s="209"/>
      <c r="Y23" s="212"/>
      <c r="Z23" s="209"/>
      <c r="AA23" s="212"/>
      <c r="AB23" s="212"/>
      <c r="AC23" s="209"/>
      <c r="AD23" s="209"/>
      <c r="AE23" s="209"/>
      <c r="AF23" s="212"/>
      <c r="AG23" s="212"/>
      <c r="AH23" s="213"/>
      <c r="AI23" s="213"/>
      <c r="AJ23" s="209"/>
      <c r="AK23" s="209"/>
      <c r="AL23" s="209"/>
      <c r="AM23" s="209"/>
      <c r="AN23" s="101">
        <v>0.58333333333333337</v>
      </c>
      <c r="AO23" s="101"/>
      <c r="AP23" s="102">
        <f t="shared" si="15"/>
        <v>0</v>
      </c>
      <c r="AQ23" s="103">
        <f t="shared" si="16"/>
        <v>45133.583333333336</v>
      </c>
      <c r="AR23" s="102">
        <f t="shared" si="17"/>
        <v>0</v>
      </c>
      <c r="AS23" s="102">
        <f t="shared" si="18"/>
        <v>0</v>
      </c>
      <c r="AT23" s="102">
        <f t="shared" si="19"/>
        <v>0</v>
      </c>
      <c r="AU23" s="103">
        <f t="shared" si="20"/>
        <v>45133.583333333336</v>
      </c>
      <c r="AV23" s="103">
        <f t="shared" si="21"/>
        <v>4.1666666666666664E-2</v>
      </c>
      <c r="AW23" s="103">
        <f t="shared" si="25"/>
        <v>0</v>
      </c>
      <c r="AX23" s="103">
        <f t="shared" si="22"/>
        <v>0</v>
      </c>
      <c r="AY23" s="103">
        <f t="shared" ca="1" si="23"/>
        <v>0</v>
      </c>
      <c r="AZ23" s="104">
        <f t="shared" ca="1" si="24"/>
        <v>4.1666666666666664E-2</v>
      </c>
      <c r="BA23" s="239" t="s">
        <v>140</v>
      </c>
    </row>
    <row r="24" spans="1:53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 t="str">
        <f ca="1">IFERROR(D24/24/AY24,"")</f>
        <v/>
      </c>
      <c r="F24" s="125">
        <f t="shared" si="9"/>
        <v>200</v>
      </c>
      <c r="G24" s="126"/>
      <c r="H24" s="216"/>
      <c r="I24" s="216"/>
      <c r="J24" s="216"/>
      <c r="K24" s="216"/>
      <c r="L24" s="216"/>
      <c r="M24" s="217"/>
      <c r="N24" s="126"/>
      <c r="O24" s="126"/>
      <c r="P24" s="126"/>
      <c r="Q24" s="126"/>
      <c r="R24" s="216"/>
      <c r="S24" s="216"/>
      <c r="T24" s="218"/>
      <c r="U24" s="218"/>
      <c r="V24" s="136"/>
      <c r="W24" s="136"/>
      <c r="X24" s="136"/>
      <c r="Y24" s="136"/>
      <c r="Z24" s="139"/>
      <c r="AA24" s="139"/>
      <c r="AB24" s="139"/>
      <c r="AC24" s="139"/>
      <c r="AD24" s="139"/>
      <c r="AE24" s="139"/>
      <c r="AF24" s="139"/>
      <c r="AG24" s="129"/>
      <c r="AH24" s="219"/>
      <c r="AI24" s="220"/>
      <c r="AJ24" s="136" t="str">
        <f t="shared" ref="AJ24:AM24" si="27">IFERROR(AVERAGE(AJ16:AJ23),"")</f>
        <v/>
      </c>
      <c r="AK24" s="136" t="str">
        <f t="shared" si="27"/>
        <v/>
      </c>
      <c r="AL24" s="136" t="str">
        <f t="shared" si="27"/>
        <v/>
      </c>
      <c r="AM24" s="136" t="str">
        <f t="shared" si="27"/>
        <v/>
      </c>
      <c r="AN24" s="132"/>
      <c r="AO24" s="132"/>
      <c r="AP24" s="120">
        <f>AP23</f>
        <v>0</v>
      </c>
      <c r="AQ24" s="120"/>
      <c r="AR24" s="120"/>
      <c r="AS24" s="120"/>
      <c r="AT24" s="120"/>
      <c r="AU24" s="120"/>
      <c r="AV24" s="120"/>
      <c r="AW24" s="120"/>
      <c r="AX24" s="120"/>
      <c r="AY24" s="143">
        <f ca="1">SUM(AY16:AY23)</f>
        <v>0</v>
      </c>
      <c r="AZ24" s="143">
        <f ca="1">SUM(AZ16:AZ23)</f>
        <v>0.33333333333333331</v>
      </c>
      <c r="BA24" s="239"/>
    </row>
    <row r="25" spans="1:53" ht="13.15" customHeight="1" thickTop="1" x14ac:dyDescent="0.25">
      <c r="A25" s="96">
        <f t="shared" ref="A25:A32" si="28">B25+$B$1</f>
        <v>45133.625</v>
      </c>
      <c r="B25" s="198">
        <v>0.625</v>
      </c>
      <c r="C25" s="199" t="s">
        <v>130</v>
      </c>
      <c r="D25" s="79">
        <v>67654</v>
      </c>
      <c r="E25" s="80">
        <f>IF(D25&gt;0,D25-D23,"")</f>
        <v>31</v>
      </c>
      <c r="F25" s="200">
        <f t="shared" si="9"/>
        <v>200</v>
      </c>
      <c r="G25" s="209"/>
      <c r="H25" s="210">
        <v>32</v>
      </c>
      <c r="I25" s="210">
        <v>39</v>
      </c>
      <c r="J25" s="209">
        <v>15</v>
      </c>
      <c r="K25" s="210"/>
      <c r="L25" s="211">
        <v>20</v>
      </c>
      <c r="M25" s="211" t="s">
        <v>136</v>
      </c>
      <c r="N25" s="209"/>
      <c r="O25" s="209" t="s">
        <v>136</v>
      </c>
      <c r="P25" s="209"/>
      <c r="Q25" s="209"/>
      <c r="R25" s="209" t="s">
        <v>137</v>
      </c>
      <c r="S25" s="209" t="s">
        <v>123</v>
      </c>
      <c r="T25" s="209" t="s">
        <v>116</v>
      </c>
      <c r="U25" s="209"/>
      <c r="V25" s="209">
        <v>25</v>
      </c>
      <c r="W25" s="209" t="s">
        <v>136</v>
      </c>
      <c r="X25" s="209"/>
      <c r="Y25" s="209" t="s">
        <v>136</v>
      </c>
      <c r="Z25" s="212"/>
      <c r="AA25" s="212">
        <v>89</v>
      </c>
      <c r="AB25" s="212">
        <v>22</v>
      </c>
      <c r="AC25" s="212">
        <v>87</v>
      </c>
      <c r="AD25" s="209">
        <v>100</v>
      </c>
      <c r="AE25" s="209"/>
      <c r="AF25" s="209">
        <v>24</v>
      </c>
      <c r="AG25" s="212">
        <v>31</v>
      </c>
      <c r="AH25" s="209">
        <v>100</v>
      </c>
      <c r="AI25" s="213">
        <v>9</v>
      </c>
      <c r="AJ25" s="209" t="s">
        <v>134</v>
      </c>
      <c r="AK25" s="209" t="s">
        <v>135</v>
      </c>
      <c r="AL25" s="209"/>
      <c r="AM25" s="209"/>
      <c r="AN25" s="134">
        <v>0.58333333333333337</v>
      </c>
      <c r="AO25" s="134">
        <v>0.60416666666666663</v>
      </c>
      <c r="AP25" s="102">
        <f t="shared" ref="AP25:AP32" si="29">AT25</f>
        <v>1</v>
      </c>
      <c r="AQ25" s="103">
        <f t="shared" ref="AQ25:AQ32" si="30">IF(AN25&lt;&gt;"",AN25+$B$1,B25+$B$1-1/24)</f>
        <v>45133.583333333336</v>
      </c>
      <c r="AR25" s="102">
        <f t="shared" ref="AR25:AR32" si="31">AP24</f>
        <v>0</v>
      </c>
      <c r="AS25" s="102">
        <f t="shared" ref="AS25:AS32" si="32">IF(AN25="",AR25,0)</f>
        <v>0</v>
      </c>
      <c r="AT25" s="102">
        <f t="shared" ref="AT25:AT32" si="33">IF(AO25&lt;&gt;"",1,AS25)</f>
        <v>1</v>
      </c>
      <c r="AU25" s="103">
        <f>IF(AO23&lt;&gt;"",AO23+$B$1,B25+$B$1)</f>
        <v>45133.625</v>
      </c>
      <c r="AV25" s="103">
        <f t="shared" ref="AV25:AV32" si="34">AQ25-A25+1/24</f>
        <v>2.425316891763174E-12</v>
      </c>
      <c r="AW25" s="103">
        <f t="shared" ref="AW25:AW32" si="35">AU25-AQ25</f>
        <v>4.1666666664241347E-2</v>
      </c>
      <c r="AX25" s="103">
        <f t="shared" ref="AX25:AX32" si="36">A25-AU25</f>
        <v>0</v>
      </c>
      <c r="AY25" s="103">
        <f t="shared" ref="AY25:AY32" ca="1" si="37">IF(A25&lt;$AZ$1,SUMPRODUCT(AR25:AT25,AV25:AX25),0)</f>
        <v>0</v>
      </c>
      <c r="AZ25" s="104">
        <f t="shared" ref="AZ25:AZ32" ca="1" si="38">IF(A25&lt;$AZ$1,1/24-AY25,0)</f>
        <v>4.1666666666666664E-2</v>
      </c>
    </row>
    <row r="26" spans="1:53" x14ac:dyDescent="0.25">
      <c r="A26" s="96">
        <f t="shared" si="28"/>
        <v>45133.666666666664</v>
      </c>
      <c r="B26" s="198">
        <v>0.66666666666666663</v>
      </c>
      <c r="C26" s="199" t="s">
        <v>130</v>
      </c>
      <c r="D26" s="79">
        <v>67762</v>
      </c>
      <c r="E26" s="80">
        <f>IF(D26&gt;0,D26-D25,"")</f>
        <v>108</v>
      </c>
      <c r="F26" s="200">
        <f t="shared" si="9"/>
        <v>200</v>
      </c>
      <c r="G26" s="209"/>
      <c r="H26" s="210">
        <v>38</v>
      </c>
      <c r="I26" s="210">
        <v>43</v>
      </c>
      <c r="J26" s="209">
        <v>15</v>
      </c>
      <c r="K26" s="210"/>
      <c r="L26" s="211">
        <v>20</v>
      </c>
      <c r="M26" s="211" t="s">
        <v>136</v>
      </c>
      <c r="N26" s="209"/>
      <c r="O26" s="209" t="s">
        <v>136</v>
      </c>
      <c r="P26" s="209"/>
      <c r="Q26" s="209"/>
      <c r="R26" s="209">
        <v>38.1</v>
      </c>
      <c r="S26" s="209">
        <v>40.4</v>
      </c>
      <c r="T26" s="209">
        <v>1.9</v>
      </c>
      <c r="U26" s="209"/>
      <c r="V26" s="209">
        <v>25</v>
      </c>
      <c r="W26" s="209" t="s">
        <v>136</v>
      </c>
      <c r="X26" s="209"/>
      <c r="Y26" s="209" t="s">
        <v>136</v>
      </c>
      <c r="Z26" s="212"/>
      <c r="AA26" s="212">
        <v>81</v>
      </c>
      <c r="AB26" s="212">
        <v>25</v>
      </c>
      <c r="AC26" s="212">
        <v>61</v>
      </c>
      <c r="AD26" s="209">
        <v>100</v>
      </c>
      <c r="AE26" s="209"/>
      <c r="AF26" s="209">
        <v>100</v>
      </c>
      <c r="AG26" s="212">
        <v>25</v>
      </c>
      <c r="AH26" s="209">
        <v>100</v>
      </c>
      <c r="AI26" s="213">
        <v>38</v>
      </c>
      <c r="AJ26" s="209" t="s">
        <v>155</v>
      </c>
      <c r="AK26" s="209" t="s">
        <v>135</v>
      </c>
      <c r="AL26" s="209"/>
      <c r="AM26" s="209"/>
      <c r="AN26" s="134"/>
      <c r="AO26" s="145"/>
      <c r="AP26" s="102">
        <f t="shared" si="29"/>
        <v>1</v>
      </c>
      <c r="AQ26" s="103">
        <f t="shared" si="30"/>
        <v>45133.625</v>
      </c>
      <c r="AR26" s="102">
        <f t="shared" si="31"/>
        <v>1</v>
      </c>
      <c r="AS26" s="102">
        <f t="shared" si="32"/>
        <v>1</v>
      </c>
      <c r="AT26" s="102">
        <f t="shared" si="33"/>
        <v>1</v>
      </c>
      <c r="AU26" s="103">
        <f t="shared" ref="AU26:AU32" si="39">IF(AO25&lt;&gt;"",AO25+$B$1,B26+$B$1)</f>
        <v>45133.604166666664</v>
      </c>
      <c r="AV26" s="103">
        <f t="shared" si="34"/>
        <v>2.425316891763174E-12</v>
      </c>
      <c r="AW26" s="103">
        <f t="shared" si="35"/>
        <v>-2.0833333335758653E-2</v>
      </c>
      <c r="AX26" s="103">
        <f t="shared" si="36"/>
        <v>6.25E-2</v>
      </c>
      <c r="AY26" s="103">
        <f t="shared" ca="1" si="37"/>
        <v>4.1666666666666664E-2</v>
      </c>
      <c r="AZ26" s="104">
        <f t="shared" ca="1" si="38"/>
        <v>0</v>
      </c>
      <c r="BA26" s="239" t="s">
        <v>158</v>
      </c>
    </row>
    <row r="27" spans="1:53" x14ac:dyDescent="0.25">
      <c r="A27" s="96">
        <f t="shared" si="28"/>
        <v>45133.708333333336</v>
      </c>
      <c r="B27" s="198">
        <v>0.70833333333333337</v>
      </c>
      <c r="C27" s="199" t="s">
        <v>130</v>
      </c>
      <c r="D27" s="79">
        <v>67880</v>
      </c>
      <c r="E27" s="80">
        <f t="shared" si="26"/>
        <v>118</v>
      </c>
      <c r="F27" s="200">
        <f t="shared" si="9"/>
        <v>200</v>
      </c>
      <c r="G27" s="209"/>
      <c r="H27" s="210">
        <v>34</v>
      </c>
      <c r="I27" s="210">
        <v>43</v>
      </c>
      <c r="J27" s="209">
        <v>15</v>
      </c>
      <c r="K27" s="210"/>
      <c r="L27" s="211">
        <v>20</v>
      </c>
      <c r="M27" s="211" t="s">
        <v>136</v>
      </c>
      <c r="N27" s="209"/>
      <c r="O27" s="209" t="s">
        <v>136</v>
      </c>
      <c r="P27" s="209"/>
      <c r="Q27" s="209"/>
      <c r="R27" s="209" t="s">
        <v>110</v>
      </c>
      <c r="S27" s="209" t="s">
        <v>122</v>
      </c>
      <c r="T27" s="209" t="s">
        <v>118</v>
      </c>
      <c r="U27" s="209"/>
      <c r="V27" s="209">
        <v>25</v>
      </c>
      <c r="W27" s="209" t="s">
        <v>136</v>
      </c>
      <c r="X27" s="209"/>
      <c r="Y27" s="209" t="s">
        <v>136</v>
      </c>
      <c r="Z27" s="212"/>
      <c r="AA27" s="212">
        <v>84</v>
      </c>
      <c r="AB27" s="212">
        <v>10</v>
      </c>
      <c r="AC27" s="212">
        <v>60</v>
      </c>
      <c r="AD27" s="209">
        <v>100</v>
      </c>
      <c r="AE27" s="209"/>
      <c r="AF27" s="209">
        <v>100</v>
      </c>
      <c r="AG27" s="212">
        <v>54</v>
      </c>
      <c r="AH27" s="209">
        <v>100</v>
      </c>
      <c r="AI27" s="213">
        <v>41</v>
      </c>
      <c r="AJ27" s="209" t="s">
        <v>134</v>
      </c>
      <c r="AK27" s="209" t="s">
        <v>135</v>
      </c>
      <c r="AL27" s="209"/>
      <c r="AM27" s="209"/>
      <c r="AN27" s="134"/>
      <c r="AO27" s="145"/>
      <c r="AP27" s="102">
        <f t="shared" si="29"/>
        <v>1</v>
      </c>
      <c r="AQ27" s="103">
        <f t="shared" si="30"/>
        <v>45133.666666666672</v>
      </c>
      <c r="AR27" s="102">
        <f t="shared" si="31"/>
        <v>1</v>
      </c>
      <c r="AS27" s="102">
        <f t="shared" si="32"/>
        <v>1</v>
      </c>
      <c r="AT27" s="102">
        <f t="shared" si="33"/>
        <v>1</v>
      </c>
      <c r="AU27" s="103">
        <f t="shared" si="39"/>
        <v>45133.708333333336</v>
      </c>
      <c r="AV27" s="103">
        <f t="shared" si="34"/>
        <v>2.425316891763174E-12</v>
      </c>
      <c r="AW27" s="103">
        <f t="shared" si="35"/>
        <v>4.1666666664241347E-2</v>
      </c>
      <c r="AX27" s="103">
        <f t="shared" si="36"/>
        <v>0</v>
      </c>
      <c r="AY27" s="103">
        <f t="shared" ca="1" si="37"/>
        <v>4.1666666666666664E-2</v>
      </c>
      <c r="AZ27" s="104">
        <f t="shared" ca="1" si="38"/>
        <v>0</v>
      </c>
      <c r="BA27" s="239"/>
    </row>
    <row r="28" spans="1:53" ht="14.25" customHeight="1" x14ac:dyDescent="0.25">
      <c r="A28" s="96">
        <f t="shared" si="28"/>
        <v>45133.75</v>
      </c>
      <c r="B28" s="198">
        <v>0.75</v>
      </c>
      <c r="C28" s="199" t="s">
        <v>130</v>
      </c>
      <c r="D28" s="79">
        <v>67974</v>
      </c>
      <c r="E28" s="80">
        <f t="shared" si="26"/>
        <v>94</v>
      </c>
      <c r="F28" s="200">
        <f t="shared" si="9"/>
        <v>200</v>
      </c>
      <c r="G28" s="209"/>
      <c r="H28" s="210">
        <v>32</v>
      </c>
      <c r="I28" s="210">
        <v>40</v>
      </c>
      <c r="J28" s="209">
        <v>15</v>
      </c>
      <c r="K28" s="210"/>
      <c r="L28" s="211">
        <v>20</v>
      </c>
      <c r="M28" s="211" t="s">
        <v>136</v>
      </c>
      <c r="N28" s="209"/>
      <c r="O28" s="209" t="s">
        <v>136</v>
      </c>
      <c r="P28" s="209"/>
      <c r="Q28" s="209"/>
      <c r="R28" s="209" t="s">
        <v>123</v>
      </c>
      <c r="S28" s="209" t="s">
        <v>120</v>
      </c>
      <c r="T28" s="209" t="s">
        <v>119</v>
      </c>
      <c r="U28" s="209"/>
      <c r="V28" s="209">
        <v>25</v>
      </c>
      <c r="W28" s="209" t="s">
        <v>136</v>
      </c>
      <c r="X28" s="209"/>
      <c r="Y28" s="209" t="s">
        <v>136</v>
      </c>
      <c r="Z28" s="212"/>
      <c r="AA28" s="212">
        <v>88</v>
      </c>
      <c r="AB28" s="212">
        <v>8</v>
      </c>
      <c r="AC28" s="212">
        <v>67</v>
      </c>
      <c r="AD28" s="209">
        <v>100</v>
      </c>
      <c r="AE28" s="209"/>
      <c r="AF28" s="209">
        <v>100</v>
      </c>
      <c r="AG28" s="212">
        <v>53</v>
      </c>
      <c r="AH28" s="212">
        <v>100</v>
      </c>
      <c r="AI28" s="213">
        <v>41</v>
      </c>
      <c r="AJ28" s="209" t="s">
        <v>134</v>
      </c>
      <c r="AK28" s="209" t="s">
        <v>135</v>
      </c>
      <c r="AL28" s="209"/>
      <c r="AM28" s="209"/>
      <c r="AN28" s="101">
        <v>0.72569444444444453</v>
      </c>
      <c r="AO28" s="101">
        <v>0.75694444444444453</v>
      </c>
      <c r="AP28" s="102">
        <f t="shared" si="29"/>
        <v>1</v>
      </c>
      <c r="AQ28" s="103">
        <f t="shared" si="30"/>
        <v>45133.725694444445</v>
      </c>
      <c r="AR28" s="102">
        <f t="shared" si="31"/>
        <v>1</v>
      </c>
      <c r="AS28" s="102">
        <f t="shared" si="32"/>
        <v>0</v>
      </c>
      <c r="AT28" s="102">
        <f t="shared" si="33"/>
        <v>1</v>
      </c>
      <c r="AU28" s="103">
        <f t="shared" si="39"/>
        <v>45133.75</v>
      </c>
      <c r="AV28" s="103">
        <f t="shared" si="34"/>
        <v>1.7361111111919549E-2</v>
      </c>
      <c r="AW28" s="103">
        <f t="shared" si="35"/>
        <v>2.4305555554747116E-2</v>
      </c>
      <c r="AX28" s="103">
        <f t="shared" si="36"/>
        <v>0</v>
      </c>
      <c r="AY28" s="103">
        <f t="shared" ca="1" si="37"/>
        <v>1.7361111111919549E-2</v>
      </c>
      <c r="AZ28" s="104">
        <f t="shared" ca="1" si="38"/>
        <v>2.4305555554747116E-2</v>
      </c>
      <c r="BA28" s="239" t="s">
        <v>156</v>
      </c>
    </row>
    <row r="29" spans="1:53" ht="15" customHeight="1" x14ac:dyDescent="0.25">
      <c r="A29" s="96">
        <f t="shared" si="28"/>
        <v>45133.791666666664</v>
      </c>
      <c r="B29" s="198">
        <v>0.79166666666666663</v>
      </c>
      <c r="C29" s="199" t="s">
        <v>130</v>
      </c>
      <c r="D29" s="79">
        <v>68051</v>
      </c>
      <c r="E29" s="80">
        <f t="shared" si="26"/>
        <v>77</v>
      </c>
      <c r="F29" s="200">
        <f t="shared" si="9"/>
        <v>200</v>
      </c>
      <c r="G29" s="209"/>
      <c r="H29" s="210">
        <v>32</v>
      </c>
      <c r="I29" s="210">
        <v>40</v>
      </c>
      <c r="J29" s="209">
        <v>15</v>
      </c>
      <c r="K29" s="210"/>
      <c r="L29" s="211">
        <v>20</v>
      </c>
      <c r="M29" s="211" t="s">
        <v>136</v>
      </c>
      <c r="N29" s="209"/>
      <c r="O29" s="209" t="s">
        <v>136</v>
      </c>
      <c r="P29" s="209"/>
      <c r="Q29" s="209"/>
      <c r="R29" s="209" t="s">
        <v>124</v>
      </c>
      <c r="S29" s="209" t="s">
        <v>110</v>
      </c>
      <c r="T29" s="209" t="s">
        <v>118</v>
      </c>
      <c r="U29" s="209"/>
      <c r="V29" s="209">
        <v>25</v>
      </c>
      <c r="W29" s="209" t="s">
        <v>136</v>
      </c>
      <c r="X29" s="209"/>
      <c r="Y29" s="209" t="s">
        <v>136</v>
      </c>
      <c r="Z29" s="212"/>
      <c r="AA29" s="212">
        <v>88</v>
      </c>
      <c r="AB29" s="212">
        <v>39</v>
      </c>
      <c r="AC29" s="212">
        <v>79</v>
      </c>
      <c r="AD29" s="209">
        <v>70</v>
      </c>
      <c r="AE29" s="209"/>
      <c r="AF29" s="209">
        <v>100</v>
      </c>
      <c r="AG29" s="212">
        <v>9</v>
      </c>
      <c r="AH29" s="212">
        <v>100</v>
      </c>
      <c r="AI29" s="213">
        <v>0</v>
      </c>
      <c r="AJ29" s="209" t="s">
        <v>134</v>
      </c>
      <c r="AK29" s="209" t="s">
        <v>135</v>
      </c>
      <c r="AL29" s="209"/>
      <c r="AM29" s="209"/>
      <c r="AN29" s="100">
        <v>0.78263888888888899</v>
      </c>
      <c r="AO29" s="101"/>
      <c r="AP29" s="102">
        <f t="shared" si="29"/>
        <v>0</v>
      </c>
      <c r="AQ29" s="103">
        <f t="shared" si="30"/>
        <v>45133.782638888886</v>
      </c>
      <c r="AR29" s="102">
        <f t="shared" si="31"/>
        <v>1</v>
      </c>
      <c r="AS29" s="102">
        <f t="shared" si="32"/>
        <v>0</v>
      </c>
      <c r="AT29" s="102">
        <f t="shared" si="33"/>
        <v>0</v>
      </c>
      <c r="AU29" s="103">
        <f t="shared" si="39"/>
        <v>45133.756944444445</v>
      </c>
      <c r="AV29" s="103">
        <f t="shared" si="34"/>
        <v>3.2638888888565511E-2</v>
      </c>
      <c r="AW29" s="103">
        <f t="shared" si="35"/>
        <v>-2.569444444088731E-2</v>
      </c>
      <c r="AX29" s="103">
        <f t="shared" si="36"/>
        <v>3.4722222218988463E-2</v>
      </c>
      <c r="AY29" s="103">
        <f t="shared" ca="1" si="37"/>
        <v>3.2638888888565511E-2</v>
      </c>
      <c r="AZ29" s="104">
        <f t="shared" ca="1" si="38"/>
        <v>9.0277777781011537E-3</v>
      </c>
      <c r="BA29" s="239" t="s">
        <v>157</v>
      </c>
    </row>
    <row r="30" spans="1:53" x14ac:dyDescent="0.25">
      <c r="A30" s="96">
        <f t="shared" si="28"/>
        <v>45133.833333333336</v>
      </c>
      <c r="B30" s="198">
        <v>0.83333333333333337</v>
      </c>
      <c r="C30" s="199" t="s">
        <v>130</v>
      </c>
      <c r="D30" s="79">
        <v>68115</v>
      </c>
      <c r="E30" s="80">
        <f t="shared" si="26"/>
        <v>64</v>
      </c>
      <c r="F30" s="200">
        <f t="shared" si="9"/>
        <v>200</v>
      </c>
      <c r="G30" s="209"/>
      <c r="H30" s="210">
        <v>31</v>
      </c>
      <c r="I30" s="210">
        <v>41</v>
      </c>
      <c r="J30" s="209">
        <v>15</v>
      </c>
      <c r="K30" s="210"/>
      <c r="L30" s="211">
        <v>20</v>
      </c>
      <c r="M30" s="211" t="s">
        <v>136</v>
      </c>
      <c r="N30" s="209"/>
      <c r="O30" s="209" t="s">
        <v>136</v>
      </c>
      <c r="P30" s="209"/>
      <c r="Q30" s="209"/>
      <c r="R30" s="209">
        <v>37.9</v>
      </c>
      <c r="S30" s="209" t="s">
        <v>161</v>
      </c>
      <c r="T30" s="209">
        <v>2.2999999999999998</v>
      </c>
      <c r="U30" s="209"/>
      <c r="V30" s="209">
        <v>25</v>
      </c>
      <c r="W30" s="209" t="s">
        <v>136</v>
      </c>
      <c r="X30" s="209"/>
      <c r="Y30" s="209" t="s">
        <v>136</v>
      </c>
      <c r="Z30" s="212"/>
      <c r="AA30" s="212">
        <v>89</v>
      </c>
      <c r="AB30" s="212">
        <v>63</v>
      </c>
      <c r="AC30" s="212">
        <v>82</v>
      </c>
      <c r="AD30" s="209">
        <v>80</v>
      </c>
      <c r="AE30" s="209"/>
      <c r="AF30" s="209">
        <v>70</v>
      </c>
      <c r="AG30" s="212">
        <v>24</v>
      </c>
      <c r="AH30" s="212">
        <v>100</v>
      </c>
      <c r="AI30" s="213">
        <v>0</v>
      </c>
      <c r="AJ30" s="209" t="s">
        <v>134</v>
      </c>
      <c r="AK30" s="209" t="s">
        <v>135</v>
      </c>
      <c r="AL30" s="209"/>
      <c r="AM30" s="209"/>
      <c r="AN30" s="101"/>
      <c r="AO30" s="101">
        <v>0.81388888888888899</v>
      </c>
      <c r="AP30" s="102">
        <f t="shared" si="29"/>
        <v>1</v>
      </c>
      <c r="AQ30" s="103">
        <f t="shared" si="30"/>
        <v>45133.791666666672</v>
      </c>
      <c r="AR30" s="102">
        <f t="shared" si="31"/>
        <v>0</v>
      </c>
      <c r="AS30" s="102">
        <f t="shared" si="32"/>
        <v>0</v>
      </c>
      <c r="AT30" s="102">
        <f t="shared" si="33"/>
        <v>1</v>
      </c>
      <c r="AU30" s="103">
        <f t="shared" si="39"/>
        <v>45133.833333333336</v>
      </c>
      <c r="AV30" s="103">
        <f t="shared" si="34"/>
        <v>2.425316891763174E-12</v>
      </c>
      <c r="AW30" s="103">
        <f t="shared" si="35"/>
        <v>4.1666666664241347E-2</v>
      </c>
      <c r="AX30" s="103">
        <f t="shared" si="36"/>
        <v>0</v>
      </c>
      <c r="AY30" s="103">
        <f t="shared" ca="1" si="37"/>
        <v>0</v>
      </c>
      <c r="AZ30" s="104">
        <f t="shared" ca="1" si="38"/>
        <v>4.1666666666666664E-2</v>
      </c>
      <c r="BA30" s="239" t="s">
        <v>159</v>
      </c>
    </row>
    <row r="31" spans="1:53" ht="14.25" customHeight="1" x14ac:dyDescent="0.25">
      <c r="A31" s="96">
        <f t="shared" si="28"/>
        <v>45133.875</v>
      </c>
      <c r="B31" s="198">
        <v>0.875</v>
      </c>
      <c r="C31" s="199" t="s">
        <v>130</v>
      </c>
      <c r="D31" s="79">
        <v>68115</v>
      </c>
      <c r="E31" s="80">
        <f t="shared" si="26"/>
        <v>0</v>
      </c>
      <c r="F31" s="200">
        <f t="shared" si="9"/>
        <v>200</v>
      </c>
      <c r="G31" s="209"/>
      <c r="H31" s="210"/>
      <c r="I31" s="210"/>
      <c r="J31" s="209"/>
      <c r="K31" s="210"/>
      <c r="L31" s="211"/>
      <c r="M31" s="211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12"/>
      <c r="AA31" s="212"/>
      <c r="AB31" s="212"/>
      <c r="AC31" s="212"/>
      <c r="AD31" s="209"/>
      <c r="AE31" s="209"/>
      <c r="AF31" s="209"/>
      <c r="AG31" s="212"/>
      <c r="AH31" s="212"/>
      <c r="AI31" s="213"/>
      <c r="AJ31" s="209"/>
      <c r="AK31" s="209"/>
      <c r="AL31" s="209"/>
      <c r="AM31" s="209"/>
      <c r="AN31" s="101">
        <v>0.84305555555555556</v>
      </c>
      <c r="AO31" s="101"/>
      <c r="AP31" s="102">
        <f t="shared" si="29"/>
        <v>0</v>
      </c>
      <c r="AQ31" s="103">
        <f t="shared" si="30"/>
        <v>45133.843055555553</v>
      </c>
      <c r="AR31" s="102">
        <f t="shared" si="31"/>
        <v>1</v>
      </c>
      <c r="AS31" s="102">
        <f t="shared" si="32"/>
        <v>0</v>
      </c>
      <c r="AT31" s="102">
        <f t="shared" si="33"/>
        <v>0</v>
      </c>
      <c r="AU31" s="103">
        <f t="shared" si="39"/>
        <v>45133.813888888886</v>
      </c>
      <c r="AV31" s="103">
        <f t="shared" si="34"/>
        <v>9.7222222199585887E-3</v>
      </c>
      <c r="AW31" s="103">
        <f t="shared" si="35"/>
        <v>-2.9166666667151731E-2</v>
      </c>
      <c r="AX31" s="103">
        <f t="shared" si="36"/>
        <v>6.1111111113859806E-2</v>
      </c>
      <c r="AY31" s="103">
        <f t="shared" ca="1" si="37"/>
        <v>9.7222222199585887E-3</v>
      </c>
      <c r="AZ31" s="104">
        <f t="shared" ca="1" si="38"/>
        <v>3.1944444446708076E-2</v>
      </c>
      <c r="BA31" s="239" t="s">
        <v>160</v>
      </c>
    </row>
    <row r="32" spans="1:53" x14ac:dyDescent="0.25">
      <c r="A32" s="96">
        <f t="shared" si="28"/>
        <v>45133.916666666664</v>
      </c>
      <c r="B32" s="198">
        <v>0.91666666666666663</v>
      </c>
      <c r="C32" s="199" t="s">
        <v>130</v>
      </c>
      <c r="D32" s="79">
        <v>68115</v>
      </c>
      <c r="E32" s="80">
        <f t="shared" si="26"/>
        <v>0</v>
      </c>
      <c r="F32" s="200">
        <f t="shared" si="9"/>
        <v>200</v>
      </c>
      <c r="G32" s="209"/>
      <c r="H32" s="210"/>
      <c r="I32" s="210"/>
      <c r="J32" s="209"/>
      <c r="K32" s="210"/>
      <c r="L32" s="211"/>
      <c r="M32" s="211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12"/>
      <c r="AA32" s="212"/>
      <c r="AB32" s="212"/>
      <c r="AC32" s="212"/>
      <c r="AD32" s="209"/>
      <c r="AE32" s="209"/>
      <c r="AF32" s="209"/>
      <c r="AG32" s="212"/>
      <c r="AH32" s="212"/>
      <c r="AI32" s="213"/>
      <c r="AJ32" s="209"/>
      <c r="AK32" s="209"/>
      <c r="AL32" s="209"/>
      <c r="AM32" s="209"/>
      <c r="AN32" s="101"/>
      <c r="AO32" s="101"/>
      <c r="AP32" s="102">
        <f t="shared" si="29"/>
        <v>0</v>
      </c>
      <c r="AQ32" s="103">
        <f t="shared" si="30"/>
        <v>45133.875</v>
      </c>
      <c r="AR32" s="102">
        <f t="shared" si="31"/>
        <v>0</v>
      </c>
      <c r="AS32" s="102">
        <f t="shared" si="32"/>
        <v>0</v>
      </c>
      <c r="AT32" s="102">
        <f t="shared" si="33"/>
        <v>0</v>
      </c>
      <c r="AU32" s="103">
        <f t="shared" si="39"/>
        <v>45133.916666666664</v>
      </c>
      <c r="AV32" s="103">
        <f t="shared" si="34"/>
        <v>2.425316891763174E-12</v>
      </c>
      <c r="AW32" s="103">
        <f t="shared" si="35"/>
        <v>4.1666666664241347E-2</v>
      </c>
      <c r="AX32" s="103">
        <f t="shared" si="36"/>
        <v>0</v>
      </c>
      <c r="AY32" s="103">
        <f t="shared" ca="1" si="37"/>
        <v>0</v>
      </c>
      <c r="AZ32" s="104">
        <f t="shared" ca="1" si="38"/>
        <v>4.1666666666666664E-2</v>
      </c>
      <c r="BA32" s="239"/>
    </row>
    <row r="33" spans="1:53" ht="13.5" thickBot="1" x14ac:dyDescent="0.3">
      <c r="A33" s="96"/>
      <c r="B33" s="7" t="s">
        <v>60</v>
      </c>
      <c r="C33" s="7"/>
      <c r="D33" s="7">
        <f>IF(D32=0,SUM(E25:E32),D32-D23)</f>
        <v>492</v>
      </c>
      <c r="E33" s="121">
        <f ca="1">IFERROR(D33/24/AY33,"")</f>
        <v>143.30097087556805</v>
      </c>
      <c r="F33" s="121">
        <f t="shared" si="9"/>
        <v>200</v>
      </c>
      <c r="G33" s="7"/>
      <c r="H33" s="216"/>
      <c r="I33" s="216"/>
      <c r="J33" s="216"/>
      <c r="K33" s="216"/>
      <c r="L33" s="216"/>
      <c r="M33" s="206"/>
      <c r="N33" s="124"/>
      <c r="O33" s="124"/>
      <c r="P33" s="124"/>
      <c r="Q33" s="124"/>
      <c r="R33" s="124"/>
      <c r="S33" s="7"/>
      <c r="T33" s="121"/>
      <c r="U33" s="221"/>
      <c r="V33" s="136"/>
      <c r="W33" s="136"/>
      <c r="X33" s="136"/>
      <c r="Y33" s="136"/>
      <c r="Z33" s="222"/>
      <c r="AA33" s="222"/>
      <c r="AB33" s="222"/>
      <c r="AC33" s="222"/>
      <c r="AD33" s="222"/>
      <c r="AE33" s="222"/>
      <c r="AF33" s="222"/>
      <c r="AG33" s="124"/>
      <c r="AH33" s="223"/>
      <c r="AI33" s="220"/>
      <c r="AJ33" s="136" t="str">
        <f t="shared" ref="AJ33:AM33" si="40">IFERROR(AVERAGE(AJ25:AJ32),"")</f>
        <v/>
      </c>
      <c r="AK33" s="136" t="str">
        <f t="shared" si="40"/>
        <v/>
      </c>
      <c r="AL33" s="136" t="str">
        <f t="shared" si="40"/>
        <v/>
      </c>
      <c r="AM33" s="136" t="str">
        <f t="shared" si="40"/>
        <v/>
      </c>
      <c r="AN33" s="124"/>
      <c r="AO33" s="124"/>
      <c r="AP33" s="124"/>
      <c r="AQ33" s="102"/>
      <c r="AR33" s="102"/>
      <c r="AS33" s="102"/>
      <c r="AT33" s="102"/>
      <c r="AU33" s="102"/>
      <c r="AV33" s="102"/>
      <c r="AW33" s="102"/>
      <c r="AX33" s="102"/>
      <c r="AY33" s="143">
        <f ca="1">SUM(AY25:AY32)</f>
        <v>0.14305555555377697</v>
      </c>
      <c r="AZ33" s="143">
        <f ca="1">SUM(AZ25:AZ32)</f>
        <v>0.19027777777955632</v>
      </c>
      <c r="BA33" s="105"/>
    </row>
    <row r="34" spans="1:53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155"/>
      <c r="I34" s="225"/>
      <c r="J34" s="226"/>
      <c r="K34" s="226"/>
      <c r="L34" s="227"/>
      <c r="M34" s="227"/>
      <c r="N34" s="158"/>
      <c r="O34" s="158"/>
      <c r="P34" s="158"/>
      <c r="Q34" s="158"/>
      <c r="R34" s="158"/>
      <c r="S34" s="159"/>
      <c r="T34" s="158"/>
      <c r="U34" s="158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58"/>
      <c r="AH34" s="158"/>
      <c r="AI34" s="228"/>
      <c r="AJ34" s="160"/>
      <c r="AK34" s="160"/>
      <c r="AL34" s="160"/>
      <c r="AM34" s="160"/>
      <c r="AN34" s="158"/>
      <c r="AO34" s="158"/>
      <c r="AP34" s="158"/>
      <c r="AY34" s="159"/>
      <c r="AZ34" s="159"/>
    </row>
    <row r="35" spans="1:53" ht="13.5" thickBot="1" x14ac:dyDescent="0.3">
      <c r="B35" s="161" t="s">
        <v>61</v>
      </c>
      <c r="C35" s="161"/>
      <c r="D35" s="161">
        <f>D24+D33+D15</f>
        <v>492</v>
      </c>
      <c r="E35" s="80">
        <f t="shared" si="26"/>
        <v>492</v>
      </c>
      <c r="F35" s="161"/>
      <c r="G35" s="161">
        <f>G33+G24+G15</f>
        <v>0</v>
      </c>
      <c r="H35" s="161"/>
      <c r="I35" s="229">
        <f>IFERROR(G35/D35,"")</f>
        <v>0</v>
      </c>
      <c r="J35" s="230"/>
      <c r="K35" s="230"/>
      <c r="L35" s="231"/>
      <c r="M35" s="231"/>
      <c r="AY35" s="162">
        <f ca="1">AY33+AY24+AY15</f>
        <v>0.14306712962570597</v>
      </c>
      <c r="AZ35" s="162">
        <f ca="1">+AZ33+AZ24+AZ15</f>
        <v>0.85693287037429389</v>
      </c>
    </row>
    <row r="36" spans="1:53" ht="13.5" thickTop="1" x14ac:dyDescent="0.25"/>
    <row r="37" spans="1:53" ht="12.75" customHeight="1" x14ac:dyDescent="0.25">
      <c r="G37" s="293" t="s">
        <v>132</v>
      </c>
      <c r="H37" s="294"/>
      <c r="I37" s="294"/>
      <c r="J37" s="294"/>
      <c r="K37" s="294"/>
      <c r="L37" s="295"/>
      <c r="M37" s="1"/>
    </row>
    <row r="38" spans="1:53" ht="15.75" customHeight="1" x14ac:dyDescent="0.25">
      <c r="G38" s="234">
        <f>B1</f>
        <v>45133</v>
      </c>
      <c r="H38" s="168" t="s">
        <v>115</v>
      </c>
      <c r="I38" s="168" t="s">
        <v>63</v>
      </c>
      <c r="J38" s="168" t="s">
        <v>64</v>
      </c>
      <c r="K38" s="169" t="s">
        <v>61</v>
      </c>
      <c r="L38" s="169" t="s">
        <v>65</v>
      </c>
      <c r="M38" s="177"/>
      <c r="N38" s="177"/>
    </row>
    <row r="39" spans="1:53" ht="15.75" customHeight="1" x14ac:dyDescent="0.25">
      <c r="D39" s="177"/>
      <c r="G39" s="79" t="s">
        <v>66</v>
      </c>
      <c r="H39" s="171">
        <f>D15</f>
        <v>0</v>
      </c>
      <c r="I39" s="171">
        <f>D24</f>
        <v>0</v>
      </c>
      <c r="J39" s="171">
        <f>D33</f>
        <v>492</v>
      </c>
      <c r="K39" s="79">
        <f>D35</f>
        <v>492</v>
      </c>
      <c r="L39" s="194">
        <v>2042</v>
      </c>
      <c r="M39" s="177"/>
      <c r="N39" s="177"/>
      <c r="P39" s="177"/>
    </row>
    <row r="40" spans="1:53" x14ac:dyDescent="0.25">
      <c r="G40" s="79" t="s">
        <v>125</v>
      </c>
      <c r="H40" s="235">
        <f ca="1">AY15</f>
        <v>1.1574071929011664E-5</v>
      </c>
      <c r="I40" s="235">
        <f ca="1">AY24</f>
        <v>0</v>
      </c>
      <c r="J40" s="235">
        <f ca="1">AY33</f>
        <v>0.14305555555377697</v>
      </c>
      <c r="K40" s="235">
        <f ca="1">IF(SUM(H40:J40)=1,"24 h",SUM(H40:J40))</f>
        <v>0.14306712962570597</v>
      </c>
      <c r="L40" s="79"/>
      <c r="M40" s="1"/>
    </row>
    <row r="41" spans="1:53" x14ac:dyDescent="0.25">
      <c r="G41" s="79" t="s">
        <v>126</v>
      </c>
      <c r="H41" s="171">
        <f ca="1">E15</f>
        <v>0</v>
      </c>
      <c r="I41" s="171" t="str">
        <f ca="1">E24</f>
        <v/>
      </c>
      <c r="J41" s="171">
        <f ca="1">E33</f>
        <v>143.30097087556805</v>
      </c>
      <c r="K41" s="171">
        <f>E35</f>
        <v>492</v>
      </c>
      <c r="L41" s="171">
        <v>160</v>
      </c>
      <c r="M41" s="1"/>
    </row>
    <row r="44" spans="1:53" ht="63.75" x14ac:dyDescent="0.25">
      <c r="G44" s="173" t="s">
        <v>67</v>
      </c>
      <c r="H44" s="236" t="s">
        <v>68</v>
      </c>
      <c r="I44" s="236" t="s">
        <v>69</v>
      </c>
      <c r="J44" s="236" t="s">
        <v>70</v>
      </c>
      <c r="K44" s="236" t="s">
        <v>71</v>
      </c>
      <c r="L44" s="236" t="s">
        <v>133</v>
      </c>
      <c r="M44" s="236" t="s">
        <v>73</v>
      </c>
      <c r="N44" s="236" t="s">
        <v>74</v>
      </c>
      <c r="O44" s="236" t="s">
        <v>75</v>
      </c>
      <c r="P44" s="236" t="s">
        <v>76</v>
      </c>
      <c r="Q44" s="236" t="s">
        <v>77</v>
      </c>
      <c r="R44" s="236" t="s">
        <v>78</v>
      </c>
      <c r="S44" s="236" t="s">
        <v>79</v>
      </c>
      <c r="U44" s="237"/>
    </row>
    <row r="45" spans="1:53" x14ac:dyDescent="0.25">
      <c r="G45" s="174">
        <f>+B1</f>
        <v>45133</v>
      </c>
      <c r="H45" s="79">
        <f>+D6</f>
        <v>67623</v>
      </c>
      <c r="I45" s="79">
        <f>+D32</f>
        <v>68115</v>
      </c>
      <c r="J45" s="79">
        <f>+D35</f>
        <v>492</v>
      </c>
      <c r="K45" s="235">
        <v>0.25</v>
      </c>
      <c r="L45" s="235">
        <v>0.91666666666666663</v>
      </c>
      <c r="M45" s="235">
        <f>+L45-K45</f>
        <v>0.66666666666666663</v>
      </c>
      <c r="N45" s="235">
        <f ca="1">+AY35</f>
        <v>0.14306712962570597</v>
      </c>
      <c r="O45" s="79">
        <f>+M45*24</f>
        <v>16</v>
      </c>
      <c r="P45" s="238">
        <f ca="1">+AZ35</f>
        <v>0.85693287037429389</v>
      </c>
      <c r="Q45" s="79">
        <v>160</v>
      </c>
      <c r="R45" s="111">
        <f ca="1">+J45/N45/24</f>
        <v>143.28937788597813</v>
      </c>
      <c r="S45" s="79"/>
    </row>
    <row r="47" spans="1:53" ht="12.75" hidden="1" customHeight="1" x14ac:dyDescent="0.25">
      <c r="F47" s="1" t="s">
        <v>80</v>
      </c>
      <c r="G47" s="1" t="s">
        <v>131</v>
      </c>
      <c r="H47" s="79" t="str">
        <f>D2</f>
        <v>Crusher Product Totalizer</v>
      </c>
      <c r="I47" s="79" t="str">
        <f>G2</f>
        <v>AMBIENT TEMPERATURE</v>
      </c>
      <c r="J47" s="79">
        <f>S2</f>
        <v>0</v>
      </c>
      <c r="K47" s="79" t="str">
        <f>V2</f>
        <v>CLOSED SIDE SETTING (MM)</v>
      </c>
      <c r="L47" s="111" t="str">
        <f>AJ2</f>
        <v>FE 02 Secondary Feed</v>
      </c>
      <c r="M47" s="111" t="str">
        <f>AK2</f>
        <v>FE 03 Tertiary Feed</v>
      </c>
      <c r="N47" s="1" t="str">
        <f>AY2</f>
        <v>Running</v>
      </c>
      <c r="O47" s="1" t="str">
        <f>AZ2</f>
        <v>Standing</v>
      </c>
      <c r="P47" s="1" t="str">
        <f>BA2</f>
        <v>Notes/Description</v>
      </c>
    </row>
    <row r="48" spans="1:53" ht="12.75" hidden="1" customHeight="1" x14ac:dyDescent="0.25">
      <c r="F48" s="1">
        <v>1</v>
      </c>
      <c r="G48" s="96">
        <f t="shared" ref="G48:G55" si="41">A7</f>
        <v>45132.958333333336</v>
      </c>
      <c r="H48" s="79">
        <f t="shared" ref="H48:H55" si="42">D7</f>
        <v>67623</v>
      </c>
      <c r="I48" s="79">
        <f t="shared" ref="I48:I53" si="43">G7</f>
        <v>0</v>
      </c>
      <c r="J48" s="79">
        <f>S7</f>
        <v>0</v>
      </c>
      <c r="K48" s="79">
        <f t="shared" ref="K48:K55" si="44">V7</f>
        <v>0</v>
      </c>
      <c r="L48" s="111">
        <f t="shared" ref="L48:M55" si="45">AJ7</f>
        <v>0</v>
      </c>
      <c r="M48" s="111">
        <f t="shared" si="45"/>
        <v>0</v>
      </c>
      <c r="N48" s="162">
        <f ca="1">AY7</f>
        <v>1.1574071929011664E-5</v>
      </c>
      <c r="O48" s="162">
        <f ca="1">AZ7</f>
        <v>4.1655092594737653E-2</v>
      </c>
      <c r="P48" s="175" t="str">
        <f>BA7</f>
        <v>No night shift</v>
      </c>
    </row>
    <row r="49" spans="6:16" ht="12.75" hidden="1" customHeight="1" x14ac:dyDescent="0.25">
      <c r="F49" s="1">
        <v>2</v>
      </c>
      <c r="G49" s="96">
        <f t="shared" si="41"/>
        <v>45133</v>
      </c>
      <c r="H49" s="79">
        <f t="shared" si="42"/>
        <v>67623</v>
      </c>
      <c r="I49" s="79">
        <f t="shared" si="43"/>
        <v>0</v>
      </c>
      <c r="J49" s="79">
        <f t="shared" ref="J49:J55" si="46">S8</f>
        <v>0</v>
      </c>
      <c r="K49" s="79">
        <f t="shared" si="44"/>
        <v>0</v>
      </c>
      <c r="L49" s="111">
        <f t="shared" si="45"/>
        <v>0</v>
      </c>
      <c r="M49" s="111">
        <f t="shared" si="45"/>
        <v>0</v>
      </c>
      <c r="N49" s="162">
        <f t="shared" ref="N49:P55" ca="1" si="47">AY8</f>
        <v>0</v>
      </c>
      <c r="O49" s="162">
        <f t="shared" ca="1" si="47"/>
        <v>4.1666666666666664E-2</v>
      </c>
      <c r="P49" s="175" t="str">
        <f t="shared" si="47"/>
        <v>No night shift</v>
      </c>
    </row>
    <row r="50" spans="6:16" ht="12.75" hidden="1" customHeight="1" x14ac:dyDescent="0.25">
      <c r="F50" s="1">
        <v>3</v>
      </c>
      <c r="G50" s="96">
        <f t="shared" si="41"/>
        <v>45133.041666666664</v>
      </c>
      <c r="H50" s="79">
        <f t="shared" si="42"/>
        <v>67623</v>
      </c>
      <c r="I50" s="79">
        <f t="shared" si="43"/>
        <v>0</v>
      </c>
      <c r="J50" s="79">
        <f t="shared" si="46"/>
        <v>0</v>
      </c>
      <c r="K50" s="79">
        <f t="shared" si="44"/>
        <v>0</v>
      </c>
      <c r="L50" s="111">
        <f t="shared" si="45"/>
        <v>0</v>
      </c>
      <c r="M50" s="111">
        <f t="shared" si="45"/>
        <v>0</v>
      </c>
      <c r="N50" s="162">
        <f t="shared" ca="1" si="47"/>
        <v>0</v>
      </c>
      <c r="O50" s="162">
        <f t="shared" ca="1" si="47"/>
        <v>4.1666666666666664E-2</v>
      </c>
      <c r="P50" s="175" t="str">
        <f t="shared" si="47"/>
        <v>No night shift</v>
      </c>
    </row>
    <row r="51" spans="6:16" ht="12.75" hidden="1" customHeight="1" x14ac:dyDescent="0.25">
      <c r="F51" s="1">
        <v>4</v>
      </c>
      <c r="G51" s="96">
        <f t="shared" si="41"/>
        <v>45133.083333333336</v>
      </c>
      <c r="H51" s="79">
        <f t="shared" si="42"/>
        <v>67623</v>
      </c>
      <c r="I51" s="79">
        <f t="shared" si="43"/>
        <v>0</v>
      </c>
      <c r="J51" s="79">
        <f t="shared" si="46"/>
        <v>0</v>
      </c>
      <c r="K51" s="79">
        <f t="shared" si="44"/>
        <v>0</v>
      </c>
      <c r="L51" s="111">
        <f t="shared" si="45"/>
        <v>0</v>
      </c>
      <c r="M51" s="111">
        <f t="shared" si="45"/>
        <v>0</v>
      </c>
      <c r="N51" s="162">
        <f t="shared" ca="1" si="47"/>
        <v>0</v>
      </c>
      <c r="O51" s="162">
        <f t="shared" ca="1" si="47"/>
        <v>4.1666666666666664E-2</v>
      </c>
      <c r="P51" s="175" t="str">
        <f t="shared" si="47"/>
        <v>No night shift</v>
      </c>
    </row>
    <row r="52" spans="6:16" ht="12.75" hidden="1" customHeight="1" x14ac:dyDescent="0.25">
      <c r="F52" s="1">
        <v>5</v>
      </c>
      <c r="G52" s="96">
        <f t="shared" si="41"/>
        <v>45133.125</v>
      </c>
      <c r="H52" s="79">
        <f t="shared" si="42"/>
        <v>67623</v>
      </c>
      <c r="I52" s="79">
        <f t="shared" si="43"/>
        <v>0</v>
      </c>
      <c r="J52" s="79">
        <f>S11</f>
        <v>0</v>
      </c>
      <c r="K52" s="79">
        <f t="shared" si="44"/>
        <v>0</v>
      </c>
      <c r="L52" s="111">
        <f t="shared" si="45"/>
        <v>0</v>
      </c>
      <c r="M52" s="111">
        <f t="shared" si="45"/>
        <v>0</v>
      </c>
      <c r="N52" s="162">
        <f t="shared" ca="1" si="47"/>
        <v>0</v>
      </c>
      <c r="O52" s="162">
        <f t="shared" ca="1" si="47"/>
        <v>4.1666666666666664E-2</v>
      </c>
      <c r="P52" s="175" t="str">
        <f t="shared" si="47"/>
        <v>No night shift</v>
      </c>
    </row>
    <row r="53" spans="6:16" ht="12.75" hidden="1" customHeight="1" x14ac:dyDescent="0.25">
      <c r="F53" s="1">
        <v>6</v>
      </c>
      <c r="G53" s="96">
        <f t="shared" si="41"/>
        <v>45133.166666666664</v>
      </c>
      <c r="H53" s="79">
        <f t="shared" si="42"/>
        <v>67623</v>
      </c>
      <c r="I53" s="79">
        <f t="shared" si="43"/>
        <v>0</v>
      </c>
      <c r="J53" s="79">
        <f t="shared" si="46"/>
        <v>0</v>
      </c>
      <c r="K53" s="79">
        <f t="shared" si="44"/>
        <v>0</v>
      </c>
      <c r="L53" s="111">
        <f t="shared" si="45"/>
        <v>0</v>
      </c>
      <c r="M53" s="111">
        <f t="shared" si="45"/>
        <v>0</v>
      </c>
      <c r="N53" s="162">
        <f t="shared" ca="1" si="47"/>
        <v>0</v>
      </c>
      <c r="O53" s="162">
        <f t="shared" ca="1" si="47"/>
        <v>4.1666666666666664E-2</v>
      </c>
      <c r="P53" s="175" t="str">
        <f t="shared" si="47"/>
        <v>No night shift</v>
      </c>
    </row>
    <row r="54" spans="6:16" ht="12.75" hidden="1" customHeight="1" x14ac:dyDescent="0.25">
      <c r="F54" s="1">
        <v>7</v>
      </c>
      <c r="G54" s="96">
        <f t="shared" si="41"/>
        <v>45133.208333333336</v>
      </c>
      <c r="H54" s="79">
        <f t="shared" si="42"/>
        <v>67623</v>
      </c>
      <c r="I54" s="79">
        <f>G13</f>
        <v>0</v>
      </c>
      <c r="J54" s="79">
        <f t="shared" si="46"/>
        <v>0</v>
      </c>
      <c r="K54" s="79">
        <f t="shared" si="44"/>
        <v>0</v>
      </c>
      <c r="L54" s="111">
        <f t="shared" si="45"/>
        <v>0</v>
      </c>
      <c r="M54" s="111">
        <f t="shared" si="45"/>
        <v>0</v>
      </c>
      <c r="N54" s="162">
        <f t="shared" ca="1" si="47"/>
        <v>0</v>
      </c>
      <c r="O54" s="162">
        <f t="shared" ca="1" si="47"/>
        <v>4.1666666666666664E-2</v>
      </c>
      <c r="P54" s="175" t="str">
        <f t="shared" si="47"/>
        <v>No night shift</v>
      </c>
    </row>
    <row r="55" spans="6:16" ht="12.75" hidden="1" customHeight="1" x14ac:dyDescent="0.25">
      <c r="F55" s="1">
        <v>8</v>
      </c>
      <c r="G55" s="96">
        <f t="shared" si="41"/>
        <v>45133.25</v>
      </c>
      <c r="H55" s="79">
        <f t="shared" si="42"/>
        <v>67623</v>
      </c>
      <c r="I55" s="79">
        <f>G14</f>
        <v>0</v>
      </c>
      <c r="J55" s="79">
        <f t="shared" si="46"/>
        <v>0</v>
      </c>
      <c r="K55" s="79">
        <f t="shared" si="44"/>
        <v>0</v>
      </c>
      <c r="L55" s="111">
        <f t="shared" si="45"/>
        <v>0</v>
      </c>
      <c r="M55" s="111">
        <f t="shared" si="45"/>
        <v>0</v>
      </c>
      <c r="N55" s="162">
        <f t="shared" ca="1" si="47"/>
        <v>0</v>
      </c>
      <c r="O55" s="162">
        <f t="shared" ca="1" si="47"/>
        <v>4.1666666666666664E-2</v>
      </c>
      <c r="P55" s="175" t="str">
        <f t="shared" si="47"/>
        <v>06:00-14:00&gt;Caucus,Plant inspection ,doing maintanance</v>
      </c>
    </row>
    <row r="56" spans="6:16" ht="12.75" hidden="1" customHeight="1" x14ac:dyDescent="0.25">
      <c r="F56" s="1">
        <v>9</v>
      </c>
      <c r="G56" s="96">
        <f t="shared" ref="G56:G63" si="48">A16</f>
        <v>45133.291666666664</v>
      </c>
      <c r="H56" s="79">
        <f t="shared" ref="H56:H63" si="49">D16</f>
        <v>67623</v>
      </c>
      <c r="I56" s="79">
        <f t="shared" ref="I56:I63" si="50">G16</f>
        <v>0</v>
      </c>
      <c r="J56" s="79">
        <f t="shared" ref="J56:J63" si="51">S16</f>
        <v>0</v>
      </c>
      <c r="K56" s="79">
        <f t="shared" ref="K56:K63" si="52">V16</f>
        <v>0</v>
      </c>
      <c r="L56" s="111">
        <f t="shared" ref="L56:M63" si="53">AJ16</f>
        <v>0</v>
      </c>
      <c r="M56" s="111">
        <f t="shared" si="53"/>
        <v>0</v>
      </c>
      <c r="N56" s="162">
        <f t="shared" ref="N56:P63" ca="1" si="54">AY16</f>
        <v>0</v>
      </c>
      <c r="O56" s="162">
        <f t="shared" ca="1" si="54"/>
        <v>4.1666666666666664E-2</v>
      </c>
      <c r="P56" s="175" t="str">
        <f t="shared" si="54"/>
        <v xml:space="preserve">Maintanace </v>
      </c>
    </row>
    <row r="57" spans="6:16" ht="12.75" hidden="1" customHeight="1" x14ac:dyDescent="0.25">
      <c r="F57" s="1">
        <v>10</v>
      </c>
      <c r="G57" s="96">
        <f t="shared" si="48"/>
        <v>45133.333333333336</v>
      </c>
      <c r="H57" s="79">
        <f t="shared" si="49"/>
        <v>67623</v>
      </c>
      <c r="I57" s="79">
        <f t="shared" si="50"/>
        <v>0</v>
      </c>
      <c r="J57" s="79">
        <f t="shared" si="51"/>
        <v>0</v>
      </c>
      <c r="K57" s="79">
        <f t="shared" si="52"/>
        <v>0</v>
      </c>
      <c r="L57" s="111">
        <f t="shared" si="53"/>
        <v>0</v>
      </c>
      <c r="M57" s="111">
        <f t="shared" si="53"/>
        <v>0</v>
      </c>
      <c r="N57" s="162">
        <f t="shared" ca="1" si="54"/>
        <v>0</v>
      </c>
      <c r="O57" s="162">
        <f t="shared" ca="1" si="54"/>
        <v>4.1666666666666664E-2</v>
      </c>
      <c r="P57" s="175" t="str">
        <f t="shared" si="54"/>
        <v>Maintanace</v>
      </c>
    </row>
    <row r="58" spans="6:16" ht="12.75" hidden="1" customHeight="1" x14ac:dyDescent="0.25">
      <c r="F58" s="1">
        <v>11</v>
      </c>
      <c r="G58" s="96">
        <f t="shared" si="48"/>
        <v>45133.375</v>
      </c>
      <c r="H58" s="79">
        <f t="shared" si="49"/>
        <v>67623</v>
      </c>
      <c r="I58" s="79">
        <f t="shared" si="50"/>
        <v>0</v>
      </c>
      <c r="J58" s="79">
        <f t="shared" si="51"/>
        <v>0</v>
      </c>
      <c r="K58" s="79">
        <f t="shared" si="52"/>
        <v>0</v>
      </c>
      <c r="L58" s="111">
        <f t="shared" si="53"/>
        <v>0</v>
      </c>
      <c r="M58" s="111">
        <f t="shared" si="53"/>
        <v>0</v>
      </c>
      <c r="N58" s="162">
        <f t="shared" ca="1" si="54"/>
        <v>0</v>
      </c>
      <c r="O58" s="162">
        <f t="shared" ca="1" si="54"/>
        <v>4.1666666666666664E-2</v>
      </c>
      <c r="P58" s="175" t="str">
        <f t="shared" si="54"/>
        <v>Maintanace</v>
      </c>
    </row>
    <row r="59" spans="6:16" ht="12.75" hidden="1" customHeight="1" x14ac:dyDescent="0.25">
      <c r="F59" s="1">
        <v>12</v>
      </c>
      <c r="G59" s="96">
        <f t="shared" si="48"/>
        <v>45133.416666666664</v>
      </c>
      <c r="H59" s="79">
        <f t="shared" si="49"/>
        <v>67623</v>
      </c>
      <c r="I59" s="79">
        <f t="shared" si="50"/>
        <v>0</v>
      </c>
      <c r="J59" s="79">
        <f t="shared" si="51"/>
        <v>0</v>
      </c>
      <c r="K59" s="79">
        <f t="shared" si="52"/>
        <v>0</v>
      </c>
      <c r="L59" s="111">
        <f t="shared" si="53"/>
        <v>0</v>
      </c>
      <c r="M59" s="111">
        <f t="shared" si="53"/>
        <v>0</v>
      </c>
      <c r="N59" s="162">
        <f t="shared" ca="1" si="54"/>
        <v>0</v>
      </c>
      <c r="O59" s="162">
        <f t="shared" ca="1" si="54"/>
        <v>4.1666666666666664E-2</v>
      </c>
      <c r="P59" s="175" t="str">
        <f t="shared" si="54"/>
        <v>Maintanace</v>
      </c>
    </row>
    <row r="60" spans="6:16" ht="12.75" hidden="1" customHeight="1" x14ac:dyDescent="0.25">
      <c r="F60" s="1">
        <v>13</v>
      </c>
      <c r="G60" s="96">
        <f t="shared" si="48"/>
        <v>45133.458333333336</v>
      </c>
      <c r="H60" s="79">
        <f t="shared" si="49"/>
        <v>67623</v>
      </c>
      <c r="I60" s="79">
        <f t="shared" si="50"/>
        <v>0</v>
      </c>
      <c r="J60" s="79">
        <f t="shared" si="51"/>
        <v>0</v>
      </c>
      <c r="K60" s="79">
        <f t="shared" si="52"/>
        <v>0</v>
      </c>
      <c r="L60" s="111">
        <f t="shared" si="53"/>
        <v>0</v>
      </c>
      <c r="M60" s="111">
        <f t="shared" si="53"/>
        <v>0</v>
      </c>
      <c r="N60" s="162">
        <f t="shared" ca="1" si="54"/>
        <v>0</v>
      </c>
      <c r="O60" s="162">
        <f t="shared" ca="1" si="54"/>
        <v>4.1666666666666664E-2</v>
      </c>
      <c r="P60" s="175" t="str">
        <f t="shared" si="54"/>
        <v>Maintanace</v>
      </c>
    </row>
    <row r="61" spans="6:16" ht="12.75" hidden="1" customHeight="1" x14ac:dyDescent="0.25">
      <c r="F61" s="1">
        <v>14</v>
      </c>
      <c r="G61" s="96">
        <f t="shared" si="48"/>
        <v>45133.5</v>
      </c>
      <c r="H61" s="79">
        <f t="shared" si="49"/>
        <v>67623</v>
      </c>
      <c r="I61" s="79">
        <f t="shared" si="50"/>
        <v>0</v>
      </c>
      <c r="J61" s="79">
        <f t="shared" si="51"/>
        <v>0</v>
      </c>
      <c r="K61" s="79">
        <f t="shared" si="52"/>
        <v>0</v>
      </c>
      <c r="L61" s="111">
        <f t="shared" si="53"/>
        <v>0</v>
      </c>
      <c r="M61" s="111">
        <f t="shared" si="53"/>
        <v>0</v>
      </c>
      <c r="N61" s="162">
        <f t="shared" ca="1" si="54"/>
        <v>0</v>
      </c>
      <c r="O61" s="162">
        <f t="shared" ca="1" si="54"/>
        <v>4.1666666666666664E-2</v>
      </c>
      <c r="P61" s="175" t="str">
        <f t="shared" si="54"/>
        <v>Maintanace</v>
      </c>
    </row>
    <row r="62" spans="6:16" ht="12.75" hidden="1" customHeight="1" x14ac:dyDescent="0.25">
      <c r="F62" s="1">
        <v>15</v>
      </c>
      <c r="G62" s="96">
        <f t="shared" si="48"/>
        <v>45133.541666666664</v>
      </c>
      <c r="H62" s="79">
        <f t="shared" si="49"/>
        <v>67623</v>
      </c>
      <c r="I62" s="79">
        <f t="shared" si="50"/>
        <v>0</v>
      </c>
      <c r="J62" s="79">
        <f t="shared" si="51"/>
        <v>0</v>
      </c>
      <c r="K62" s="79">
        <f t="shared" si="52"/>
        <v>0</v>
      </c>
      <c r="L62" s="111">
        <f t="shared" si="53"/>
        <v>0</v>
      </c>
      <c r="M62" s="111">
        <f t="shared" si="53"/>
        <v>0</v>
      </c>
      <c r="N62" s="162">
        <f t="shared" ca="1" si="54"/>
        <v>0</v>
      </c>
      <c r="O62" s="162">
        <f t="shared" ca="1" si="54"/>
        <v>4.1666666666666664E-2</v>
      </c>
      <c r="P62" s="175" t="str">
        <f t="shared" si="54"/>
        <v>Maintanace</v>
      </c>
    </row>
    <row r="63" spans="6:16" ht="12.75" hidden="1" customHeight="1" x14ac:dyDescent="0.25">
      <c r="F63" s="1">
        <v>16</v>
      </c>
      <c r="G63" s="96">
        <f t="shared" si="48"/>
        <v>45133.583333333336</v>
      </c>
      <c r="H63" s="79">
        <f t="shared" si="49"/>
        <v>67623</v>
      </c>
      <c r="I63" s="79">
        <f t="shared" si="50"/>
        <v>0</v>
      </c>
      <c r="J63" s="79">
        <f t="shared" si="51"/>
        <v>0</v>
      </c>
      <c r="K63" s="79">
        <f t="shared" si="52"/>
        <v>0</v>
      </c>
      <c r="L63" s="111">
        <f t="shared" si="53"/>
        <v>0</v>
      </c>
      <c r="M63" s="111">
        <f t="shared" si="53"/>
        <v>0</v>
      </c>
      <c r="N63" s="162">
        <f t="shared" ca="1" si="54"/>
        <v>0</v>
      </c>
      <c r="O63" s="162">
        <f t="shared" ca="1" si="54"/>
        <v>4.1666666666666664E-2</v>
      </c>
      <c r="P63" s="175" t="str">
        <f t="shared" si="54"/>
        <v>Maintanace</v>
      </c>
    </row>
    <row r="64" spans="6:16" ht="12.75" hidden="1" customHeight="1" x14ac:dyDescent="0.25">
      <c r="F64" s="1">
        <v>17</v>
      </c>
      <c r="G64" s="96">
        <f t="shared" ref="G64:G71" si="55">A25</f>
        <v>45133.625</v>
      </c>
      <c r="H64" s="79">
        <f t="shared" ref="H64:H71" si="56">D25</f>
        <v>67654</v>
      </c>
      <c r="I64" s="79">
        <f t="shared" ref="I64:I71" si="57">G25</f>
        <v>0</v>
      </c>
      <c r="J64" s="79" t="str">
        <f t="shared" ref="J64:J71" si="58">S25</f>
        <v>39.0</v>
      </c>
      <c r="K64" s="79">
        <f t="shared" ref="K64:K71" si="59">V25</f>
        <v>25</v>
      </c>
      <c r="L64" s="111" t="str">
        <f t="shared" ref="L64:M71" si="60">AJ25</f>
        <v>Clean</v>
      </c>
      <c r="M64" s="111" t="str">
        <f t="shared" si="60"/>
        <v>build-up</v>
      </c>
      <c r="N64" s="162">
        <f t="shared" ref="N64:P71" ca="1" si="61">AY25</f>
        <v>0</v>
      </c>
      <c r="O64" s="162">
        <f t="shared" ca="1" si="61"/>
        <v>4.1666666666666664E-2</v>
      </c>
      <c r="P64" s="175">
        <f>BA24</f>
        <v>0</v>
      </c>
    </row>
    <row r="65" spans="6:16" ht="12.75" hidden="1" customHeight="1" x14ac:dyDescent="0.25">
      <c r="F65" s="1">
        <v>18</v>
      </c>
      <c r="G65" s="96">
        <f t="shared" si="55"/>
        <v>45133.666666666664</v>
      </c>
      <c r="H65" s="79">
        <f t="shared" si="56"/>
        <v>67762</v>
      </c>
      <c r="I65" s="79">
        <f t="shared" si="57"/>
        <v>0</v>
      </c>
      <c r="J65" s="79">
        <f t="shared" si="58"/>
        <v>40.4</v>
      </c>
      <c r="K65" s="79">
        <f t="shared" si="59"/>
        <v>25</v>
      </c>
      <c r="L65" s="111" t="str">
        <f t="shared" si="60"/>
        <v>Build Up</v>
      </c>
      <c r="M65" s="111" t="str">
        <f t="shared" si="60"/>
        <v>build-up</v>
      </c>
      <c r="N65" s="162">
        <f t="shared" ca="1" si="61"/>
        <v>4.1666666666666664E-2</v>
      </c>
      <c r="O65" s="162">
        <f t="shared" ca="1" si="61"/>
        <v>0</v>
      </c>
      <c r="P65" s="175" t="str">
        <f t="shared" si="61"/>
        <v>Attending the meeting and doing caucus to prepare plant start up</v>
      </c>
    </row>
    <row r="66" spans="6:16" ht="12.75" hidden="1" customHeight="1" x14ac:dyDescent="0.25">
      <c r="F66" s="1">
        <v>19</v>
      </c>
      <c r="G66" s="96">
        <f t="shared" si="55"/>
        <v>45133.708333333336</v>
      </c>
      <c r="H66" s="79">
        <f t="shared" si="56"/>
        <v>67880</v>
      </c>
      <c r="I66" s="79">
        <f t="shared" si="57"/>
        <v>0</v>
      </c>
      <c r="J66" s="79" t="str">
        <f t="shared" si="58"/>
        <v>40.0</v>
      </c>
      <c r="K66" s="79">
        <f t="shared" si="59"/>
        <v>25</v>
      </c>
      <c r="L66" s="111" t="str">
        <f t="shared" si="60"/>
        <v>Clean</v>
      </c>
      <c r="M66" s="111" t="str">
        <f t="shared" si="60"/>
        <v>build-up</v>
      </c>
      <c r="N66" s="162">
        <f t="shared" ca="1" si="61"/>
        <v>4.1666666666666664E-2</v>
      </c>
      <c r="O66" s="162">
        <f t="shared" ca="1" si="61"/>
        <v>0</v>
      </c>
      <c r="P66" s="175">
        <f t="shared" si="61"/>
        <v>0</v>
      </c>
    </row>
    <row r="67" spans="6:16" ht="12.75" hidden="1" customHeight="1" x14ac:dyDescent="0.25">
      <c r="F67" s="1">
        <v>20</v>
      </c>
      <c r="G67" s="96">
        <f t="shared" si="55"/>
        <v>45133.75</v>
      </c>
      <c r="H67" s="79">
        <f t="shared" si="56"/>
        <v>67974</v>
      </c>
      <c r="I67" s="79">
        <f t="shared" si="57"/>
        <v>0</v>
      </c>
      <c r="J67" s="79" t="str">
        <f t="shared" si="58"/>
        <v>40.9</v>
      </c>
      <c r="K67" s="79">
        <f t="shared" si="59"/>
        <v>25</v>
      </c>
      <c r="L67" s="111" t="str">
        <f t="shared" si="60"/>
        <v>Clean</v>
      </c>
      <c r="M67" s="111" t="str">
        <f t="shared" si="60"/>
        <v>build-up</v>
      </c>
      <c r="N67" s="162">
        <f t="shared" ca="1" si="61"/>
        <v>1.7361111111919549E-2</v>
      </c>
      <c r="O67" s="162">
        <f t="shared" ca="1" si="61"/>
        <v>2.4305555554747116E-2</v>
      </c>
      <c r="P67" s="175" t="str">
        <f t="shared" si="61"/>
        <v>Busy clean build-up on the FEO1 and FEO3</v>
      </c>
    </row>
    <row r="68" spans="6:16" ht="12.75" hidden="1" customHeight="1" x14ac:dyDescent="0.25">
      <c r="F68" s="1">
        <v>21</v>
      </c>
      <c r="G68" s="96">
        <f t="shared" si="55"/>
        <v>45133.791666666664</v>
      </c>
      <c r="H68" s="79">
        <f t="shared" si="56"/>
        <v>68051</v>
      </c>
      <c r="I68" s="79">
        <f t="shared" si="57"/>
        <v>0</v>
      </c>
      <c r="J68" s="79" t="str">
        <f t="shared" si="58"/>
        <v>37.9</v>
      </c>
      <c r="K68" s="79">
        <f t="shared" si="59"/>
        <v>25</v>
      </c>
      <c r="L68" s="111" t="str">
        <f t="shared" si="60"/>
        <v>Clean</v>
      </c>
      <c r="M68" s="111" t="str">
        <f t="shared" si="60"/>
        <v>build-up</v>
      </c>
      <c r="N68" s="162">
        <f t="shared" ca="1" si="61"/>
        <v>3.2638888888565511E-2</v>
      </c>
      <c r="O68" s="162">
        <f t="shared" ca="1" si="61"/>
        <v>9.0277777781011537E-3</v>
      </c>
      <c r="P68" s="175" t="str">
        <f t="shared" si="61"/>
        <v>18:45&gt; Stop FEO1 due to secondary crusher tripped</v>
      </c>
    </row>
    <row r="69" spans="6:16" ht="12.75" hidden="1" customHeight="1" x14ac:dyDescent="0.25">
      <c r="F69" s="1">
        <v>22</v>
      </c>
      <c r="G69" s="96">
        <f t="shared" si="55"/>
        <v>45133.833333333336</v>
      </c>
      <c r="H69" s="79">
        <f t="shared" si="56"/>
        <v>68115</v>
      </c>
      <c r="I69" s="79">
        <f t="shared" si="57"/>
        <v>0</v>
      </c>
      <c r="J69" s="79" t="str">
        <f t="shared" si="58"/>
        <v>37.8</v>
      </c>
      <c r="K69" s="79">
        <f t="shared" si="59"/>
        <v>25</v>
      </c>
      <c r="L69" s="111" t="str">
        <f t="shared" si="60"/>
        <v>Clean</v>
      </c>
      <c r="M69" s="111" t="str">
        <f t="shared" si="60"/>
        <v>build-up</v>
      </c>
      <c r="N69" s="162">
        <f t="shared" ca="1" si="61"/>
        <v>0</v>
      </c>
      <c r="O69" s="162">
        <f t="shared" ca="1" si="61"/>
        <v>4.1666666666666664E-2</v>
      </c>
      <c r="P69" s="175" t="str">
        <f t="shared" si="61"/>
        <v>19:32&gt;Plant start -up ,after 20 minutes FE02 tripped again and the crusher was inspectedto   check  for obstrution nothing to be found</v>
      </c>
    </row>
    <row r="70" spans="6:16" ht="13.5" hidden="1" customHeight="1" x14ac:dyDescent="0.25">
      <c r="F70" s="1">
        <v>23</v>
      </c>
      <c r="G70" s="96">
        <f t="shared" si="55"/>
        <v>45133.875</v>
      </c>
      <c r="H70" s="79">
        <f t="shared" si="56"/>
        <v>68115</v>
      </c>
      <c r="I70" s="79">
        <f t="shared" si="57"/>
        <v>0</v>
      </c>
      <c r="J70" s="79">
        <f t="shared" si="58"/>
        <v>0</v>
      </c>
      <c r="K70" s="79">
        <f t="shared" si="59"/>
        <v>0</v>
      </c>
      <c r="L70" s="111">
        <f t="shared" si="60"/>
        <v>0</v>
      </c>
      <c r="M70" s="111">
        <f t="shared" si="60"/>
        <v>0</v>
      </c>
      <c r="N70" s="162">
        <f t="shared" ca="1" si="61"/>
        <v>9.7222222199585887E-3</v>
      </c>
      <c r="O70" s="162">
        <f t="shared" ca="1" si="61"/>
        <v>3.1944444446708076E-2</v>
      </c>
      <c r="P70" s="175" t="str">
        <f t="shared" si="61"/>
        <v>20:14&gt; Tertiary Crusher Tripped. Plant stopped, tertiary crusher will be attended tomorrow</v>
      </c>
    </row>
    <row r="71" spans="6:16" hidden="1" x14ac:dyDescent="0.25">
      <c r="F71" s="1">
        <v>24</v>
      </c>
      <c r="G71" s="96">
        <f t="shared" si="55"/>
        <v>45133.916666666664</v>
      </c>
      <c r="H71" s="79">
        <f t="shared" si="56"/>
        <v>68115</v>
      </c>
      <c r="I71" s="79">
        <f t="shared" si="57"/>
        <v>0</v>
      </c>
      <c r="J71" s="79">
        <f t="shared" si="58"/>
        <v>0</v>
      </c>
      <c r="K71" s="79">
        <f t="shared" si="59"/>
        <v>0</v>
      </c>
      <c r="L71" s="111">
        <f t="shared" si="60"/>
        <v>0</v>
      </c>
      <c r="M71" s="111">
        <f t="shared" si="60"/>
        <v>0</v>
      </c>
      <c r="N71" s="162">
        <f t="shared" ca="1" si="61"/>
        <v>0</v>
      </c>
      <c r="O71" s="162">
        <f t="shared" ca="1" si="61"/>
        <v>4.1666666666666664E-2</v>
      </c>
      <c r="P71" s="175">
        <f t="shared" si="61"/>
        <v>0</v>
      </c>
    </row>
  </sheetData>
  <mergeCells count="26">
    <mergeCell ref="AY5:AZ5"/>
    <mergeCell ref="G37:L37"/>
    <mergeCell ref="Q2:Q3"/>
    <mergeCell ref="R2:S2"/>
    <mergeCell ref="T2:T3"/>
    <mergeCell ref="U2:U3"/>
    <mergeCell ref="V2:V3"/>
    <mergeCell ref="W2:W3"/>
    <mergeCell ref="AJ1:AK1"/>
    <mergeCell ref="AL1:AM1"/>
    <mergeCell ref="G2:G3"/>
    <mergeCell ref="H2:I2"/>
    <mergeCell ref="J2:J3"/>
    <mergeCell ref="K2:K3"/>
    <mergeCell ref="L2:L3"/>
    <mergeCell ref="M2:M3"/>
    <mergeCell ref="N2:N3"/>
    <mergeCell ref="O2:P2"/>
    <mergeCell ref="AF1:AI1"/>
    <mergeCell ref="X2:X3"/>
    <mergeCell ref="Y2:Z2"/>
    <mergeCell ref="C1:F1"/>
    <mergeCell ref="G1:P1"/>
    <mergeCell ref="Q1:Z1"/>
    <mergeCell ref="AA1:AC1"/>
    <mergeCell ref="AD1:AE1"/>
  </mergeCells>
  <conditionalFormatting sqref="J6">
    <cfRule type="cellIs" dxfId="1029" priority="40" operator="greaterThan">
      <formula>$J$4</formula>
    </cfRule>
    <cfRule type="cellIs" dxfId="1028" priority="39" operator="lessThan">
      <formula>$J$4</formula>
    </cfRule>
  </conditionalFormatting>
  <conditionalFormatting sqref="Q24 Q33:R33">
    <cfRule type="cellIs" dxfId="1027" priority="49" operator="greaterThan">
      <formula>75</formula>
    </cfRule>
    <cfRule type="cellIs" dxfId="1026" priority="48" operator="lessThan">
      <formula>75</formula>
    </cfRule>
  </conditionalFormatting>
  <conditionalFormatting sqref="T15:U15 T24:U24 T33:U33">
    <cfRule type="cellIs" dxfId="1025" priority="38" operator="greaterThan">
      <formula>52.5</formula>
    </cfRule>
    <cfRule type="cellIs" dxfId="1024" priority="37" operator="lessThan">
      <formula>52.5</formula>
    </cfRule>
  </conditionalFormatting>
  <conditionalFormatting sqref="X18:X22 Z18:Z22 X23:Z23">
    <cfRule type="cellIs" dxfId="1023" priority="17" operator="equal">
      <formula>"N"</formula>
    </cfRule>
    <cfRule type="cellIs" dxfId="1022" priority="18" operator="equal">
      <formula>"Y"</formula>
    </cfRule>
  </conditionalFormatting>
  <conditionalFormatting sqref="X18:X22 Z18:AG22 X23:AG23">
    <cfRule type="cellIs" dxfId="1021" priority="11" operator="equal">
      <formula>"N"</formula>
    </cfRule>
    <cfRule type="cellIs" dxfId="1020" priority="12" operator="equal">
      <formula>"Y"</formula>
    </cfRule>
  </conditionalFormatting>
  <conditionalFormatting sqref="Y23">
    <cfRule type="cellIs" dxfId="1019" priority="9" operator="equal">
      <formula>"S"</formula>
    </cfRule>
    <cfRule type="cellIs" dxfId="1018" priority="10" operator="equal">
      <formula>"C"</formula>
    </cfRule>
    <cfRule type="cellIs" dxfId="1017" priority="21" operator="equal">
      <formula>"N"</formula>
    </cfRule>
    <cfRule type="cellIs" dxfId="1016" priority="22" operator="equal">
      <formula>"Y"</formula>
    </cfRule>
    <cfRule type="cellIs" dxfId="1015" priority="23" operator="equal">
      <formula>"N"</formula>
    </cfRule>
    <cfRule type="cellIs" dxfId="1014" priority="24" operator="equal">
      <formula>"Y"</formula>
    </cfRule>
  </conditionalFormatting>
  <conditionalFormatting sqref="Y15:AE15">
    <cfRule type="cellIs" dxfId="1013" priority="44" operator="equal">
      <formula>"N"</formula>
    </cfRule>
    <cfRule type="cellIs" dxfId="1012" priority="45" operator="equal">
      <formula>"Y"</formula>
    </cfRule>
  </conditionalFormatting>
  <conditionalFormatting sqref="Y6:AF14">
    <cfRule type="cellIs" dxfId="1011" priority="32" operator="equal">
      <formula>"Y"</formula>
    </cfRule>
    <cfRule type="cellIs" dxfId="1010" priority="31" operator="equal">
      <formula>"N"</formula>
    </cfRule>
  </conditionalFormatting>
  <conditionalFormatting sqref="Y16:AF16 Z17:AF17 Y17:Y22">
    <cfRule type="cellIs" dxfId="1009" priority="7" operator="equal">
      <formula>"N"</formula>
    </cfRule>
    <cfRule type="cellIs" dxfId="1008" priority="8" operator="equal">
      <formula>"Y"</formula>
    </cfRule>
  </conditionalFormatting>
  <conditionalFormatting sqref="Y24:AF24 Y33:AF33">
    <cfRule type="cellIs" dxfId="1007" priority="35" operator="equal">
      <formula>"N"</formula>
    </cfRule>
    <cfRule type="cellIs" dxfId="1006" priority="36" operator="equal">
      <formula>"Y"</formula>
    </cfRule>
  </conditionalFormatting>
  <conditionalFormatting sqref="Y6:AH16 Z17:AH17 Y17:Y22">
    <cfRule type="cellIs" dxfId="1005" priority="3" operator="equal">
      <formula>"N"</formula>
    </cfRule>
    <cfRule type="cellIs" dxfId="1004" priority="4" operator="equal">
      <formula>"Y"</formula>
    </cfRule>
  </conditionalFormatting>
  <conditionalFormatting sqref="Y24:AH24 Y33:AH33">
    <cfRule type="cellIs" dxfId="1003" priority="28" operator="equal">
      <formula>"Y"</formula>
    </cfRule>
    <cfRule type="cellIs" dxfId="1002" priority="27" operator="equal">
      <formula>"N"</formula>
    </cfRule>
  </conditionalFormatting>
  <conditionalFormatting sqref="Z6:Z24">
    <cfRule type="cellIs" dxfId="1001" priority="1" operator="equal">
      <formula>"S"</formula>
    </cfRule>
    <cfRule type="cellIs" dxfId="1000" priority="2" operator="equal">
      <formula>"C"</formula>
    </cfRule>
  </conditionalFormatting>
  <conditionalFormatting sqref="Z33">
    <cfRule type="cellIs" dxfId="999" priority="26" operator="equal">
      <formula>"C"</formula>
    </cfRule>
    <cfRule type="cellIs" dxfId="998" priority="25" operator="equal">
      <formula>"S"</formula>
    </cfRule>
  </conditionalFormatting>
  <conditionalFormatting sqref="AA15">
    <cfRule type="cellIs" dxfId="997" priority="42" operator="equal">
      <formula>"S"</formula>
    </cfRule>
    <cfRule type="cellIs" dxfId="996" priority="43" operator="equal">
      <formula>"C"</formula>
    </cfRule>
  </conditionalFormatting>
  <conditionalFormatting sqref="AA18:AB23">
    <cfRule type="cellIs" dxfId="995" priority="20" operator="equal">
      <formula>"C"</formula>
    </cfRule>
    <cfRule type="cellIs" dxfId="994" priority="19" operator="equal">
      <formula>"S"</formula>
    </cfRule>
  </conditionalFormatting>
  <conditionalFormatting sqref="AA6:AC14">
    <cfRule type="cellIs" dxfId="993" priority="29" operator="equal">
      <formula>"S"</formula>
    </cfRule>
    <cfRule type="cellIs" dxfId="992" priority="30" operator="equal">
      <formula>"C"</formula>
    </cfRule>
  </conditionalFormatting>
  <conditionalFormatting sqref="AA16:AC17">
    <cfRule type="cellIs" dxfId="991" priority="6" operator="equal">
      <formula>"C"</formula>
    </cfRule>
    <cfRule type="cellIs" dxfId="990" priority="5" operator="equal">
      <formula>"S"</formula>
    </cfRule>
  </conditionalFormatting>
  <conditionalFormatting sqref="AA18:AE23">
    <cfRule type="cellIs" dxfId="989" priority="14" operator="equal">
      <formula>"Y"</formula>
    </cfRule>
    <cfRule type="cellIs" dxfId="988" priority="13" operator="equal">
      <formula>"N"</formula>
    </cfRule>
  </conditionalFormatting>
  <conditionalFormatting sqref="AL6:AL14">
    <cfRule type="cellIs" dxfId="987" priority="33" operator="lessThan">
      <formula>1.19</formula>
    </cfRule>
    <cfRule type="cellIs" dxfId="986" priority="34" operator="greaterThan">
      <formula>1.19</formula>
    </cfRule>
  </conditionalFormatting>
  <conditionalFormatting sqref="AL16:AL23">
    <cfRule type="cellIs" dxfId="985" priority="46" operator="lessThan">
      <formula>1.19</formula>
    </cfRule>
    <cfRule type="cellIs" dxfId="984" priority="47" operator="greaterThan">
      <formula>1.19</formula>
    </cfRule>
  </conditionalFormatting>
  <conditionalFormatting sqref="AP4:AP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P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P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P8:AP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P15 AP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P16:AP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P25:AP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87-5E26-4248-A80F-A0D618375208}">
  <sheetPr>
    <pageSetUpPr fitToPage="1"/>
  </sheetPr>
  <dimension ref="A1:AV71"/>
  <sheetViews>
    <sheetView showGridLines="0" zoomScaleNormal="100" workbookViewId="0">
      <pane xSplit="2" ySplit="6" topLeftCell="D31" activePane="bottomRight" state="frozen"/>
      <selection pane="topRight" activeCell="C1" sqref="C1"/>
      <selection pane="bottomLeft" activeCell="A7" sqref="A7"/>
      <selection pane="bottomRight" activeCell="K40" sqref="K40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'26 Jul 23'!B1+1</f>
        <v>45134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f>1638/2</f>
        <v>819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160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45133.958333333336</v>
      </c>
      <c r="B7" s="198">
        <v>0.95833333333333304</v>
      </c>
      <c r="C7" s="199" t="s">
        <v>130</v>
      </c>
      <c r="D7" s="79">
        <v>68115</v>
      </c>
      <c r="E7" s="80">
        <f t="shared" ref="E7:E14" si="0">IF(D7&gt;0,D7-D6,"")</f>
        <v>0</v>
      </c>
      <c r="F7" s="200">
        <f>F6</f>
        <v>160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>
        <v>0.91667824074074078</v>
      </c>
      <c r="AJ7" s="101"/>
      <c r="AK7" s="102">
        <f t="shared" ref="AK7:AK13" si="1">AO7</f>
        <v>0</v>
      </c>
      <c r="AL7" s="103">
        <f>IF(AI7&lt;&gt;"",AI7+$B$1-1,B7+$B$1-1/24)</f>
        <v>45133.916678240741</v>
      </c>
      <c r="AM7" s="102">
        <f>AK6</f>
        <v>1</v>
      </c>
      <c r="AN7" s="102">
        <f t="shared" ref="AN7:AN14" si="2">IF(AI7="",AM7,0)</f>
        <v>0</v>
      </c>
      <c r="AO7" s="102">
        <f t="shared" ref="AO7:AO14" si="3">IF(AJ7&lt;&gt;"",1,AN7)</f>
        <v>0</v>
      </c>
      <c r="AP7" s="103">
        <f>IF(AJ7&lt;&gt;"",AJ7+$B$1-1,B7+$B$1-1)</f>
        <v>45133.958333333336</v>
      </c>
      <c r="AQ7" s="103">
        <f t="shared" ref="AQ7:AQ14" si="4">AL7-A7+1/24</f>
        <v>1.1574071929011664E-5</v>
      </c>
      <c r="AR7" s="103">
        <f>AP7-AL7</f>
        <v>4.1655092594737653E-2</v>
      </c>
      <c r="AS7" s="103">
        <f t="shared" ref="AS7:AS14" si="5">A7-AP7</f>
        <v>0</v>
      </c>
      <c r="AT7" s="103"/>
      <c r="AU7" s="104">
        <f t="shared" ref="AU7:AU14" ca="1" si="6">IF(A7&lt;$AU$1,1/24-AT7,0)</f>
        <v>4.1666666666666664E-2</v>
      </c>
      <c r="AV7" s="239" t="s">
        <v>168</v>
      </c>
    </row>
    <row r="8" spans="1:48" x14ac:dyDescent="0.25">
      <c r="A8" s="96">
        <f t="shared" ref="A8:A23" si="7">B8+$B$1</f>
        <v>45134</v>
      </c>
      <c r="B8" s="198">
        <v>0</v>
      </c>
      <c r="C8" s="199" t="s">
        <v>130</v>
      </c>
      <c r="D8" s="79">
        <v>68115</v>
      </c>
      <c r="E8" s="80">
        <f t="shared" si="0"/>
        <v>0</v>
      </c>
      <c r="F8" s="200">
        <f t="shared" ref="F8:F33" si="8">F7</f>
        <v>160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0</v>
      </c>
      <c r="AL8" s="103">
        <f>IF(AI8&lt;&gt;"",AI8+$B$1-1,B8+$B$1-1/24)</f>
        <v>45133.958333333336</v>
      </c>
      <c r="AM8" s="102">
        <f t="shared" ref="AM8:AM14" si="9">AK7</f>
        <v>0</v>
      </c>
      <c r="AN8" s="102">
        <f t="shared" si="2"/>
        <v>0</v>
      </c>
      <c r="AO8" s="102">
        <f t="shared" si="3"/>
        <v>0</v>
      </c>
      <c r="AP8" s="103">
        <f>IF(AJ8&lt;&gt;"",AJ8+$B$1-1,B8+$B$1)</f>
        <v>45134</v>
      </c>
      <c r="AQ8" s="103">
        <f t="shared" si="4"/>
        <v>2.425316891763174E-12</v>
      </c>
      <c r="AR8" s="103">
        <f t="shared" ref="AR8:AR14" si="10">AP8-AL8</f>
        <v>4.1666666664241347E-2</v>
      </c>
      <c r="AS8" s="103">
        <f t="shared" si="5"/>
        <v>0</v>
      </c>
      <c r="AT8" s="103">
        <f t="shared" ref="AT8:AT14" ca="1" si="11">IF(A8&lt;$AU$1,SUMPRODUCT(AM8:AO8,AQ8:AS8),0)</f>
        <v>0</v>
      </c>
      <c r="AU8" s="104">
        <f t="shared" ca="1" si="6"/>
        <v>4.1666666666666664E-2</v>
      </c>
      <c r="AV8" s="239" t="s">
        <v>168</v>
      </c>
    </row>
    <row r="9" spans="1:48" x14ac:dyDescent="0.25">
      <c r="A9" s="96">
        <f t="shared" si="7"/>
        <v>45134.041666666664</v>
      </c>
      <c r="B9" s="198">
        <v>4.1666666666666664E-2</v>
      </c>
      <c r="C9" s="199" t="s">
        <v>130</v>
      </c>
      <c r="D9" s="79">
        <v>68115</v>
      </c>
      <c r="E9" s="80">
        <f t="shared" si="0"/>
        <v>0</v>
      </c>
      <c r="F9" s="200">
        <f t="shared" si="8"/>
        <v>160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0</v>
      </c>
      <c r="AL9" s="103">
        <f t="shared" ref="AL9:AL14" si="12">IF(AI9&lt;&gt;"",AI9+$B$1,B9+$B$1-1/24)</f>
        <v>45134</v>
      </c>
      <c r="AM9" s="102">
        <f t="shared" si="9"/>
        <v>0</v>
      </c>
      <c r="AN9" s="102">
        <f t="shared" si="2"/>
        <v>0</v>
      </c>
      <c r="AO9" s="102">
        <f t="shared" si="3"/>
        <v>0</v>
      </c>
      <c r="AP9" s="103">
        <f t="shared" ref="AP9:AP14" si="13">IF(AJ9&lt;&gt;"",AJ9+$B$1,B9+$B$1)</f>
        <v>45134.041666666664</v>
      </c>
      <c r="AQ9" s="103">
        <f t="shared" si="4"/>
        <v>2.425316891763174E-12</v>
      </c>
      <c r="AR9" s="103">
        <f t="shared" si="10"/>
        <v>4.1666666664241347E-2</v>
      </c>
      <c r="AS9" s="103">
        <f t="shared" si="5"/>
        <v>0</v>
      </c>
      <c r="AT9" s="103">
        <f t="shared" ca="1" si="11"/>
        <v>0</v>
      </c>
      <c r="AU9" s="104">
        <f t="shared" ca="1" si="6"/>
        <v>4.1666666666666664E-2</v>
      </c>
      <c r="AV9" s="239" t="s">
        <v>168</v>
      </c>
    </row>
    <row r="10" spans="1:48" ht="15" customHeight="1" x14ac:dyDescent="0.25">
      <c r="A10" s="96">
        <f t="shared" si="7"/>
        <v>45134.083333333336</v>
      </c>
      <c r="B10" s="198">
        <v>8.3333333333333329E-2</v>
      </c>
      <c r="C10" s="199" t="s">
        <v>130</v>
      </c>
      <c r="D10" s="79">
        <v>68115</v>
      </c>
      <c r="E10" s="80">
        <f t="shared" si="0"/>
        <v>0</v>
      </c>
      <c r="F10" s="200">
        <f t="shared" si="8"/>
        <v>160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0</v>
      </c>
      <c r="AL10" s="103">
        <f t="shared" si="12"/>
        <v>45134.041666666672</v>
      </c>
      <c r="AM10" s="102">
        <f t="shared" si="9"/>
        <v>0</v>
      </c>
      <c r="AN10" s="102">
        <f t="shared" si="2"/>
        <v>0</v>
      </c>
      <c r="AO10" s="102">
        <f t="shared" si="3"/>
        <v>0</v>
      </c>
      <c r="AP10" s="103">
        <f t="shared" si="13"/>
        <v>45134.083333333336</v>
      </c>
      <c r="AQ10" s="103">
        <f t="shared" si="4"/>
        <v>2.425316891763174E-12</v>
      </c>
      <c r="AR10" s="103">
        <f t="shared" si="10"/>
        <v>4.1666666664241347E-2</v>
      </c>
      <c r="AS10" s="103">
        <f t="shared" si="5"/>
        <v>0</v>
      </c>
      <c r="AT10" s="103">
        <f t="shared" ca="1" si="11"/>
        <v>0</v>
      </c>
      <c r="AU10" s="104">
        <f t="shared" ca="1" si="6"/>
        <v>4.1666666666666664E-2</v>
      </c>
      <c r="AV10" s="239" t="s">
        <v>168</v>
      </c>
    </row>
    <row r="11" spans="1:48" ht="15" customHeight="1" x14ac:dyDescent="0.25">
      <c r="A11" s="96">
        <f t="shared" si="7"/>
        <v>45134.125</v>
      </c>
      <c r="B11" s="198">
        <v>0.125</v>
      </c>
      <c r="C11" s="199" t="s">
        <v>130</v>
      </c>
      <c r="D11" s="79">
        <v>68115</v>
      </c>
      <c r="E11" s="80">
        <f t="shared" si="0"/>
        <v>0</v>
      </c>
      <c r="F11" s="200">
        <f t="shared" si="8"/>
        <v>160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0</v>
      </c>
      <c r="AL11" s="103">
        <f t="shared" si="12"/>
        <v>45134.083333333336</v>
      </c>
      <c r="AM11" s="102">
        <f t="shared" si="9"/>
        <v>0</v>
      </c>
      <c r="AN11" s="102">
        <f>IF(AI11="",AM11,0)</f>
        <v>0</v>
      </c>
      <c r="AO11" s="102">
        <f t="shared" si="3"/>
        <v>0</v>
      </c>
      <c r="AP11" s="103">
        <f t="shared" si="13"/>
        <v>45134.125</v>
      </c>
      <c r="AQ11" s="103">
        <f t="shared" si="4"/>
        <v>2.425316891763174E-12</v>
      </c>
      <c r="AR11" s="103">
        <f t="shared" si="10"/>
        <v>4.1666666664241347E-2</v>
      </c>
      <c r="AS11" s="103">
        <f t="shared" si="5"/>
        <v>0</v>
      </c>
      <c r="AT11" s="103">
        <f t="shared" ca="1" si="11"/>
        <v>0</v>
      </c>
      <c r="AU11" s="104">
        <f t="shared" ca="1" si="6"/>
        <v>4.1666666666666664E-2</v>
      </c>
      <c r="AV11" s="239" t="s">
        <v>168</v>
      </c>
    </row>
    <row r="12" spans="1:48" ht="14.45" customHeight="1" x14ac:dyDescent="0.25">
      <c r="A12" s="96">
        <f t="shared" si="7"/>
        <v>45134.166666666664</v>
      </c>
      <c r="B12" s="198">
        <v>0.16666666666666666</v>
      </c>
      <c r="C12" s="199" t="s">
        <v>130</v>
      </c>
      <c r="D12" s="79">
        <v>68115</v>
      </c>
      <c r="E12" s="80">
        <f t="shared" si="0"/>
        <v>0</v>
      </c>
      <c r="F12" s="200">
        <f t="shared" si="8"/>
        <v>160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0</v>
      </c>
      <c r="AL12" s="103">
        <f t="shared" si="12"/>
        <v>45134.125</v>
      </c>
      <c r="AM12" s="102">
        <f t="shared" si="9"/>
        <v>0</v>
      </c>
      <c r="AN12" s="102">
        <f>IF(AI12="",AM12,0)</f>
        <v>0</v>
      </c>
      <c r="AO12" s="102">
        <f t="shared" si="3"/>
        <v>0</v>
      </c>
      <c r="AP12" s="103">
        <f t="shared" si="13"/>
        <v>45134.166666666664</v>
      </c>
      <c r="AQ12" s="103">
        <f t="shared" si="4"/>
        <v>2.425316891763174E-12</v>
      </c>
      <c r="AR12" s="103">
        <f t="shared" si="10"/>
        <v>4.1666666664241347E-2</v>
      </c>
      <c r="AS12" s="103">
        <f t="shared" si="5"/>
        <v>0</v>
      </c>
      <c r="AT12" s="103">
        <f t="shared" ca="1" si="11"/>
        <v>0</v>
      </c>
      <c r="AU12" s="104">
        <f t="shared" ca="1" si="6"/>
        <v>4.1666666666666664E-2</v>
      </c>
      <c r="AV12" s="239" t="s">
        <v>168</v>
      </c>
    </row>
    <row r="13" spans="1:48" ht="15" customHeight="1" x14ac:dyDescent="0.25">
      <c r="A13" s="96">
        <f t="shared" si="7"/>
        <v>45134.208333333336</v>
      </c>
      <c r="B13" s="198">
        <v>0.20833333333333334</v>
      </c>
      <c r="C13" s="199" t="s">
        <v>130</v>
      </c>
      <c r="D13" s="79">
        <v>68115</v>
      </c>
      <c r="E13" s="80">
        <f t="shared" si="0"/>
        <v>0</v>
      </c>
      <c r="F13" s="200">
        <f t="shared" si="8"/>
        <v>160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0</v>
      </c>
      <c r="AL13" s="103">
        <f t="shared" si="12"/>
        <v>45134.166666666672</v>
      </c>
      <c r="AM13" s="102">
        <f t="shared" si="9"/>
        <v>0</v>
      </c>
      <c r="AN13" s="102">
        <f t="shared" si="2"/>
        <v>0</v>
      </c>
      <c r="AO13" s="102">
        <f t="shared" si="3"/>
        <v>0</v>
      </c>
      <c r="AP13" s="103">
        <f t="shared" si="13"/>
        <v>45134.208333333336</v>
      </c>
      <c r="AQ13" s="103">
        <f t="shared" si="4"/>
        <v>2.425316891763174E-12</v>
      </c>
      <c r="AR13" s="103">
        <f t="shared" si="10"/>
        <v>4.1666666664241347E-2</v>
      </c>
      <c r="AS13" s="103">
        <f t="shared" si="5"/>
        <v>0</v>
      </c>
      <c r="AT13" s="103">
        <f t="shared" ca="1" si="11"/>
        <v>0</v>
      </c>
      <c r="AU13" s="104">
        <f t="shared" ca="1" si="6"/>
        <v>4.1666666666666664E-2</v>
      </c>
      <c r="AV13" s="239" t="s">
        <v>168</v>
      </c>
    </row>
    <row r="14" spans="1:48" x14ac:dyDescent="0.25">
      <c r="A14" s="96">
        <f t="shared" si="7"/>
        <v>45134.25</v>
      </c>
      <c r="B14" s="198">
        <v>0.25</v>
      </c>
      <c r="C14" s="199" t="s">
        <v>130</v>
      </c>
      <c r="D14" s="79">
        <v>68115</v>
      </c>
      <c r="E14" s="80">
        <f t="shared" si="0"/>
        <v>0</v>
      </c>
      <c r="F14" s="204">
        <f t="shared" si="8"/>
        <v>160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>
        <v>0.25</v>
      </c>
      <c r="AJ14" s="101"/>
      <c r="AK14" s="102">
        <f>AO14</f>
        <v>0</v>
      </c>
      <c r="AL14" s="103">
        <f t="shared" si="12"/>
        <v>45134.25</v>
      </c>
      <c r="AM14" s="102">
        <f t="shared" si="9"/>
        <v>0</v>
      </c>
      <c r="AN14" s="102">
        <f t="shared" si="2"/>
        <v>0</v>
      </c>
      <c r="AO14" s="102">
        <f t="shared" si="3"/>
        <v>0</v>
      </c>
      <c r="AP14" s="103">
        <f t="shared" si="13"/>
        <v>45134.25</v>
      </c>
      <c r="AQ14" s="103">
        <f t="shared" si="4"/>
        <v>4.1666666666666664E-2</v>
      </c>
      <c r="AR14" s="103">
        <f t="shared" si="10"/>
        <v>0</v>
      </c>
      <c r="AS14" s="103">
        <f t="shared" si="5"/>
        <v>0</v>
      </c>
      <c r="AT14" s="103">
        <f t="shared" ca="1" si="11"/>
        <v>0</v>
      </c>
      <c r="AU14" s="104">
        <f t="shared" ca="1" si="6"/>
        <v>4.1666666666666664E-2</v>
      </c>
      <c r="AV14" s="239" t="s">
        <v>162</v>
      </c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 t="str">
        <f ca="1">IFERROR(D15/24/AT15,"")</f>
        <v/>
      </c>
      <c r="F15" s="125">
        <f t="shared" si="8"/>
        <v>160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0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</v>
      </c>
      <c r="AU15" s="133">
        <f ca="1">SUM(AU7:AU14)</f>
        <v>0.33333333333333331</v>
      </c>
      <c r="AV15" s="132"/>
    </row>
    <row r="16" spans="1:48" ht="13.15" customHeight="1" x14ac:dyDescent="0.25">
      <c r="A16" s="96">
        <f t="shared" si="7"/>
        <v>45134.291666666664</v>
      </c>
      <c r="B16" s="198">
        <v>0.29166666666666669</v>
      </c>
      <c r="C16" s="199" t="s">
        <v>130</v>
      </c>
      <c r="D16" s="79">
        <v>68115</v>
      </c>
      <c r="E16" s="80">
        <f>IF(D16&gt;0,D16-D14,"")</f>
        <v>0</v>
      </c>
      <c r="F16" s="200">
        <f t="shared" si="8"/>
        <v>160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0</v>
      </c>
      <c r="AL16" s="103">
        <f t="shared" ref="AL16:AL23" si="16">IF(AI16&lt;&gt;"",AI16+$B$1,B16+$B$1-1/24)</f>
        <v>45134.25</v>
      </c>
      <c r="AM16" s="102">
        <f t="shared" ref="AM16:AM23" si="17">AK15</f>
        <v>0</v>
      </c>
      <c r="AN16" s="102">
        <f t="shared" ref="AN16:AN23" si="18">IF(AI16="",AM16,0)</f>
        <v>0</v>
      </c>
      <c r="AO16" s="102">
        <f t="shared" ref="AO16:AO23" si="19">IF(AJ16&lt;&gt;"",1,AN16)</f>
        <v>0</v>
      </c>
      <c r="AP16" s="103">
        <f t="shared" ref="AP16:AP23" si="20">IF(AJ16&lt;&gt;"",AJ16+$B$1,B16+$B$1)</f>
        <v>45134.291666666664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0</v>
      </c>
      <c r="AU16" s="104">
        <f t="shared" ref="AU16:AU23" ca="1" si="24">IF(A16&lt;$AU$1,1/24-AT16,0)</f>
        <v>4.1666666666666664E-2</v>
      </c>
      <c r="AV16" s="239" t="s">
        <v>163</v>
      </c>
    </row>
    <row r="17" spans="1:48" x14ac:dyDescent="0.25">
      <c r="A17" s="96">
        <f t="shared" si="7"/>
        <v>45134.333333333336</v>
      </c>
      <c r="B17" s="198">
        <v>0.33333333333333331</v>
      </c>
      <c r="C17" s="199" t="s">
        <v>130</v>
      </c>
      <c r="D17" s="79">
        <v>68195</v>
      </c>
      <c r="E17" s="80">
        <f>IF(D17&gt;0,D17-D16,"")</f>
        <v>80</v>
      </c>
      <c r="F17" s="200">
        <f t="shared" si="8"/>
        <v>160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0</v>
      </c>
      <c r="AL17" s="103">
        <f t="shared" si="16"/>
        <v>45134.291666666672</v>
      </c>
      <c r="AM17" s="102">
        <f t="shared" si="17"/>
        <v>0</v>
      </c>
      <c r="AN17" s="102">
        <f t="shared" si="18"/>
        <v>0</v>
      </c>
      <c r="AO17" s="102">
        <f t="shared" si="19"/>
        <v>0</v>
      </c>
      <c r="AP17" s="103">
        <f t="shared" si="20"/>
        <v>45134.333333333336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4.1666666666666664E-2</v>
      </c>
      <c r="AV17" s="239" t="s">
        <v>164</v>
      </c>
    </row>
    <row r="18" spans="1:48" x14ac:dyDescent="0.25">
      <c r="A18" s="96">
        <f t="shared" si="7"/>
        <v>45134.375</v>
      </c>
      <c r="B18" s="198">
        <v>0.375</v>
      </c>
      <c r="C18" s="199" t="s">
        <v>130</v>
      </c>
      <c r="D18" s="79">
        <v>68275</v>
      </c>
      <c r="E18" s="80">
        <f>IF(D18&gt;0,D18-D17,"")</f>
        <v>80</v>
      </c>
      <c r="F18" s="200">
        <f t="shared" si="8"/>
        <v>160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0</v>
      </c>
      <c r="AL18" s="103">
        <f t="shared" si="16"/>
        <v>45134.333333333336</v>
      </c>
      <c r="AM18" s="102">
        <f t="shared" si="17"/>
        <v>0</v>
      </c>
      <c r="AN18" s="102">
        <f t="shared" si="18"/>
        <v>0</v>
      </c>
      <c r="AO18" s="102">
        <f t="shared" si="19"/>
        <v>0</v>
      </c>
      <c r="AP18" s="103">
        <f t="shared" si="20"/>
        <v>45134.375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4.1666666666666664E-2</v>
      </c>
      <c r="AV18" s="239" t="s">
        <v>165</v>
      </c>
    </row>
    <row r="19" spans="1:48" ht="15.75" customHeight="1" x14ac:dyDescent="0.25">
      <c r="A19" s="96">
        <f t="shared" si="7"/>
        <v>45134.416666666664</v>
      </c>
      <c r="B19" s="198">
        <v>0.41666666666666702</v>
      </c>
      <c r="C19" s="199" t="s">
        <v>130</v>
      </c>
      <c r="D19" s="79">
        <v>68275</v>
      </c>
      <c r="E19" s="80">
        <f t="shared" ref="E19:E34" si="26">IF(D19&gt;0,D19-D18,"")</f>
        <v>0</v>
      </c>
      <c r="F19" s="200">
        <f t="shared" si="8"/>
        <v>160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0</v>
      </c>
      <c r="AL19" s="103">
        <f t="shared" si="16"/>
        <v>45134.375</v>
      </c>
      <c r="AM19" s="102">
        <f t="shared" si="17"/>
        <v>0</v>
      </c>
      <c r="AN19" s="102">
        <f t="shared" si="18"/>
        <v>0</v>
      </c>
      <c r="AO19" s="102">
        <f t="shared" si="19"/>
        <v>0</v>
      </c>
      <c r="AP19" s="103">
        <f t="shared" si="20"/>
        <v>45134.416666666664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4.1666666666666664E-2</v>
      </c>
      <c r="AV19" s="239" t="s">
        <v>166</v>
      </c>
    </row>
    <row r="20" spans="1:48" x14ac:dyDescent="0.25">
      <c r="A20" s="96">
        <f t="shared" si="7"/>
        <v>45134.458333333336</v>
      </c>
      <c r="B20" s="198">
        <v>0.45833333333333331</v>
      </c>
      <c r="C20" s="199" t="s">
        <v>130</v>
      </c>
      <c r="D20" s="79">
        <v>68311</v>
      </c>
      <c r="E20" s="80">
        <f t="shared" si="26"/>
        <v>36</v>
      </c>
      <c r="F20" s="200">
        <f t="shared" si="8"/>
        <v>160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0</v>
      </c>
      <c r="AL20" s="103">
        <f t="shared" si="16"/>
        <v>45134.416666666672</v>
      </c>
      <c r="AM20" s="102">
        <f t="shared" si="17"/>
        <v>0</v>
      </c>
      <c r="AN20" s="102">
        <f t="shared" si="18"/>
        <v>0</v>
      </c>
      <c r="AO20" s="102">
        <f t="shared" si="19"/>
        <v>0</v>
      </c>
      <c r="AP20" s="103">
        <f t="shared" si="20"/>
        <v>45134.458333333336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4.1666666666666664E-2</v>
      </c>
      <c r="AV20" s="239" t="s">
        <v>167</v>
      </c>
    </row>
    <row r="21" spans="1:48" x14ac:dyDescent="0.25">
      <c r="A21" s="96">
        <f t="shared" si="7"/>
        <v>45134.5</v>
      </c>
      <c r="B21" s="214">
        <v>0.5</v>
      </c>
      <c r="C21" s="199" t="s">
        <v>130</v>
      </c>
      <c r="D21" s="79">
        <v>68378</v>
      </c>
      <c r="E21" s="80">
        <f t="shared" si="26"/>
        <v>67</v>
      </c>
      <c r="F21" s="200">
        <f t="shared" si="8"/>
        <v>160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0</v>
      </c>
      <c r="AL21" s="103">
        <f t="shared" si="16"/>
        <v>45134.458333333336</v>
      </c>
      <c r="AM21" s="102">
        <f t="shared" si="17"/>
        <v>0</v>
      </c>
      <c r="AN21" s="102">
        <f t="shared" si="18"/>
        <v>0</v>
      </c>
      <c r="AO21" s="102">
        <f t="shared" si="19"/>
        <v>0</v>
      </c>
      <c r="AP21" s="103">
        <f t="shared" si="20"/>
        <v>45134.5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0</v>
      </c>
      <c r="AU21" s="104">
        <f t="shared" ca="1" si="24"/>
        <v>4.1666666666666664E-2</v>
      </c>
      <c r="AV21" s="239"/>
    </row>
    <row r="22" spans="1:48" ht="13.5" customHeight="1" x14ac:dyDescent="0.25">
      <c r="A22" s="96">
        <f t="shared" si="7"/>
        <v>45134.541666666664</v>
      </c>
      <c r="B22" s="214">
        <v>0.54166666666666663</v>
      </c>
      <c r="C22" s="199" t="s">
        <v>130</v>
      </c>
      <c r="D22" s="79">
        <v>68475</v>
      </c>
      <c r="E22" s="80">
        <f t="shared" si="26"/>
        <v>97</v>
      </c>
      <c r="F22" s="200">
        <f t="shared" si="8"/>
        <v>160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0</v>
      </c>
      <c r="AL22" s="103">
        <f t="shared" si="16"/>
        <v>45134.5</v>
      </c>
      <c r="AM22" s="102">
        <f t="shared" si="17"/>
        <v>0</v>
      </c>
      <c r="AN22" s="102">
        <f t="shared" si="18"/>
        <v>0</v>
      </c>
      <c r="AO22" s="102">
        <f t="shared" si="19"/>
        <v>0</v>
      </c>
      <c r="AP22" s="103">
        <f t="shared" si="20"/>
        <v>45134.541666666664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0</v>
      </c>
      <c r="AU22" s="104">
        <f t="shared" ca="1" si="24"/>
        <v>4.1666666666666664E-2</v>
      </c>
      <c r="AV22" s="239"/>
    </row>
    <row r="23" spans="1:48" x14ac:dyDescent="0.25">
      <c r="A23" s="96">
        <f t="shared" si="7"/>
        <v>45134.583333333336</v>
      </c>
      <c r="B23" s="215">
        <v>0.58333333333333337</v>
      </c>
      <c r="C23" s="199" t="s">
        <v>130</v>
      </c>
      <c r="D23" s="79">
        <v>68547</v>
      </c>
      <c r="E23" s="80">
        <f t="shared" si="26"/>
        <v>72</v>
      </c>
      <c r="F23" s="200">
        <f t="shared" si="8"/>
        <v>160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0</v>
      </c>
      <c r="AL23" s="103">
        <f t="shared" si="16"/>
        <v>45134.541666666672</v>
      </c>
      <c r="AM23" s="102">
        <f t="shared" si="17"/>
        <v>0</v>
      </c>
      <c r="AN23" s="102">
        <f t="shared" si="18"/>
        <v>0</v>
      </c>
      <c r="AO23" s="102">
        <f t="shared" si="19"/>
        <v>0</v>
      </c>
      <c r="AP23" s="103">
        <f t="shared" si="20"/>
        <v>45134.583333333336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0</v>
      </c>
      <c r="AU23" s="104">
        <f t="shared" ca="1" si="24"/>
        <v>4.1666666666666664E-2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432</v>
      </c>
      <c r="E24" s="121" t="str">
        <f ca="1">IFERROR(D24/24/AT24,"")</f>
        <v/>
      </c>
      <c r="F24" s="125">
        <f t="shared" si="8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0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</v>
      </c>
      <c r="AU24" s="143">
        <f ca="1">SUM(AU16:AU23)</f>
        <v>0.33333333333333331</v>
      </c>
      <c r="AV24" s="239"/>
    </row>
    <row r="25" spans="1:48" ht="13.15" customHeight="1" thickTop="1" x14ac:dyDescent="0.25">
      <c r="A25" s="96">
        <f t="shared" ref="A25:A32" si="28">B25+$B$1</f>
        <v>45134.625</v>
      </c>
      <c r="B25" s="198">
        <v>0.625</v>
      </c>
      <c r="C25" s="199" t="s">
        <v>130</v>
      </c>
      <c r="D25" s="79">
        <v>68611</v>
      </c>
      <c r="E25" s="80">
        <f>IF(D25&gt;0,D25-D23,"")</f>
        <v>64</v>
      </c>
      <c r="F25" s="200">
        <f t="shared" si="8"/>
        <v>160</v>
      </c>
      <c r="G25" s="210">
        <v>36</v>
      </c>
      <c r="H25" s="211">
        <v>20</v>
      </c>
      <c r="I25" s="211">
        <v>20</v>
      </c>
      <c r="J25" s="211">
        <v>20</v>
      </c>
      <c r="K25" s="211" t="s">
        <v>136</v>
      </c>
      <c r="L25" s="209" t="s">
        <v>136</v>
      </c>
      <c r="M25" s="209"/>
      <c r="N25" s="209" t="s">
        <v>137</v>
      </c>
      <c r="O25" s="209" t="s">
        <v>170</v>
      </c>
      <c r="P25" s="209" t="s">
        <v>171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91</v>
      </c>
      <c r="W25" s="212">
        <v>33</v>
      </c>
      <c r="X25" s="212">
        <v>95</v>
      </c>
      <c r="Y25" s="209">
        <v>90</v>
      </c>
      <c r="Z25" s="209"/>
      <c r="AA25" s="209">
        <v>90</v>
      </c>
      <c r="AB25" s="212">
        <v>21</v>
      </c>
      <c r="AC25" s="209">
        <v>70</v>
      </c>
      <c r="AD25" s="213">
        <v>41</v>
      </c>
      <c r="AE25" s="209" t="s">
        <v>172</v>
      </c>
      <c r="AF25" s="209" t="s">
        <v>173</v>
      </c>
      <c r="AG25" s="209"/>
      <c r="AH25" s="209"/>
      <c r="AI25" s="134">
        <v>0.59027777777777779</v>
      </c>
      <c r="AJ25" s="134">
        <v>0.59930555555555554</v>
      </c>
      <c r="AK25" s="102">
        <f t="shared" ref="AK25:AK32" si="29">AO25</f>
        <v>1</v>
      </c>
      <c r="AL25" s="103">
        <f t="shared" ref="AL25:AL32" si="30">IF(AI25&lt;&gt;"",AI25+$B$1,B25+$B$1-1/24)</f>
        <v>45134.590277777781</v>
      </c>
      <c r="AM25" s="102">
        <f t="shared" ref="AM25:AM32" si="31">AK24</f>
        <v>0</v>
      </c>
      <c r="AN25" s="102">
        <f t="shared" ref="AN25:AN32" si="32">IF(AI25="",AM25,0)</f>
        <v>0</v>
      </c>
      <c r="AO25" s="102">
        <f t="shared" ref="AO25:AO32" si="33">IF(AJ25&lt;&gt;"",1,AN25)</f>
        <v>1</v>
      </c>
      <c r="AP25" s="103">
        <f>IF(AJ23&lt;&gt;"",AJ23+$B$1,B25+$B$1)</f>
        <v>45134.625</v>
      </c>
      <c r="AQ25" s="103">
        <f t="shared" ref="AQ25:AQ32" si="34">AL25-A25+1/24</f>
        <v>6.9444444476782011E-3</v>
      </c>
      <c r="AR25" s="103">
        <f t="shared" ref="AR25:AR32" si="35">AP25-AL25</f>
        <v>3.4722222218988463E-2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t="shared" ref="AU25:AU32" ca="1" si="38">IF(A25&lt;$AU$1,1/24-AT25,0)</f>
        <v>4.1666666666666664E-2</v>
      </c>
      <c r="AV25" s="239" t="s">
        <v>169</v>
      </c>
    </row>
    <row r="26" spans="1:48" x14ac:dyDescent="0.25">
      <c r="A26" s="96">
        <f t="shared" si="28"/>
        <v>45134.666666666664</v>
      </c>
      <c r="B26" s="198">
        <v>0.66666666666666663</v>
      </c>
      <c r="C26" s="199" t="s">
        <v>130</v>
      </c>
      <c r="D26" s="79">
        <v>68611</v>
      </c>
      <c r="E26" s="80">
        <f t="shared" si="26"/>
        <v>0</v>
      </c>
      <c r="F26" s="200">
        <f t="shared" si="8"/>
        <v>160</v>
      </c>
      <c r="G26" s="210">
        <v>30</v>
      </c>
      <c r="H26" s="210">
        <v>42</v>
      </c>
      <c r="I26" s="209">
        <v>15</v>
      </c>
      <c r="J26" s="211">
        <v>20</v>
      </c>
      <c r="K26" s="211"/>
      <c r="L26" s="209"/>
      <c r="M26" s="209"/>
      <c r="N26" s="209" t="s">
        <v>174</v>
      </c>
      <c r="O26" s="209" t="s">
        <v>170</v>
      </c>
      <c r="P26" s="209" t="s">
        <v>175</v>
      </c>
      <c r="Q26" s="209">
        <v>20</v>
      </c>
      <c r="R26" s="209"/>
      <c r="S26" s="209"/>
      <c r="T26" s="209"/>
      <c r="U26" s="212"/>
      <c r="V26" s="212">
        <v>88</v>
      </c>
      <c r="W26" s="212">
        <v>20</v>
      </c>
      <c r="X26" s="212">
        <v>70</v>
      </c>
      <c r="Y26" s="209">
        <v>100</v>
      </c>
      <c r="Z26" s="209"/>
      <c r="AA26" s="209">
        <v>90</v>
      </c>
      <c r="AB26" s="212">
        <v>20</v>
      </c>
      <c r="AC26" s="209">
        <v>70</v>
      </c>
      <c r="AD26" s="213">
        <v>37</v>
      </c>
      <c r="AE26" s="209"/>
      <c r="AF26" s="209"/>
      <c r="AG26" s="209"/>
      <c r="AH26" s="209"/>
      <c r="AI26" s="134">
        <v>0.64444444444444449</v>
      </c>
      <c r="AJ26" s="145">
        <v>0.69027777777777777</v>
      </c>
      <c r="AK26" s="102">
        <f t="shared" si="29"/>
        <v>1</v>
      </c>
      <c r="AL26" s="103">
        <f t="shared" si="30"/>
        <v>45134.644444444442</v>
      </c>
      <c r="AM26" s="102">
        <f t="shared" si="31"/>
        <v>1</v>
      </c>
      <c r="AN26" s="102">
        <f t="shared" si="32"/>
        <v>0</v>
      </c>
      <c r="AO26" s="102">
        <f t="shared" si="33"/>
        <v>1</v>
      </c>
      <c r="AP26" s="103">
        <f t="shared" ref="AP26:AP32" si="39">IF(AJ25&lt;&gt;"",AJ25+$B$1,B26+$B$1)</f>
        <v>45134.599305555559</v>
      </c>
      <c r="AQ26" s="103">
        <f t="shared" si="34"/>
        <v>1.9444444444767818E-2</v>
      </c>
      <c r="AR26" s="103">
        <f t="shared" si="35"/>
        <v>-4.5138888883229811E-2</v>
      </c>
      <c r="AS26" s="103">
        <f t="shared" si="36"/>
        <v>6.7361111105128657E-2</v>
      </c>
      <c r="AT26" s="103">
        <f t="shared" ca="1" si="37"/>
        <v>8.6805555549896468E-2</v>
      </c>
      <c r="AU26" s="104">
        <f t="shared" ca="1" si="38"/>
        <v>-4.5138888883229804E-2</v>
      </c>
      <c r="AV26" s="239" t="s">
        <v>177</v>
      </c>
    </row>
    <row r="27" spans="1:48" x14ac:dyDescent="0.25">
      <c r="A27" s="96">
        <f t="shared" si="28"/>
        <v>45134.708333333336</v>
      </c>
      <c r="B27" s="198">
        <v>0.70833333333333337</v>
      </c>
      <c r="C27" s="199" t="s">
        <v>130</v>
      </c>
      <c r="D27" s="79">
        <v>68699</v>
      </c>
      <c r="E27" s="80">
        <f t="shared" si="26"/>
        <v>88</v>
      </c>
      <c r="F27" s="200">
        <f t="shared" si="8"/>
        <v>160</v>
      </c>
      <c r="G27" s="210">
        <v>30</v>
      </c>
      <c r="H27" s="210">
        <v>42</v>
      </c>
      <c r="I27" s="209">
        <v>15</v>
      </c>
      <c r="J27" s="211">
        <v>20</v>
      </c>
      <c r="K27" s="211" t="s">
        <v>136</v>
      </c>
      <c r="L27" s="209" t="s">
        <v>136</v>
      </c>
      <c r="M27" s="209"/>
      <c r="N27" s="209" t="s">
        <v>174</v>
      </c>
      <c r="O27" s="209" t="s">
        <v>170</v>
      </c>
      <c r="P27" s="209" t="s">
        <v>175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88</v>
      </c>
      <c r="W27" s="212">
        <v>21</v>
      </c>
      <c r="X27" s="212">
        <v>70</v>
      </c>
      <c r="Y27" s="209">
        <v>100</v>
      </c>
      <c r="Z27" s="209"/>
      <c r="AA27" s="209">
        <v>90</v>
      </c>
      <c r="AB27" s="212">
        <v>21</v>
      </c>
      <c r="AC27" s="209">
        <v>70</v>
      </c>
      <c r="AD27" s="213">
        <v>35</v>
      </c>
      <c r="AE27" s="209" t="s">
        <v>134</v>
      </c>
      <c r="AF27" s="209" t="s">
        <v>176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45134.666666666672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45134.69027777778</v>
      </c>
      <c r="AQ27" s="103">
        <f t="shared" si="34"/>
        <v>2.425316891763174E-12</v>
      </c>
      <c r="AR27" s="103">
        <f t="shared" si="35"/>
        <v>2.361111110803904E-2</v>
      </c>
      <c r="AS27" s="103">
        <f t="shared" si="36"/>
        <v>1.8055555556202307E-2</v>
      </c>
      <c r="AT27" s="103">
        <f t="shared" ca="1" si="37"/>
        <v>4.1666666666666664E-2</v>
      </c>
      <c r="AU27" s="104">
        <f t="shared" ca="1" si="38"/>
        <v>0</v>
      </c>
      <c r="AV27" s="239" t="s">
        <v>181</v>
      </c>
    </row>
    <row r="28" spans="1:48" ht="14.25" customHeight="1" x14ac:dyDescent="0.25">
      <c r="A28" s="96">
        <f t="shared" si="28"/>
        <v>45134.75</v>
      </c>
      <c r="B28" s="198">
        <v>0.75</v>
      </c>
      <c r="C28" s="199" t="s">
        <v>130</v>
      </c>
      <c r="D28" s="79">
        <v>68881</v>
      </c>
      <c r="E28" s="80">
        <f t="shared" si="26"/>
        <v>182</v>
      </c>
      <c r="F28" s="200">
        <f t="shared" si="8"/>
        <v>160</v>
      </c>
      <c r="G28" s="210">
        <v>30</v>
      </c>
      <c r="H28" s="210">
        <v>41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 t="s">
        <v>178</v>
      </c>
      <c r="O28" s="209" t="s">
        <v>179</v>
      </c>
      <c r="P28" s="209" t="s">
        <v>180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89</v>
      </c>
      <c r="W28" s="212">
        <v>27</v>
      </c>
      <c r="X28" s="212">
        <v>69</v>
      </c>
      <c r="Y28" s="209">
        <v>100</v>
      </c>
      <c r="Z28" s="209"/>
      <c r="AA28" s="209">
        <v>90</v>
      </c>
      <c r="AB28" s="212">
        <v>8</v>
      </c>
      <c r="AC28" s="212">
        <v>90</v>
      </c>
      <c r="AD28" s="213">
        <v>33</v>
      </c>
      <c r="AE28" s="209" t="s">
        <v>134</v>
      </c>
      <c r="AF28" s="209" t="s">
        <v>135</v>
      </c>
      <c r="AG28" s="209"/>
      <c r="AH28" s="209"/>
      <c r="AI28" s="101"/>
      <c r="AJ28" s="101"/>
      <c r="AK28" s="102">
        <f t="shared" si="29"/>
        <v>1</v>
      </c>
      <c r="AL28" s="103">
        <f t="shared" si="30"/>
        <v>45134.708333333336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45134.75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 t="s">
        <v>186</v>
      </c>
    </row>
    <row r="29" spans="1:48" ht="15" customHeight="1" x14ac:dyDescent="0.25">
      <c r="A29" s="96">
        <f t="shared" si="28"/>
        <v>45134.791666666664</v>
      </c>
      <c r="B29" s="198">
        <v>0.79166666666666663</v>
      </c>
      <c r="C29" s="199" t="s">
        <v>130</v>
      </c>
      <c r="D29" s="79">
        <v>69019</v>
      </c>
      <c r="E29" s="80">
        <f t="shared" si="26"/>
        <v>138</v>
      </c>
      <c r="F29" s="200">
        <f t="shared" si="8"/>
        <v>160</v>
      </c>
      <c r="G29" s="210">
        <v>35</v>
      </c>
      <c r="H29" s="210">
        <v>43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 t="s">
        <v>182</v>
      </c>
      <c r="O29" s="209" t="s">
        <v>183</v>
      </c>
      <c r="P29" s="209" t="s">
        <v>180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89</v>
      </c>
      <c r="W29" s="212">
        <v>19</v>
      </c>
      <c r="X29" s="212">
        <v>75</v>
      </c>
      <c r="Y29" s="209">
        <v>100</v>
      </c>
      <c r="Z29" s="209"/>
      <c r="AA29" s="209">
        <v>90</v>
      </c>
      <c r="AB29" s="212">
        <v>22</v>
      </c>
      <c r="AC29" s="212">
        <v>80</v>
      </c>
      <c r="AD29" s="213">
        <v>34</v>
      </c>
      <c r="AE29" s="209" t="s">
        <v>134</v>
      </c>
      <c r="AF29" s="209" t="s">
        <v>135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45134.75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45134.791666666664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45134.833333333336</v>
      </c>
      <c r="B30" s="198">
        <v>0.83333333333333337</v>
      </c>
      <c r="C30" s="199" t="s">
        <v>130</v>
      </c>
      <c r="D30" s="79">
        <v>69141</v>
      </c>
      <c r="E30" s="80">
        <f t="shared" si="26"/>
        <v>122</v>
      </c>
      <c r="F30" s="200">
        <f t="shared" si="8"/>
        <v>160</v>
      </c>
      <c r="G30" s="210">
        <v>32</v>
      </c>
      <c r="H30" s="210">
        <v>42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 t="s">
        <v>184</v>
      </c>
      <c r="O30" s="209" t="s">
        <v>185</v>
      </c>
      <c r="P30" s="209" t="s">
        <v>119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91</v>
      </c>
      <c r="W30" s="212">
        <v>26</v>
      </c>
      <c r="X30" s="212">
        <v>76</v>
      </c>
      <c r="Y30" s="209">
        <v>100</v>
      </c>
      <c r="Z30" s="209"/>
      <c r="AA30" s="209">
        <v>90</v>
      </c>
      <c r="AB30" s="212">
        <v>23</v>
      </c>
      <c r="AC30" s="212">
        <v>80</v>
      </c>
      <c r="AD30" s="213">
        <v>30</v>
      </c>
      <c r="AE30" s="209" t="s">
        <v>134</v>
      </c>
      <c r="AF30" s="209" t="s">
        <v>135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45134.791666666672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45134.833333333336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45134.875</v>
      </c>
      <c r="B31" s="198">
        <v>0.875</v>
      </c>
      <c r="C31" s="199" t="s">
        <v>130</v>
      </c>
      <c r="D31" s="79">
        <v>69277</v>
      </c>
      <c r="E31" s="80">
        <f t="shared" si="26"/>
        <v>136</v>
      </c>
      <c r="F31" s="200">
        <f t="shared" si="8"/>
        <v>160</v>
      </c>
      <c r="G31" s="210">
        <v>31</v>
      </c>
      <c r="H31" s="210">
        <v>41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 t="s">
        <v>187</v>
      </c>
      <c r="O31" s="209" t="s">
        <v>185</v>
      </c>
      <c r="P31" s="209" t="s">
        <v>188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78</v>
      </c>
      <c r="W31" s="212">
        <v>23</v>
      </c>
      <c r="X31" s="212">
        <v>75</v>
      </c>
      <c r="Y31" s="209">
        <v>100</v>
      </c>
      <c r="Z31" s="209"/>
      <c r="AA31" s="209">
        <v>80</v>
      </c>
      <c r="AB31" s="212">
        <v>19</v>
      </c>
      <c r="AC31" s="212">
        <v>70</v>
      </c>
      <c r="AD31" s="213">
        <v>38</v>
      </c>
      <c r="AE31" s="209" t="s">
        <v>134</v>
      </c>
      <c r="AF31" s="209" t="s">
        <v>135</v>
      </c>
      <c r="AG31" s="209"/>
      <c r="AH31" s="209"/>
      <c r="AI31" s="101"/>
      <c r="AJ31" s="101"/>
      <c r="AK31" s="102">
        <f t="shared" si="29"/>
        <v>1</v>
      </c>
      <c r="AL31" s="103">
        <f t="shared" si="30"/>
        <v>45134.833333333336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45134.875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45134.916666666664</v>
      </c>
      <c r="B32" s="198">
        <v>0.91666666666666663</v>
      </c>
      <c r="C32" s="199" t="s">
        <v>130</v>
      </c>
      <c r="D32" s="79">
        <v>69288</v>
      </c>
      <c r="E32" s="80">
        <f t="shared" si="26"/>
        <v>11</v>
      </c>
      <c r="F32" s="200">
        <f t="shared" si="8"/>
        <v>160</v>
      </c>
      <c r="G32" s="210">
        <v>30</v>
      </c>
      <c r="H32" s="210">
        <v>41</v>
      </c>
      <c r="I32" s="209">
        <v>14</v>
      </c>
      <c r="J32" s="211">
        <v>20</v>
      </c>
      <c r="K32" s="211" t="s">
        <v>136</v>
      </c>
      <c r="L32" s="209" t="s">
        <v>136</v>
      </c>
      <c r="M32" s="209"/>
      <c r="N32" s="209" t="s">
        <v>189</v>
      </c>
      <c r="O32" s="209" t="s">
        <v>190</v>
      </c>
      <c r="P32" s="209" t="s">
        <v>191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78</v>
      </c>
      <c r="W32" s="212">
        <v>7</v>
      </c>
      <c r="X32" s="212">
        <v>75</v>
      </c>
      <c r="Y32" s="209">
        <v>100</v>
      </c>
      <c r="Z32" s="209"/>
      <c r="AA32" s="209">
        <v>80</v>
      </c>
      <c r="AB32" s="212">
        <v>20</v>
      </c>
      <c r="AC32" s="212">
        <v>70</v>
      </c>
      <c r="AD32" s="213">
        <v>43</v>
      </c>
      <c r="AE32" s="209" t="s">
        <v>134</v>
      </c>
      <c r="AF32" s="209" t="s">
        <v>135</v>
      </c>
      <c r="AG32" s="209"/>
      <c r="AH32" s="209"/>
      <c r="AI32" s="101"/>
      <c r="AJ32" s="101"/>
      <c r="AK32" s="102">
        <f t="shared" si="29"/>
        <v>1</v>
      </c>
      <c r="AL32" s="103">
        <f t="shared" si="30"/>
        <v>45134.875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45134.916666666664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741</v>
      </c>
      <c r="E33" s="121">
        <f ca="1">IFERROR(D33/24/AT33,"")</f>
        <v>91.670103094323764</v>
      </c>
      <c r="F33" s="121">
        <f t="shared" si="8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0.3368055555498965</v>
      </c>
      <c r="AU33" s="143">
        <f ca="1">SUM(AU25:AU32)</f>
        <v>-3.4722222165631395E-3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1173</v>
      </c>
      <c r="E35" s="80">
        <f>IF(D35&gt;0,D35-D34,"")</f>
        <v>1173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0.3368055555498965</v>
      </c>
      <c r="AU35" s="162">
        <f ca="1">+AU33+AU24+AU15</f>
        <v>0.66319444445010345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45134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432</v>
      </c>
      <c r="J40" s="171">
        <f>D33</f>
        <v>741</v>
      </c>
      <c r="K40" s="79">
        <f>D35</f>
        <v>1173</v>
      </c>
      <c r="L40" s="194">
        <v>1638</v>
      </c>
      <c r="Q40" s="177"/>
    </row>
    <row r="41" spans="1:48" x14ac:dyDescent="0.25">
      <c r="G41" s="79" t="s">
        <v>125</v>
      </c>
      <c r="H41" s="235">
        <f ca="1">AT15</f>
        <v>0</v>
      </c>
      <c r="I41" s="235">
        <f ca="1">AT24</f>
        <v>0</v>
      </c>
      <c r="J41" s="235">
        <f ca="1">AT33</f>
        <v>0.3368055555498965</v>
      </c>
      <c r="K41" s="235">
        <f ca="1">IF(SUM(H41:J41)=1,"24 h",SUM(H41:J41))</f>
        <v>0.3368055555498965</v>
      </c>
      <c r="L41" s="79"/>
    </row>
    <row r="42" spans="1:48" x14ac:dyDescent="0.25">
      <c r="G42" s="79" t="s">
        <v>126</v>
      </c>
      <c r="H42" s="171" t="str">
        <f ca="1">E15</f>
        <v/>
      </c>
      <c r="I42" s="171" t="str">
        <f ca="1">E24</f>
        <v/>
      </c>
      <c r="J42" s="171">
        <f ca="1">E33</f>
        <v>91.670103094323764</v>
      </c>
      <c r="K42" s="171">
        <f>E35</f>
        <v>1173</v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69288</v>
      </c>
      <c r="I46" s="79">
        <f>+D35</f>
        <v>1173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0.3368055555498965</v>
      </c>
      <c r="N46" s="79">
        <f>+L46*24</f>
        <v>16</v>
      </c>
      <c r="O46" s="238">
        <f ca="1">+AU35</f>
        <v>0.66319444445010345</v>
      </c>
      <c r="P46" s="79">
        <v>160</v>
      </c>
      <c r="Q46" s="111">
        <f ca="1">+I46/M46/24</f>
        <v>145.11340206429389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68115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4.1666666666666664E-2</v>
      </c>
      <c r="M48" s="175" t="str">
        <f>AV7</f>
        <v>Plant stopped - No night shift</v>
      </c>
    </row>
    <row r="49" spans="6:13" ht="12.75" hidden="1" customHeight="1" x14ac:dyDescent="0.25">
      <c r="F49" s="1">
        <v>2</v>
      </c>
      <c r="G49" s="79">
        <f t="shared" si="41"/>
        <v>68115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4.1666666666666664E-2</v>
      </c>
      <c r="M49" s="175" t="str">
        <f t="shared" si="44"/>
        <v>Plant stopped - No night shift</v>
      </c>
    </row>
    <row r="50" spans="6:13" ht="12.75" hidden="1" customHeight="1" x14ac:dyDescent="0.25">
      <c r="F50" s="1">
        <v>3</v>
      </c>
      <c r="G50" s="79">
        <f t="shared" si="41"/>
        <v>68115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4.1666666666666664E-2</v>
      </c>
      <c r="M50" s="175" t="str">
        <f t="shared" si="44"/>
        <v>Plant stopped - No night shift</v>
      </c>
    </row>
    <row r="51" spans="6:13" ht="12.75" hidden="1" customHeight="1" x14ac:dyDescent="0.25">
      <c r="F51" s="1">
        <v>4</v>
      </c>
      <c r="G51" s="79">
        <f t="shared" si="41"/>
        <v>68115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4.1666666666666664E-2</v>
      </c>
      <c r="M51" s="175" t="str">
        <f t="shared" si="44"/>
        <v>Plant stopped - No night shift</v>
      </c>
    </row>
    <row r="52" spans="6:13" ht="12.75" hidden="1" customHeight="1" x14ac:dyDescent="0.25">
      <c r="F52" s="1">
        <v>5</v>
      </c>
      <c r="G52" s="79">
        <f t="shared" si="41"/>
        <v>68115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4.1666666666666664E-2</v>
      </c>
      <c r="M52" s="175" t="str">
        <f t="shared" si="44"/>
        <v>Plant stopped - No night shift</v>
      </c>
    </row>
    <row r="53" spans="6:13" ht="12.75" hidden="1" customHeight="1" x14ac:dyDescent="0.25">
      <c r="F53" s="1">
        <v>6</v>
      </c>
      <c r="G53" s="79">
        <f t="shared" si="41"/>
        <v>68115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4.1666666666666664E-2</v>
      </c>
      <c r="M53" s="175" t="str">
        <f t="shared" si="44"/>
        <v>Plant stopped - No night shift</v>
      </c>
    </row>
    <row r="54" spans="6:13" ht="12.75" hidden="1" customHeight="1" x14ac:dyDescent="0.25">
      <c r="F54" s="1">
        <v>7</v>
      </c>
      <c r="G54" s="79">
        <f t="shared" si="41"/>
        <v>68115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4.1666666666666664E-2</v>
      </c>
      <c r="M54" s="175" t="str">
        <f t="shared" si="44"/>
        <v>Plant stopped - No night shift</v>
      </c>
    </row>
    <row r="55" spans="6:13" ht="12.75" hidden="1" customHeight="1" x14ac:dyDescent="0.25">
      <c r="F55" s="1">
        <v>8</v>
      </c>
      <c r="G55" s="79">
        <f t="shared" si="41"/>
        <v>68115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4.1666666666666664E-2</v>
      </c>
      <c r="M55" s="175" t="str">
        <f t="shared" si="44"/>
        <v>06:00-07:00Caucus, plant inspection and Electrician fixed the trapped CC01,Setting both CC to 20mm</v>
      </c>
    </row>
    <row r="56" spans="6:13" ht="12.75" hidden="1" customHeight="1" x14ac:dyDescent="0.25">
      <c r="F56" s="1">
        <v>9</v>
      </c>
      <c r="G56" s="79">
        <f t="shared" ref="G56:G63" si="45">D16</f>
        <v>68115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4.1666666666666664E-2</v>
      </c>
      <c r="M56" s="175" t="str">
        <f t="shared" si="48"/>
        <v>07:25-07:35 Cleaning FE03 build up</v>
      </c>
    </row>
    <row r="57" spans="6:13" ht="12.75" hidden="1" customHeight="1" x14ac:dyDescent="0.25">
      <c r="F57" s="1">
        <v>10</v>
      </c>
      <c r="G57" s="79">
        <f t="shared" si="45"/>
        <v>68195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4.1666666666666664E-2</v>
      </c>
      <c r="M57" s="175" t="str">
        <f t="shared" si="48"/>
        <v xml:space="preserve">08:20-08:35 Cleaning Build up on FE02 </v>
      </c>
    </row>
    <row r="58" spans="6:13" ht="12.75" hidden="1" customHeight="1" x14ac:dyDescent="0.25">
      <c r="F58" s="1">
        <v>11</v>
      </c>
      <c r="G58" s="79">
        <f t="shared" si="45"/>
        <v>68275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4.1666666666666664E-2</v>
      </c>
      <c r="M58" s="175" t="str">
        <f t="shared" si="48"/>
        <v>09:05-10:15 Secondary crusher trapped without a load,power cut due to resta</v>
      </c>
    </row>
    <row r="59" spans="6:13" ht="12.75" hidden="1" customHeight="1" x14ac:dyDescent="0.25">
      <c r="F59" s="1">
        <v>12</v>
      </c>
      <c r="G59" s="79">
        <f t="shared" si="45"/>
        <v>68275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4.1666666666666664E-2</v>
      </c>
      <c r="M59" s="175" t="str">
        <f t="shared" si="48"/>
        <v>10:36-11:00 secondary trapped again without a load,while restarting it,it trapped CC02</v>
      </c>
    </row>
    <row r="60" spans="6:13" ht="12.75" hidden="1" customHeight="1" x14ac:dyDescent="0.25">
      <c r="F60" s="1">
        <v>13</v>
      </c>
      <c r="G60" s="79">
        <f t="shared" si="45"/>
        <v>68311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4.1666666666666664E-2</v>
      </c>
      <c r="M60" s="175" t="str">
        <f t="shared" si="48"/>
        <v>11:00-11:30Cleaning build up on FE03 and inside the CC02</v>
      </c>
    </row>
    <row r="61" spans="6:13" ht="12.75" hidden="1" customHeight="1" x14ac:dyDescent="0.25">
      <c r="F61" s="1">
        <v>14</v>
      </c>
      <c r="G61" s="79">
        <f t="shared" si="45"/>
        <v>68378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4.1666666666666664E-2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68475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4.1666666666666664E-2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68547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4.1666666666666664E-2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68611</v>
      </c>
      <c r="H64" s="79" t="e">
        <f>#REF!</f>
        <v>#REF!</v>
      </c>
      <c r="I64" s="79" t="str">
        <f t="shared" ref="I64:I71" si="50">O25</f>
        <v>38.9</v>
      </c>
      <c r="J64" s="111" t="str">
        <f t="shared" ref="J64:K71" si="51">AE25</f>
        <v>build Up</v>
      </c>
      <c r="K64" s="111" t="str">
        <f t="shared" si="51"/>
        <v>build up</v>
      </c>
      <c r="L64" s="162">
        <f t="shared" ref="L64:M71" ca="1" si="52">AU25</f>
        <v>4.1666666666666664E-2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68611</v>
      </c>
      <c r="H65" s="79" t="e">
        <f>#REF!</f>
        <v>#REF!</v>
      </c>
      <c r="I65" s="79" t="str">
        <f t="shared" si="50"/>
        <v>38.9</v>
      </c>
      <c r="J65" s="111">
        <f t="shared" si="51"/>
        <v>0</v>
      </c>
      <c r="K65" s="111">
        <f t="shared" si="51"/>
        <v>0</v>
      </c>
      <c r="L65" s="162">
        <f t="shared" ca="1" si="52"/>
        <v>-4.5138888883229804E-2</v>
      </c>
      <c r="M65" s="175" t="str">
        <f t="shared" si="52"/>
        <v>Plant stopped due to clean SCO1 build -up in panels</v>
      </c>
    </row>
    <row r="66" spans="6:13" ht="12.75" hidden="1" customHeight="1" x14ac:dyDescent="0.25">
      <c r="F66" s="1">
        <v>19</v>
      </c>
      <c r="G66" s="79">
        <f t="shared" si="49"/>
        <v>68699</v>
      </c>
      <c r="H66" s="79" t="e">
        <f>#REF!</f>
        <v>#REF!</v>
      </c>
      <c r="I66" s="79" t="str">
        <f t="shared" si="50"/>
        <v>38.9</v>
      </c>
      <c r="J66" s="111" t="str">
        <f t="shared" si="51"/>
        <v>Clean</v>
      </c>
      <c r="K66" s="111" t="str">
        <f t="shared" si="51"/>
        <v>build -up</v>
      </c>
      <c r="L66" s="162">
        <f t="shared" ca="1" si="52"/>
        <v>0</v>
      </c>
      <c r="M66" s="175" t="str">
        <f t="shared" si="52"/>
        <v>18:18=18:31&gt;Stop frant loader due to clean build-up at FEO1</v>
      </c>
    </row>
    <row r="67" spans="6:13" ht="12.75" hidden="1" customHeight="1" x14ac:dyDescent="0.25">
      <c r="F67" s="1">
        <v>20</v>
      </c>
      <c r="G67" s="79">
        <f t="shared" si="49"/>
        <v>68881</v>
      </c>
      <c r="H67" s="79" t="e">
        <f>#REF!</f>
        <v>#REF!</v>
      </c>
      <c r="I67" s="79" t="str">
        <f t="shared" si="50"/>
        <v>40.7</v>
      </c>
      <c r="J67" s="111" t="str">
        <f t="shared" si="51"/>
        <v>Clean</v>
      </c>
      <c r="K67" s="111" t="str">
        <f t="shared" si="51"/>
        <v>build-up</v>
      </c>
      <c r="L67" s="162">
        <f t="shared" ca="1" si="52"/>
        <v>0</v>
      </c>
      <c r="M67" s="175" t="str">
        <f t="shared" si="52"/>
        <v>19:00&gt;Still struggling with build-up at FEO1,FEO3 and SCO1</v>
      </c>
    </row>
    <row r="68" spans="6:13" ht="12.75" hidden="1" customHeight="1" x14ac:dyDescent="0.25">
      <c r="F68" s="1">
        <v>21</v>
      </c>
      <c r="G68" s="79">
        <f t="shared" si="49"/>
        <v>69019</v>
      </c>
      <c r="H68" s="79" t="e">
        <f>#REF!</f>
        <v>#REF!</v>
      </c>
      <c r="I68" s="79" t="str">
        <f t="shared" si="50"/>
        <v>41.6</v>
      </c>
      <c r="J68" s="111" t="str">
        <f t="shared" si="51"/>
        <v>Clean</v>
      </c>
      <c r="K68" s="111" t="str">
        <f t="shared" si="51"/>
        <v>build-up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69141</v>
      </c>
      <c r="H69" s="79" t="e">
        <f>#REF!</f>
        <v>#REF!</v>
      </c>
      <c r="I69" s="79" t="str">
        <f t="shared" si="50"/>
        <v>37.3</v>
      </c>
      <c r="J69" s="111" t="str">
        <f t="shared" si="51"/>
        <v>Clean</v>
      </c>
      <c r="K69" s="111" t="str">
        <f t="shared" si="51"/>
        <v>build-up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69277</v>
      </c>
      <c r="H70" s="79" t="e">
        <f>#REF!</f>
        <v>#REF!</v>
      </c>
      <c r="I70" s="79" t="str">
        <f t="shared" si="50"/>
        <v>37.3</v>
      </c>
      <c r="J70" s="111" t="str">
        <f t="shared" si="51"/>
        <v>Clean</v>
      </c>
      <c r="K70" s="111" t="str">
        <f t="shared" si="51"/>
        <v>build-up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69288</v>
      </c>
      <c r="H71" s="79" t="e">
        <f>#REF!</f>
        <v>#REF!</v>
      </c>
      <c r="I71" s="79" t="str">
        <f t="shared" si="50"/>
        <v>40.4</v>
      </c>
      <c r="J71" s="111" t="str">
        <f t="shared" si="51"/>
        <v>Clean</v>
      </c>
      <c r="K71" s="111" t="str">
        <f t="shared" si="51"/>
        <v>build-up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G1:M1"/>
    <mergeCell ref="N1:U1"/>
    <mergeCell ref="V1:X1"/>
    <mergeCell ref="Y1:Z1"/>
    <mergeCell ref="G2:H2"/>
    <mergeCell ref="I2:I3"/>
    <mergeCell ref="L2:M2"/>
    <mergeCell ref="N2:O2"/>
    <mergeCell ref="P2:P3"/>
    <mergeCell ref="T2:U2"/>
    <mergeCell ref="Q2:Q3"/>
    <mergeCell ref="R2:R3"/>
    <mergeCell ref="S2:S3"/>
    <mergeCell ref="C1:F1"/>
    <mergeCell ref="AT5:AU5"/>
    <mergeCell ref="AG1:AH1"/>
    <mergeCell ref="J2:J3"/>
    <mergeCell ref="K2:K3"/>
    <mergeCell ref="AA1:AD1"/>
    <mergeCell ref="AE1:AF1"/>
  </mergeCells>
  <conditionalFormatting sqref="I6">
    <cfRule type="cellIs" dxfId="983" priority="40" operator="greaterThan">
      <formula>$I$4</formula>
    </cfRule>
    <cfRule type="cellIs" dxfId="982" priority="39" operator="lessThan">
      <formula>$I$4</formula>
    </cfRule>
  </conditionalFormatting>
  <conditionalFormatting sqref="N33">
    <cfRule type="cellIs" dxfId="981" priority="49" operator="greaterThan">
      <formula>75</formula>
    </cfRule>
    <cfRule type="cellIs" dxfId="980" priority="48" operator="lessThan">
      <formula>75</formula>
    </cfRule>
  </conditionalFormatting>
  <conditionalFormatting sqref="P15 P24 P33">
    <cfRule type="cellIs" dxfId="979" priority="38" operator="greaterThan">
      <formula>52.5</formula>
    </cfRule>
    <cfRule type="cellIs" dxfId="978" priority="37" operator="lessThan">
      <formula>52.5</formula>
    </cfRule>
  </conditionalFormatting>
  <conditionalFormatting sqref="S18:S22 U18:U22 S23:U23">
    <cfRule type="cellIs" dxfId="977" priority="17" operator="equal">
      <formula>"N"</formula>
    </cfRule>
    <cfRule type="cellIs" dxfId="976" priority="18" operator="equal">
      <formula>"Y"</formula>
    </cfRule>
  </conditionalFormatting>
  <conditionalFormatting sqref="S18:S22 U18:AB22 S23:AB23">
    <cfRule type="cellIs" dxfId="975" priority="11" operator="equal">
      <formula>"N"</formula>
    </cfRule>
    <cfRule type="cellIs" dxfId="974" priority="12" operator="equal">
      <formula>"Y"</formula>
    </cfRule>
  </conditionalFormatting>
  <conditionalFormatting sqref="T23">
    <cfRule type="cellIs" dxfId="973" priority="9" operator="equal">
      <formula>"S"</formula>
    </cfRule>
    <cfRule type="cellIs" dxfId="972" priority="10" operator="equal">
      <formula>"C"</formula>
    </cfRule>
    <cfRule type="cellIs" dxfId="971" priority="21" operator="equal">
      <formula>"N"</formula>
    </cfRule>
    <cfRule type="cellIs" dxfId="970" priority="22" operator="equal">
      <formula>"Y"</formula>
    </cfRule>
    <cfRule type="cellIs" dxfId="969" priority="23" operator="equal">
      <formula>"N"</formula>
    </cfRule>
    <cfRule type="cellIs" dxfId="968" priority="24" operator="equal">
      <formula>"Y"</formula>
    </cfRule>
  </conditionalFormatting>
  <conditionalFormatting sqref="T15:Z15">
    <cfRule type="cellIs" dxfId="967" priority="44" operator="equal">
      <formula>"N"</formula>
    </cfRule>
    <cfRule type="cellIs" dxfId="966" priority="45" operator="equal">
      <formula>"Y"</formula>
    </cfRule>
  </conditionalFormatting>
  <conditionalFormatting sqref="T6:AA14">
    <cfRule type="cellIs" dxfId="965" priority="32" operator="equal">
      <formula>"Y"</formula>
    </cfRule>
    <cfRule type="cellIs" dxfId="964" priority="31" operator="equal">
      <formula>"N"</formula>
    </cfRule>
  </conditionalFormatting>
  <conditionalFormatting sqref="T16:AA16 U17:AA17 T17:T22">
    <cfRule type="cellIs" dxfId="963" priority="7" operator="equal">
      <formula>"N"</formula>
    </cfRule>
    <cfRule type="cellIs" dxfId="962" priority="8" operator="equal">
      <formula>"Y"</formula>
    </cfRule>
  </conditionalFormatting>
  <conditionalFormatting sqref="T24:AA24 T33:AA33">
    <cfRule type="cellIs" dxfId="961" priority="35" operator="equal">
      <formula>"N"</formula>
    </cfRule>
    <cfRule type="cellIs" dxfId="960" priority="36" operator="equal">
      <formula>"Y"</formula>
    </cfRule>
  </conditionalFormatting>
  <conditionalFormatting sqref="T6:AC16 U17:AC17 T17:T22">
    <cfRule type="cellIs" dxfId="959" priority="3" operator="equal">
      <formula>"N"</formula>
    </cfRule>
    <cfRule type="cellIs" dxfId="958" priority="4" operator="equal">
      <formula>"Y"</formula>
    </cfRule>
  </conditionalFormatting>
  <conditionalFormatting sqref="T24:AC24 T33:AC33">
    <cfRule type="cellIs" dxfId="957" priority="28" operator="equal">
      <formula>"Y"</formula>
    </cfRule>
    <cfRule type="cellIs" dxfId="956" priority="27" operator="equal">
      <formula>"N"</formula>
    </cfRule>
  </conditionalFormatting>
  <conditionalFormatting sqref="U6:U24">
    <cfRule type="cellIs" dxfId="955" priority="1" operator="equal">
      <formula>"S"</formula>
    </cfRule>
    <cfRule type="cellIs" dxfId="954" priority="2" operator="equal">
      <formula>"C"</formula>
    </cfRule>
  </conditionalFormatting>
  <conditionalFormatting sqref="U33">
    <cfRule type="cellIs" dxfId="953" priority="26" operator="equal">
      <formula>"C"</formula>
    </cfRule>
    <cfRule type="cellIs" dxfId="952" priority="25" operator="equal">
      <formula>"S"</formula>
    </cfRule>
  </conditionalFormatting>
  <conditionalFormatting sqref="V15">
    <cfRule type="cellIs" dxfId="951" priority="42" operator="equal">
      <formula>"S"</formula>
    </cfRule>
    <cfRule type="cellIs" dxfId="950" priority="43" operator="equal">
      <formula>"C"</formula>
    </cfRule>
  </conditionalFormatting>
  <conditionalFormatting sqref="V18:W23">
    <cfRule type="cellIs" dxfId="949" priority="20" operator="equal">
      <formula>"C"</formula>
    </cfRule>
    <cfRule type="cellIs" dxfId="948" priority="19" operator="equal">
      <formula>"S"</formula>
    </cfRule>
  </conditionalFormatting>
  <conditionalFormatting sqref="V6:X14">
    <cfRule type="cellIs" dxfId="947" priority="29" operator="equal">
      <formula>"S"</formula>
    </cfRule>
    <cfRule type="cellIs" dxfId="946" priority="30" operator="equal">
      <formula>"C"</formula>
    </cfRule>
  </conditionalFormatting>
  <conditionalFormatting sqref="V16:X17">
    <cfRule type="cellIs" dxfId="945" priority="6" operator="equal">
      <formula>"C"</formula>
    </cfRule>
    <cfRule type="cellIs" dxfId="944" priority="5" operator="equal">
      <formula>"S"</formula>
    </cfRule>
  </conditionalFormatting>
  <conditionalFormatting sqref="V18:Z23">
    <cfRule type="cellIs" dxfId="943" priority="14" operator="equal">
      <formula>"Y"</formula>
    </cfRule>
    <cfRule type="cellIs" dxfId="942" priority="13" operator="equal">
      <formula>"N"</formula>
    </cfRule>
  </conditionalFormatting>
  <conditionalFormatting sqref="AG6:AG14">
    <cfRule type="cellIs" dxfId="941" priority="33" operator="lessThan">
      <formula>1.19</formula>
    </cfRule>
    <cfRule type="cellIs" dxfId="940" priority="34" operator="greaterThan">
      <formula>1.19</formula>
    </cfRule>
  </conditionalFormatting>
  <conditionalFormatting sqref="AG16:AG23">
    <cfRule type="cellIs" dxfId="939" priority="46" operator="lessThan">
      <formula>1.19</formula>
    </cfRule>
    <cfRule type="cellIs" dxfId="938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E3FC-318D-4F1D-8BE6-43DE5D2E4C1A}">
  <sheetPr>
    <pageSetUpPr fitToPage="1"/>
  </sheetPr>
  <dimension ref="A1:AV71"/>
  <sheetViews>
    <sheetView showGridLines="0" zoomScaleNormal="100" workbookViewId="0">
      <pane xSplit="2" ySplit="6" topLeftCell="C31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'27 Jul 23'!B1+1</f>
        <v>45135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69288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45134.958333333336</v>
      </c>
      <c r="B7" s="198">
        <v>0.95833333333333304</v>
      </c>
      <c r="C7" s="199" t="s">
        <v>130</v>
      </c>
      <c r="D7" s="79">
        <v>69288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>
        <v>0.91666666666666663</v>
      </c>
      <c r="AJ7" s="101"/>
      <c r="AK7" s="102">
        <f t="shared" ref="AK7:AK13" si="1">AO7</f>
        <v>0</v>
      </c>
      <c r="AL7" s="103">
        <f>IF(AI7&lt;&gt;"",AI7+$B$1-1,B7+$B$1-1/24)</f>
        <v>45134.916666666664</v>
      </c>
      <c r="AM7" s="102">
        <f>AK6</f>
        <v>1</v>
      </c>
      <c r="AN7" s="102">
        <f t="shared" ref="AN7:AN14" si="2">IF(AI7="",AM7,0)</f>
        <v>0</v>
      </c>
      <c r="AO7" s="102">
        <f t="shared" ref="AO7:AO14" si="3">IF(AJ7&lt;&gt;"",1,AN7)</f>
        <v>0</v>
      </c>
      <c r="AP7" s="103">
        <f>IF(AJ7&lt;&gt;"",AJ7+$B$1-1,B7+$B$1-1)</f>
        <v>45134.958333333336</v>
      </c>
      <c r="AQ7" s="103">
        <f t="shared" ref="AQ7:AQ14" si="4">AL7-A7+1/24</f>
        <v>-4.8506407224202519E-12</v>
      </c>
      <c r="AR7" s="103">
        <f>AP7-AL7</f>
        <v>4.1666666671517305E-2</v>
      </c>
      <c r="AS7" s="103">
        <f t="shared" ref="AS7:AS14" si="5">A7-AP7</f>
        <v>0</v>
      </c>
      <c r="AT7" s="103">
        <f t="shared" ref="AT7:AT14" ca="1" si="6">IF(A7&lt;$AU$1,SUMPRODUCT(AM7:AO7,AQ7:AS7),0)</f>
        <v>-4.8506407224202519E-12</v>
      </c>
      <c r="AU7" s="104">
        <f t="shared" ref="AU7:AU14" ca="1" si="7">IF(A7&lt;$AU$1,1/24-AT7,0)</f>
        <v>4.1666666671517305E-2</v>
      </c>
      <c r="AV7" s="239" t="s">
        <v>168</v>
      </c>
    </row>
    <row r="8" spans="1:48" x14ac:dyDescent="0.25">
      <c r="A8" s="96">
        <f t="shared" ref="A8:A23" si="8">B8+$B$1</f>
        <v>45135</v>
      </c>
      <c r="B8" s="198">
        <v>0</v>
      </c>
      <c r="C8" s="199" t="s">
        <v>130</v>
      </c>
      <c r="D8" s="79">
        <v>69288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0</v>
      </c>
      <c r="AL8" s="103">
        <f>IF(AI8&lt;&gt;"",AI8+$B$1-1,B8+$B$1-1/24)</f>
        <v>45134.958333333336</v>
      </c>
      <c r="AM8" s="102">
        <f t="shared" ref="AM8:AM14" si="10">AK7</f>
        <v>0</v>
      </c>
      <c r="AN8" s="102">
        <f t="shared" si="2"/>
        <v>0</v>
      </c>
      <c r="AO8" s="102">
        <f t="shared" si="3"/>
        <v>0</v>
      </c>
      <c r="AP8" s="103">
        <f>IF(AJ8&lt;&gt;"",AJ8+$B$1-1,B8+$B$1)</f>
        <v>45135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4.1666666666666664E-2</v>
      </c>
      <c r="AV8" s="239" t="s">
        <v>168</v>
      </c>
    </row>
    <row r="9" spans="1:48" x14ac:dyDescent="0.25">
      <c r="A9" s="96">
        <f t="shared" si="8"/>
        <v>45135.041666666664</v>
      </c>
      <c r="B9" s="198">
        <v>4.1666666666666664E-2</v>
      </c>
      <c r="C9" s="199" t="s">
        <v>130</v>
      </c>
      <c r="D9" s="79">
        <v>69288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0</v>
      </c>
      <c r="AL9" s="103">
        <f t="shared" ref="AL9:AL14" si="12">IF(AI9&lt;&gt;"",AI9+$B$1,B9+$B$1-1/24)</f>
        <v>45135</v>
      </c>
      <c r="AM9" s="102">
        <f t="shared" si="10"/>
        <v>0</v>
      </c>
      <c r="AN9" s="102">
        <f t="shared" si="2"/>
        <v>0</v>
      </c>
      <c r="AO9" s="102">
        <f t="shared" si="3"/>
        <v>0</v>
      </c>
      <c r="AP9" s="103">
        <f t="shared" ref="AP9:AP14" si="13">IF(AJ9&lt;&gt;"",AJ9+$B$1,B9+$B$1)</f>
        <v>45135.041666666664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4.1666666666666664E-2</v>
      </c>
      <c r="AV9" s="239" t="s">
        <v>168</v>
      </c>
    </row>
    <row r="10" spans="1:48" ht="15" customHeight="1" x14ac:dyDescent="0.25">
      <c r="A10" s="96">
        <f t="shared" si="8"/>
        <v>45135.083333333336</v>
      </c>
      <c r="B10" s="198">
        <v>8.3333333333333329E-2</v>
      </c>
      <c r="C10" s="199" t="s">
        <v>130</v>
      </c>
      <c r="D10" s="79">
        <v>69288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0</v>
      </c>
      <c r="AL10" s="103">
        <f t="shared" si="12"/>
        <v>45135.041666666672</v>
      </c>
      <c r="AM10" s="102">
        <f t="shared" si="10"/>
        <v>0</v>
      </c>
      <c r="AN10" s="102">
        <f t="shared" si="2"/>
        <v>0</v>
      </c>
      <c r="AO10" s="102">
        <f t="shared" si="3"/>
        <v>0</v>
      </c>
      <c r="AP10" s="103">
        <f t="shared" si="13"/>
        <v>45135.083333333336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4.1666666666666664E-2</v>
      </c>
      <c r="AV10" s="239" t="s">
        <v>168</v>
      </c>
    </row>
    <row r="11" spans="1:48" ht="15" customHeight="1" x14ac:dyDescent="0.25">
      <c r="A11" s="96">
        <f t="shared" si="8"/>
        <v>45135.125</v>
      </c>
      <c r="B11" s="198">
        <v>0.125</v>
      </c>
      <c r="C11" s="199" t="s">
        <v>130</v>
      </c>
      <c r="D11" s="79">
        <v>69288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0</v>
      </c>
      <c r="AL11" s="103">
        <f t="shared" si="12"/>
        <v>45135.083333333336</v>
      </c>
      <c r="AM11" s="102">
        <f t="shared" si="10"/>
        <v>0</v>
      </c>
      <c r="AN11" s="102">
        <f>IF(AI11="",AM11,0)</f>
        <v>0</v>
      </c>
      <c r="AO11" s="102">
        <f t="shared" si="3"/>
        <v>0</v>
      </c>
      <c r="AP11" s="103">
        <f t="shared" si="13"/>
        <v>45135.125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4.1666666666666664E-2</v>
      </c>
      <c r="AV11" s="239" t="s">
        <v>168</v>
      </c>
    </row>
    <row r="12" spans="1:48" ht="14.45" customHeight="1" x14ac:dyDescent="0.25">
      <c r="A12" s="96">
        <f t="shared" si="8"/>
        <v>45135.166666666664</v>
      </c>
      <c r="B12" s="198">
        <v>0.16666666666666666</v>
      </c>
      <c r="C12" s="199" t="s">
        <v>130</v>
      </c>
      <c r="D12" s="79">
        <v>69288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0</v>
      </c>
      <c r="AL12" s="103">
        <f t="shared" si="12"/>
        <v>45135.125</v>
      </c>
      <c r="AM12" s="102">
        <f t="shared" si="10"/>
        <v>0</v>
      </c>
      <c r="AN12" s="102">
        <f>IF(AI12="",AM12,0)</f>
        <v>0</v>
      </c>
      <c r="AO12" s="102">
        <f t="shared" si="3"/>
        <v>0</v>
      </c>
      <c r="AP12" s="103">
        <f t="shared" si="13"/>
        <v>45135.166666666664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4.1666666666666664E-2</v>
      </c>
      <c r="AV12" s="239" t="s">
        <v>168</v>
      </c>
    </row>
    <row r="13" spans="1:48" ht="15" customHeight="1" x14ac:dyDescent="0.25">
      <c r="A13" s="96">
        <f t="shared" si="8"/>
        <v>45135.208333333336</v>
      </c>
      <c r="B13" s="198">
        <v>0.20833333333333334</v>
      </c>
      <c r="C13" s="199" t="s">
        <v>130</v>
      </c>
      <c r="D13" s="79">
        <v>69288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0</v>
      </c>
      <c r="AL13" s="103">
        <f t="shared" si="12"/>
        <v>45135.166666666672</v>
      </c>
      <c r="AM13" s="102">
        <f t="shared" si="10"/>
        <v>0</v>
      </c>
      <c r="AN13" s="102">
        <f t="shared" si="2"/>
        <v>0</v>
      </c>
      <c r="AO13" s="102">
        <f t="shared" si="3"/>
        <v>0</v>
      </c>
      <c r="AP13" s="103">
        <f t="shared" si="13"/>
        <v>45135.208333333336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4.1666666666666664E-2</v>
      </c>
      <c r="AV13" s="239" t="s">
        <v>168</v>
      </c>
    </row>
    <row r="14" spans="1:48" x14ac:dyDescent="0.25">
      <c r="A14" s="96">
        <f t="shared" si="8"/>
        <v>45135.25</v>
      </c>
      <c r="B14" s="198">
        <v>0.25</v>
      </c>
      <c r="C14" s="199" t="s">
        <v>130</v>
      </c>
      <c r="D14" s="79">
        <v>69288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>
        <v>0.25</v>
      </c>
      <c r="AJ14" s="101"/>
      <c r="AK14" s="102">
        <f>AO14</f>
        <v>0</v>
      </c>
      <c r="AL14" s="103">
        <f t="shared" si="12"/>
        <v>45135.25</v>
      </c>
      <c r="AM14" s="102">
        <f t="shared" si="10"/>
        <v>0</v>
      </c>
      <c r="AN14" s="102">
        <f t="shared" si="2"/>
        <v>0</v>
      </c>
      <c r="AO14" s="102">
        <f t="shared" si="3"/>
        <v>0</v>
      </c>
      <c r="AP14" s="103">
        <f t="shared" si="13"/>
        <v>45135.25</v>
      </c>
      <c r="AQ14" s="103">
        <f t="shared" si="4"/>
        <v>4.1666666666666664E-2</v>
      </c>
      <c r="AR14" s="103">
        <f t="shared" si="11"/>
        <v>0</v>
      </c>
      <c r="AS14" s="103">
        <f t="shared" si="5"/>
        <v>0</v>
      </c>
      <c r="AT14" s="103">
        <f t="shared" ca="1" si="6"/>
        <v>0</v>
      </c>
      <c r="AU14" s="104">
        <f t="shared" ca="1" si="7"/>
        <v>4.1666666666666664E-2</v>
      </c>
      <c r="AV14" s="239" t="s">
        <v>192</v>
      </c>
    </row>
    <row r="15" spans="1:48" x14ac:dyDescent="0.25">
      <c r="A15" s="96"/>
      <c r="B15" s="7" t="s">
        <v>58</v>
      </c>
      <c r="C15" s="7"/>
      <c r="D15" s="79"/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0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-4.8506407224202519E-12</v>
      </c>
      <c r="AU15" s="133">
        <f ca="1">SUM(AU7:AU14)</f>
        <v>0.33333333333818399</v>
      </c>
      <c r="AV15" s="132"/>
    </row>
    <row r="16" spans="1:48" ht="13.15" customHeight="1" x14ac:dyDescent="0.25">
      <c r="A16" s="96">
        <f t="shared" si="8"/>
        <v>45135.291666666664</v>
      </c>
      <c r="B16" s="198">
        <v>0.29166666666666669</v>
      </c>
      <c r="C16" s="199" t="s">
        <v>130</v>
      </c>
      <c r="D16" s="79">
        <v>69288</v>
      </c>
      <c r="E16" s="80">
        <f>IF(D16&gt;0,D16-D14,"")</f>
        <v>0</v>
      </c>
      <c r="F16" s="200">
        <f t="shared" si="9"/>
        <v>200</v>
      </c>
      <c r="G16" s="210">
        <v>36</v>
      </c>
      <c r="H16" s="211">
        <v>20</v>
      </c>
      <c r="I16" s="211">
        <v>20</v>
      </c>
      <c r="J16" s="211">
        <v>20</v>
      </c>
      <c r="K16" s="211" t="s">
        <v>136</v>
      </c>
      <c r="L16" s="209" t="s">
        <v>136</v>
      </c>
      <c r="M16" s="209"/>
      <c r="N16" s="209" t="s">
        <v>137</v>
      </c>
      <c r="O16" s="209" t="s">
        <v>170</v>
      </c>
      <c r="P16" s="209" t="s">
        <v>171</v>
      </c>
      <c r="Q16" s="209">
        <v>20</v>
      </c>
      <c r="R16" s="209" t="s">
        <v>136</v>
      </c>
      <c r="S16" s="209"/>
      <c r="T16" s="209" t="s">
        <v>136</v>
      </c>
      <c r="U16" s="212"/>
      <c r="V16" s="212">
        <v>91</v>
      </c>
      <c r="W16" s="212">
        <v>33</v>
      </c>
      <c r="X16" s="212"/>
      <c r="Y16" s="209">
        <v>90</v>
      </c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>
        <v>0.32916666666666666</v>
      </c>
      <c r="AK16" s="102">
        <f t="shared" ref="AK16:AK23" si="15">AO16</f>
        <v>1</v>
      </c>
      <c r="AL16" s="103">
        <f t="shared" ref="AL16:AL23" si="16">IF(AI16&lt;&gt;"",AI16+$B$1,B16+$B$1-1/24)</f>
        <v>45135.25</v>
      </c>
      <c r="AM16" s="102">
        <f t="shared" ref="AM16:AM23" si="17">AK15</f>
        <v>0</v>
      </c>
      <c r="AN16" s="102">
        <f t="shared" ref="AN16:AN23" si="18">IF(AI16="",AM16,0)</f>
        <v>0</v>
      </c>
      <c r="AO16" s="102">
        <f t="shared" ref="AO16:AO23" si="19">IF(AJ16&lt;&gt;"",1,AN16)</f>
        <v>1</v>
      </c>
      <c r="AP16" s="103">
        <f t="shared" ref="AP16:AP23" si="20">IF(AJ16&lt;&gt;"",AJ16+$B$1,B16+$B$1)</f>
        <v>45135.32916666667</v>
      </c>
      <c r="AQ16" s="103">
        <f t="shared" ref="AQ16:AQ23" si="21">AL16-A16+1/24</f>
        <v>2.425316891763174E-12</v>
      </c>
      <c r="AR16" s="103">
        <f>AP16-AL16</f>
        <v>7.9166666670062114E-2</v>
      </c>
      <c r="AS16" s="103">
        <f t="shared" ref="AS16:AS23" si="22">A16-AP16</f>
        <v>-3.7500000005820766E-2</v>
      </c>
      <c r="AT16" s="103">
        <f t="shared" ref="AT16:AT23" ca="1" si="23">IF(A16&lt;$AU$1,SUMPRODUCT(AM16:AO16,AQ16:AS16),0)</f>
        <v>-3.7500000005820766E-2</v>
      </c>
      <c r="AU16" s="104">
        <f t="shared" ref="AU16:AU23" ca="1" si="24">IF(A16&lt;$AU$1,1/24-AT16,0)</f>
        <v>7.9166666672487424E-2</v>
      </c>
      <c r="AV16" s="239"/>
    </row>
    <row r="17" spans="1:48" x14ac:dyDescent="0.25">
      <c r="A17" s="96">
        <f t="shared" si="8"/>
        <v>45135.333333333336</v>
      </c>
      <c r="B17" s="198">
        <v>0.33333333333333331</v>
      </c>
      <c r="C17" s="199" t="s">
        <v>130</v>
      </c>
      <c r="D17" s="79">
        <v>69288</v>
      </c>
      <c r="E17" s="80">
        <f>IF(D17&gt;0,D17-D16,"")</f>
        <v>0</v>
      </c>
      <c r="F17" s="200">
        <f t="shared" si="9"/>
        <v>200</v>
      </c>
      <c r="G17" s="210">
        <v>30</v>
      </c>
      <c r="H17" s="210">
        <v>42</v>
      </c>
      <c r="I17" s="209">
        <v>15</v>
      </c>
      <c r="J17" s="211">
        <v>20</v>
      </c>
      <c r="K17" s="211"/>
      <c r="L17" s="209"/>
      <c r="M17" s="209"/>
      <c r="N17" s="209" t="s">
        <v>174</v>
      </c>
      <c r="O17" s="209" t="s">
        <v>170</v>
      </c>
      <c r="P17" s="209" t="s">
        <v>175</v>
      </c>
      <c r="Q17" s="209">
        <v>20</v>
      </c>
      <c r="R17" s="209"/>
      <c r="S17" s="209"/>
      <c r="T17" s="209"/>
      <c r="U17" s="212"/>
      <c r="V17" s="212">
        <v>88</v>
      </c>
      <c r="W17" s="212">
        <v>20</v>
      </c>
      <c r="X17" s="212">
        <v>70</v>
      </c>
      <c r="Y17" s="209">
        <v>100</v>
      </c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45135.291666666672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45135.333333333336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 t="s">
        <v>195</v>
      </c>
    </row>
    <row r="18" spans="1:48" x14ac:dyDescent="0.25">
      <c r="A18" s="96">
        <f t="shared" si="8"/>
        <v>45135.375</v>
      </c>
      <c r="B18" s="198">
        <v>0.375</v>
      </c>
      <c r="C18" s="199" t="s">
        <v>130</v>
      </c>
      <c r="D18" s="79">
        <v>69353</v>
      </c>
      <c r="E18" s="80">
        <f>IF(D18&gt;0,D18-D17,"")</f>
        <v>65</v>
      </c>
      <c r="F18" s="200">
        <f t="shared" si="9"/>
        <v>200</v>
      </c>
      <c r="G18" s="210">
        <v>30</v>
      </c>
      <c r="H18" s="210">
        <v>42</v>
      </c>
      <c r="I18" s="209">
        <v>15</v>
      </c>
      <c r="J18" s="211">
        <v>20</v>
      </c>
      <c r="K18" s="211" t="s">
        <v>136</v>
      </c>
      <c r="L18" s="209" t="s">
        <v>136</v>
      </c>
      <c r="M18" s="209"/>
      <c r="N18" s="209" t="s">
        <v>174</v>
      </c>
      <c r="O18" s="209" t="s">
        <v>170</v>
      </c>
      <c r="P18" s="209" t="s">
        <v>175</v>
      </c>
      <c r="Q18" s="209">
        <v>20</v>
      </c>
      <c r="R18" s="209" t="s">
        <v>136</v>
      </c>
      <c r="S18" s="209"/>
      <c r="T18" s="209" t="s">
        <v>136</v>
      </c>
      <c r="U18" s="212"/>
      <c r="V18" s="212">
        <v>88</v>
      </c>
      <c r="W18" s="212">
        <v>21</v>
      </c>
      <c r="X18" s="212">
        <v>70</v>
      </c>
      <c r="Y18" s="209">
        <v>100</v>
      </c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45135.333333333336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45135.375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45135.416666666664</v>
      </c>
      <c r="B19" s="198">
        <v>0.41666666666666702</v>
      </c>
      <c r="C19" s="199" t="s">
        <v>130</v>
      </c>
      <c r="D19" s="79">
        <v>69433</v>
      </c>
      <c r="E19" s="80">
        <f t="shared" ref="E19:E35" si="26">IF(D19&gt;0,D19-D18,"")</f>
        <v>80</v>
      </c>
      <c r="F19" s="200">
        <f t="shared" si="9"/>
        <v>200</v>
      </c>
      <c r="G19" s="210">
        <v>30</v>
      </c>
      <c r="H19" s="210">
        <v>41</v>
      </c>
      <c r="I19" s="209">
        <v>15</v>
      </c>
      <c r="J19" s="211">
        <v>20</v>
      </c>
      <c r="K19" s="211" t="s">
        <v>136</v>
      </c>
      <c r="L19" s="209" t="s">
        <v>136</v>
      </c>
      <c r="M19" s="209"/>
      <c r="N19" s="209" t="s">
        <v>178</v>
      </c>
      <c r="O19" s="209" t="s">
        <v>179</v>
      </c>
      <c r="P19" s="209" t="s">
        <v>180</v>
      </c>
      <c r="Q19" s="209">
        <v>20</v>
      </c>
      <c r="R19" s="209" t="s">
        <v>136</v>
      </c>
      <c r="S19" s="209"/>
      <c r="T19" s="209" t="s">
        <v>136</v>
      </c>
      <c r="U19" s="212"/>
      <c r="V19" s="212">
        <v>89</v>
      </c>
      <c r="W19" s="212">
        <v>27</v>
      </c>
      <c r="X19" s="212">
        <v>69</v>
      </c>
      <c r="Y19" s="209">
        <v>100</v>
      </c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45135.375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45135.416666666664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 t="s">
        <v>193</v>
      </c>
    </row>
    <row r="20" spans="1:48" x14ac:dyDescent="0.25">
      <c r="A20" s="96">
        <f t="shared" si="8"/>
        <v>45135.458333333336</v>
      </c>
      <c r="B20" s="198">
        <v>0.45833333333333331</v>
      </c>
      <c r="C20" s="199" t="s">
        <v>130</v>
      </c>
      <c r="D20" s="79">
        <v>69505</v>
      </c>
      <c r="E20" s="80">
        <f t="shared" si="26"/>
        <v>72</v>
      </c>
      <c r="F20" s="200">
        <f t="shared" si="9"/>
        <v>200</v>
      </c>
      <c r="G20" s="210">
        <v>35</v>
      </c>
      <c r="H20" s="210">
        <v>43</v>
      </c>
      <c r="I20" s="209">
        <v>15</v>
      </c>
      <c r="J20" s="211">
        <v>20</v>
      </c>
      <c r="K20" s="211" t="s">
        <v>136</v>
      </c>
      <c r="L20" s="209" t="s">
        <v>136</v>
      </c>
      <c r="M20" s="209"/>
      <c r="N20" s="209" t="s">
        <v>182</v>
      </c>
      <c r="O20" s="209" t="s">
        <v>183</v>
      </c>
      <c r="P20" s="209" t="s">
        <v>180</v>
      </c>
      <c r="Q20" s="209">
        <v>20</v>
      </c>
      <c r="R20" s="209" t="s">
        <v>136</v>
      </c>
      <c r="S20" s="209"/>
      <c r="T20" s="209" t="s">
        <v>136</v>
      </c>
      <c r="U20" s="212"/>
      <c r="V20" s="212">
        <v>89</v>
      </c>
      <c r="W20" s="212">
        <v>19</v>
      </c>
      <c r="X20" s="212">
        <v>75</v>
      </c>
      <c r="Y20" s="209">
        <v>100</v>
      </c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45135.416666666672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45135.458333333336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45135.5</v>
      </c>
      <c r="B21" s="214">
        <v>0.5</v>
      </c>
      <c r="C21" s="199" t="s">
        <v>130</v>
      </c>
      <c r="D21" s="79">
        <v>69580</v>
      </c>
      <c r="E21" s="80">
        <f t="shared" si="26"/>
        <v>75</v>
      </c>
      <c r="F21" s="200">
        <f t="shared" si="9"/>
        <v>200</v>
      </c>
      <c r="G21" s="210">
        <v>32</v>
      </c>
      <c r="H21" s="210">
        <v>42</v>
      </c>
      <c r="I21" s="209">
        <v>15</v>
      </c>
      <c r="J21" s="211">
        <v>20</v>
      </c>
      <c r="K21" s="211" t="s">
        <v>136</v>
      </c>
      <c r="L21" s="209" t="s">
        <v>136</v>
      </c>
      <c r="M21" s="209"/>
      <c r="N21" s="209" t="s">
        <v>184</v>
      </c>
      <c r="O21" s="209" t="s">
        <v>185</v>
      </c>
      <c r="P21" s="209" t="s">
        <v>119</v>
      </c>
      <c r="Q21" s="209">
        <v>20</v>
      </c>
      <c r="R21" s="209" t="s">
        <v>136</v>
      </c>
      <c r="S21" s="209"/>
      <c r="T21" s="209" t="s">
        <v>136</v>
      </c>
      <c r="U21" s="212"/>
      <c r="V21" s="212">
        <v>91</v>
      </c>
      <c r="W21" s="212">
        <v>26</v>
      </c>
      <c r="X21" s="212">
        <v>76</v>
      </c>
      <c r="Y21" s="209">
        <v>100</v>
      </c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45135.458333333336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45135.5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 t="s">
        <v>194</v>
      </c>
    </row>
    <row r="22" spans="1:48" ht="13.5" customHeight="1" x14ac:dyDescent="0.25">
      <c r="A22" s="96">
        <f t="shared" si="8"/>
        <v>45135.541666666664</v>
      </c>
      <c r="B22" s="214">
        <v>0.54166666666666663</v>
      </c>
      <c r="C22" s="199" t="s">
        <v>130</v>
      </c>
      <c r="D22" s="79">
        <v>69660</v>
      </c>
      <c r="E22" s="80">
        <f t="shared" si="26"/>
        <v>80</v>
      </c>
      <c r="F22" s="200">
        <f t="shared" si="9"/>
        <v>200</v>
      </c>
      <c r="G22" s="210">
        <v>31</v>
      </c>
      <c r="H22" s="210">
        <v>41</v>
      </c>
      <c r="I22" s="209">
        <v>15</v>
      </c>
      <c r="J22" s="211">
        <v>20</v>
      </c>
      <c r="K22" s="211" t="s">
        <v>136</v>
      </c>
      <c r="L22" s="209" t="s">
        <v>136</v>
      </c>
      <c r="M22" s="209"/>
      <c r="N22" s="209" t="s">
        <v>187</v>
      </c>
      <c r="O22" s="209" t="s">
        <v>185</v>
      </c>
      <c r="P22" s="209" t="s">
        <v>188</v>
      </c>
      <c r="Q22" s="209">
        <v>20</v>
      </c>
      <c r="R22" s="209" t="s">
        <v>136</v>
      </c>
      <c r="S22" s="209"/>
      <c r="T22" s="209" t="s">
        <v>136</v>
      </c>
      <c r="U22" s="212"/>
      <c r="V22" s="212">
        <v>78</v>
      </c>
      <c r="W22" s="212">
        <v>23</v>
      </c>
      <c r="X22" s="212">
        <v>75</v>
      </c>
      <c r="Y22" s="209">
        <v>100</v>
      </c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45135.5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45135.541666666664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45135.583333333336</v>
      </c>
      <c r="B23" s="215">
        <v>0.58333333333333337</v>
      </c>
      <c r="C23" s="199" t="s">
        <v>130</v>
      </c>
      <c r="D23" s="79">
        <v>69762</v>
      </c>
      <c r="E23" s="80">
        <f t="shared" si="26"/>
        <v>102</v>
      </c>
      <c r="F23" s="200">
        <f t="shared" si="9"/>
        <v>200</v>
      </c>
      <c r="G23" s="210">
        <v>30</v>
      </c>
      <c r="H23" s="210">
        <v>41</v>
      </c>
      <c r="I23" s="209">
        <v>15</v>
      </c>
      <c r="J23" s="211">
        <v>20</v>
      </c>
      <c r="K23" s="211" t="s">
        <v>136</v>
      </c>
      <c r="L23" s="209" t="s">
        <v>136</v>
      </c>
      <c r="M23" s="209"/>
      <c r="N23" s="209" t="s">
        <v>189</v>
      </c>
      <c r="O23" s="209" t="s">
        <v>190</v>
      </c>
      <c r="P23" s="209" t="s">
        <v>191</v>
      </c>
      <c r="Q23" s="209">
        <v>20</v>
      </c>
      <c r="R23" s="209" t="s">
        <v>136</v>
      </c>
      <c r="S23" s="209"/>
      <c r="T23" s="209" t="s">
        <v>136</v>
      </c>
      <c r="U23" s="212"/>
      <c r="V23" s="212">
        <v>78</v>
      </c>
      <c r="W23" s="212">
        <v>7</v>
      </c>
      <c r="X23" s="212">
        <v>75</v>
      </c>
      <c r="Y23" s="209">
        <v>100</v>
      </c>
      <c r="Z23" s="209"/>
      <c r="AA23" s="212">
        <v>70</v>
      </c>
      <c r="AB23" s="212">
        <v>6</v>
      </c>
      <c r="AC23" s="213">
        <v>70</v>
      </c>
      <c r="AD23" s="213">
        <v>39</v>
      </c>
      <c r="AE23" s="209" t="s">
        <v>134</v>
      </c>
      <c r="AF23" s="209" t="s">
        <v>135</v>
      </c>
      <c r="AG23" s="209"/>
      <c r="AH23" s="209"/>
      <c r="AI23" s="101"/>
      <c r="AJ23" s="101"/>
      <c r="AK23" s="102">
        <f t="shared" si="15"/>
        <v>1</v>
      </c>
      <c r="AL23" s="103">
        <f t="shared" si="16"/>
        <v>45135.541666666672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45135.583333333336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474</v>
      </c>
      <c r="E24" s="121">
        <f ca="1">IFERROR(D24/24/AT24,"")</f>
        <v>77.704918034566447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0.25416666666084586</v>
      </c>
      <c r="AU24" s="143">
        <f ca="1">SUM(AU16:AU23)</f>
        <v>7.9166666672487424E-2</v>
      </c>
      <c r="AV24" s="239"/>
    </row>
    <row r="25" spans="1:48" ht="13.15" customHeight="1" thickTop="1" x14ac:dyDescent="0.25">
      <c r="A25" s="96">
        <f t="shared" ref="A25:A32" si="28">B25+$B$1</f>
        <v>45135.625</v>
      </c>
      <c r="B25" s="198">
        <v>0.625</v>
      </c>
      <c r="C25" s="199" t="s">
        <v>130</v>
      </c>
      <c r="D25" s="79">
        <v>69875</v>
      </c>
      <c r="E25" s="80">
        <f>IF(D25&gt;0,D25-D23,"")</f>
        <v>113</v>
      </c>
      <c r="F25" s="200">
        <f t="shared" si="9"/>
        <v>200</v>
      </c>
      <c r="G25" s="210">
        <v>30</v>
      </c>
      <c r="H25" s="210">
        <v>40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 t="s">
        <v>196</v>
      </c>
      <c r="O25" s="209" t="s">
        <v>197</v>
      </c>
      <c r="P25" s="209" t="s">
        <v>191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78</v>
      </c>
      <c r="W25" s="212">
        <v>4</v>
      </c>
      <c r="X25" s="212">
        <v>64</v>
      </c>
      <c r="Y25" s="209">
        <v>100</v>
      </c>
      <c r="Z25" s="209"/>
      <c r="AA25" s="209">
        <v>70</v>
      </c>
      <c r="AB25" s="212">
        <v>14</v>
      </c>
      <c r="AC25" s="209">
        <v>100</v>
      </c>
      <c r="AD25" s="213">
        <v>38</v>
      </c>
      <c r="AE25" s="209" t="s">
        <v>134</v>
      </c>
      <c r="AF25" s="209" t="s">
        <v>176</v>
      </c>
      <c r="AG25" s="209"/>
      <c r="AH25" s="209"/>
      <c r="AI25" s="134">
        <v>0.58333333333333337</v>
      </c>
      <c r="AJ25" s="134">
        <v>0.60416666666666663</v>
      </c>
      <c r="AK25" s="102">
        <f t="shared" ref="AK25:AK32" si="29">AO25</f>
        <v>1</v>
      </c>
      <c r="AL25" s="103">
        <f t="shared" ref="AL25:AL32" si="30">IF(AI25&lt;&gt;"",AI25+$B$1,B25+$B$1-1/24)</f>
        <v>45135.583333333336</v>
      </c>
      <c r="AM25" s="102">
        <f t="shared" ref="AM25:AM32" si="31">AK24</f>
        <v>1</v>
      </c>
      <c r="AN25" s="102">
        <f t="shared" ref="AN25:AN32" si="32">IF(AI25="",AM25,0)</f>
        <v>0</v>
      </c>
      <c r="AO25" s="102">
        <f t="shared" ref="AO25:AO32" si="33">IF(AJ25&lt;&gt;"",1,AN25)</f>
        <v>1</v>
      </c>
      <c r="AP25" s="103">
        <f>IF(AJ23&lt;&gt;"",AJ23+$B$1,B25+$B$1)</f>
        <v>45135.625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2.425316891763174E-12</v>
      </c>
      <c r="AU25" s="104">
        <f t="shared" ref="AU25:AU32" ca="1" si="38">IF(A25&lt;$AU$1,1/24-AT25,0)</f>
        <v>4.1666666664241347E-2</v>
      </c>
      <c r="AV25" s="239" t="s">
        <v>198</v>
      </c>
    </row>
    <row r="26" spans="1:48" x14ac:dyDescent="0.25">
      <c r="A26" s="96">
        <f t="shared" si="28"/>
        <v>45135.666666666664</v>
      </c>
      <c r="B26" s="198">
        <v>0.66666666666666663</v>
      </c>
      <c r="C26" s="199" t="s">
        <v>130</v>
      </c>
      <c r="D26" s="79">
        <v>70026</v>
      </c>
      <c r="E26" s="80">
        <f t="shared" si="26"/>
        <v>151</v>
      </c>
      <c r="F26" s="200">
        <f t="shared" si="9"/>
        <v>200</v>
      </c>
      <c r="G26" s="210">
        <v>31</v>
      </c>
      <c r="H26" s="210">
        <v>42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 t="s">
        <v>199</v>
      </c>
      <c r="O26" s="209" t="s">
        <v>200</v>
      </c>
      <c r="P26" s="209" t="s">
        <v>119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92</v>
      </c>
      <c r="W26" s="212">
        <v>42</v>
      </c>
      <c r="X26" s="212">
        <v>62</v>
      </c>
      <c r="Y26" s="209">
        <v>80</v>
      </c>
      <c r="Z26" s="209"/>
      <c r="AA26" s="209">
        <v>70</v>
      </c>
      <c r="AB26" s="212">
        <v>3</v>
      </c>
      <c r="AC26" s="209">
        <v>100</v>
      </c>
      <c r="AD26" s="213">
        <v>35</v>
      </c>
      <c r="AE26" s="209" t="s">
        <v>134</v>
      </c>
      <c r="AF26" s="209" t="s">
        <v>135</v>
      </c>
      <c r="AG26" s="209"/>
      <c r="AH26" s="209"/>
      <c r="AI26" s="134">
        <v>0.67361111111111116</v>
      </c>
      <c r="AJ26" s="145">
        <v>0.71875</v>
      </c>
      <c r="AK26" s="102">
        <f t="shared" si="29"/>
        <v>1</v>
      </c>
      <c r="AL26" s="103">
        <f t="shared" si="30"/>
        <v>45135.673611111109</v>
      </c>
      <c r="AM26" s="102">
        <f t="shared" si="31"/>
        <v>1</v>
      </c>
      <c r="AN26" s="102">
        <f t="shared" si="32"/>
        <v>0</v>
      </c>
      <c r="AO26" s="102">
        <f t="shared" si="33"/>
        <v>1</v>
      </c>
      <c r="AP26" s="103">
        <f t="shared" ref="AP26:AP32" si="39">IF(AJ25&lt;&gt;"",AJ25+$B$1,B26+$B$1)</f>
        <v>45135.604166666664</v>
      </c>
      <c r="AQ26" s="103">
        <f t="shared" si="34"/>
        <v>4.8611111111919549E-2</v>
      </c>
      <c r="AR26" s="103">
        <f t="shared" si="35"/>
        <v>-6.9444444445252884E-2</v>
      </c>
      <c r="AS26" s="103">
        <f t="shared" si="36"/>
        <v>6.25E-2</v>
      </c>
      <c r="AT26" s="103">
        <f t="shared" ca="1" si="37"/>
        <v>0.11111111111191954</v>
      </c>
      <c r="AU26" s="104">
        <f t="shared" ca="1" si="38"/>
        <v>-6.9444444445252884E-2</v>
      </c>
      <c r="AV26" s="239" t="s">
        <v>201</v>
      </c>
    </row>
    <row r="27" spans="1:48" x14ac:dyDescent="0.25">
      <c r="A27" s="96">
        <f t="shared" si="28"/>
        <v>45135.708333333336</v>
      </c>
      <c r="B27" s="198">
        <v>0.70833333333333337</v>
      </c>
      <c r="C27" s="199" t="s">
        <v>130</v>
      </c>
      <c r="D27" s="79">
        <v>70026</v>
      </c>
      <c r="E27" s="80">
        <f t="shared" si="26"/>
        <v>0</v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 t="s">
        <v>202</v>
      </c>
      <c r="O27" s="209" t="s">
        <v>197</v>
      </c>
      <c r="P27" s="209" t="s">
        <v>119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89</v>
      </c>
      <c r="W27" s="212">
        <v>14</v>
      </c>
      <c r="X27" s="212">
        <v>59</v>
      </c>
      <c r="Y27" s="209">
        <v>100</v>
      </c>
      <c r="Z27" s="209"/>
      <c r="AA27" s="209">
        <v>70</v>
      </c>
      <c r="AB27" s="212">
        <v>12</v>
      </c>
      <c r="AC27" s="209">
        <v>80</v>
      </c>
      <c r="AD27" s="213">
        <v>40</v>
      </c>
      <c r="AE27" s="209" t="s">
        <v>134</v>
      </c>
      <c r="AF27" s="209" t="s">
        <v>135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45135.666666666672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45135.71875</v>
      </c>
      <c r="AQ27" s="103">
        <f t="shared" si="34"/>
        <v>2.425316891763174E-12</v>
      </c>
      <c r="AR27" s="103">
        <f t="shared" si="35"/>
        <v>5.2083333328482695E-2</v>
      </c>
      <c r="AS27" s="103">
        <f t="shared" si="36"/>
        <v>-1.0416666664241347E-2</v>
      </c>
      <c r="AT27" s="103">
        <f t="shared" ca="1" si="37"/>
        <v>4.1666666666666664E-2</v>
      </c>
      <c r="AU27" s="104">
        <f t="shared" ca="1" si="38"/>
        <v>0</v>
      </c>
      <c r="AV27" s="239" t="s">
        <v>205</v>
      </c>
    </row>
    <row r="28" spans="1:48" ht="14.25" customHeight="1" x14ac:dyDescent="0.25">
      <c r="A28" s="96">
        <f t="shared" si="28"/>
        <v>45135.75</v>
      </c>
      <c r="B28" s="198">
        <v>0.75</v>
      </c>
      <c r="C28" s="199" t="s">
        <v>130</v>
      </c>
      <c r="D28" s="79">
        <v>70206</v>
      </c>
      <c r="E28" s="80">
        <f t="shared" si="26"/>
        <v>180</v>
      </c>
      <c r="F28" s="200">
        <f t="shared" si="9"/>
        <v>200</v>
      </c>
      <c r="G28" s="210">
        <v>30</v>
      </c>
      <c r="H28" s="210">
        <v>41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 t="s">
        <v>203</v>
      </c>
      <c r="O28" s="209" t="s">
        <v>204</v>
      </c>
      <c r="P28" s="209" t="s">
        <v>116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90</v>
      </c>
      <c r="W28" s="212">
        <v>25</v>
      </c>
      <c r="X28" s="212">
        <v>61</v>
      </c>
      <c r="Y28" s="209">
        <v>100</v>
      </c>
      <c r="Z28" s="209"/>
      <c r="AA28" s="209">
        <v>70</v>
      </c>
      <c r="AB28" s="212">
        <v>13</v>
      </c>
      <c r="AC28" s="212">
        <v>80</v>
      </c>
      <c r="AD28" s="213">
        <v>35</v>
      </c>
      <c r="AE28" s="209" t="s">
        <v>134</v>
      </c>
      <c r="AF28" s="209" t="s">
        <v>135</v>
      </c>
      <c r="AG28" s="209"/>
      <c r="AH28" s="209"/>
      <c r="AI28" s="101"/>
      <c r="AJ28" s="101"/>
      <c r="AK28" s="102">
        <f t="shared" si="29"/>
        <v>1</v>
      </c>
      <c r="AL28" s="103">
        <f t="shared" si="30"/>
        <v>45135.708333333336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45135.75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 t="s">
        <v>208</v>
      </c>
    </row>
    <row r="29" spans="1:48" ht="15" customHeight="1" x14ac:dyDescent="0.25">
      <c r="A29" s="96">
        <f t="shared" si="28"/>
        <v>45135.791666666664</v>
      </c>
      <c r="B29" s="198">
        <v>0.79166666666666663</v>
      </c>
      <c r="C29" s="199" t="s">
        <v>130</v>
      </c>
      <c r="D29" s="79">
        <v>70341</v>
      </c>
      <c r="E29" s="80">
        <f t="shared" si="26"/>
        <v>135</v>
      </c>
      <c r="F29" s="200">
        <f t="shared" si="9"/>
        <v>200</v>
      </c>
      <c r="G29" s="210">
        <v>31</v>
      </c>
      <c r="H29" s="210">
        <v>42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 t="s">
        <v>206</v>
      </c>
      <c r="O29" s="209" t="s">
        <v>207</v>
      </c>
      <c r="P29" s="209" t="s">
        <v>188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80</v>
      </c>
      <c r="W29" s="212">
        <v>17</v>
      </c>
      <c r="X29" s="212">
        <v>59</v>
      </c>
      <c r="Y29" s="209">
        <v>100</v>
      </c>
      <c r="Z29" s="209"/>
      <c r="AA29" s="209">
        <v>70</v>
      </c>
      <c r="AB29" s="212">
        <v>8</v>
      </c>
      <c r="AC29" s="212">
        <v>80</v>
      </c>
      <c r="AD29" s="213">
        <v>35</v>
      </c>
      <c r="AE29" s="209" t="s">
        <v>134</v>
      </c>
      <c r="AF29" s="209" t="s">
        <v>134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45135.75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45135.791666666664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 t="s">
        <v>210</v>
      </c>
    </row>
    <row r="30" spans="1:48" x14ac:dyDescent="0.25">
      <c r="A30" s="96">
        <f t="shared" si="28"/>
        <v>45135.833333333336</v>
      </c>
      <c r="B30" s="198">
        <v>0.83333333333333337</v>
      </c>
      <c r="C30" s="199" t="s">
        <v>130</v>
      </c>
      <c r="D30" s="79">
        <v>70480</v>
      </c>
      <c r="E30" s="80">
        <f t="shared" si="26"/>
        <v>139</v>
      </c>
      <c r="F30" s="200">
        <f t="shared" si="9"/>
        <v>200</v>
      </c>
      <c r="G30" s="210">
        <v>29</v>
      </c>
      <c r="H30" s="210">
        <v>41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 t="s">
        <v>203</v>
      </c>
      <c r="O30" s="209" t="s">
        <v>209</v>
      </c>
      <c r="P30" s="209" t="s">
        <v>191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79</v>
      </c>
      <c r="W30" s="212">
        <v>6</v>
      </c>
      <c r="X30" s="212">
        <v>70</v>
      </c>
      <c r="Y30" s="209">
        <v>100</v>
      </c>
      <c r="Z30" s="209"/>
      <c r="AA30" s="209">
        <v>70</v>
      </c>
      <c r="AB30" s="212">
        <v>7</v>
      </c>
      <c r="AC30" s="212">
        <v>100</v>
      </c>
      <c r="AD30" s="213">
        <v>41</v>
      </c>
      <c r="AE30" s="209" t="s">
        <v>134</v>
      </c>
      <c r="AF30" s="209" t="s">
        <v>135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45135.791666666672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45135.833333333336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45135.875</v>
      </c>
      <c r="B31" s="198">
        <v>0.875</v>
      </c>
      <c r="C31" s="199" t="s">
        <v>130</v>
      </c>
      <c r="D31" s="79">
        <v>70619</v>
      </c>
      <c r="E31" s="80">
        <f t="shared" si="26"/>
        <v>139</v>
      </c>
      <c r="F31" s="200">
        <f t="shared" si="9"/>
        <v>200</v>
      </c>
      <c r="G31" s="210">
        <v>92</v>
      </c>
      <c r="H31" s="210">
        <v>40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 t="s">
        <v>178</v>
      </c>
      <c r="O31" s="209" t="s">
        <v>137</v>
      </c>
      <c r="P31" s="209" t="s">
        <v>171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79</v>
      </c>
      <c r="W31" s="212">
        <v>0</v>
      </c>
      <c r="X31" s="212">
        <v>90</v>
      </c>
      <c r="Y31" s="209">
        <v>100</v>
      </c>
      <c r="Z31" s="209"/>
      <c r="AA31" s="209">
        <v>70</v>
      </c>
      <c r="AB31" s="212">
        <v>3</v>
      </c>
      <c r="AC31" s="212">
        <v>100</v>
      </c>
      <c r="AD31" s="213">
        <v>0</v>
      </c>
      <c r="AE31" s="209" t="s">
        <v>134</v>
      </c>
      <c r="AF31" s="209" t="s">
        <v>134</v>
      </c>
      <c r="AG31" s="209"/>
      <c r="AH31" s="209"/>
      <c r="AI31" s="101"/>
      <c r="AJ31" s="101"/>
      <c r="AK31" s="102">
        <f t="shared" si="29"/>
        <v>1</v>
      </c>
      <c r="AL31" s="103">
        <f t="shared" si="30"/>
        <v>45135.833333333336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45135.875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45135.916666666664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45135.875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45135.916666666664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857</v>
      </c>
      <c r="E33" s="121">
        <f ca="1">IFERROR(D33/24/AT33,"")</f>
        <v>98.88461538372988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0.36111111111434485</v>
      </c>
      <c r="AU33" s="143">
        <f ca="1">SUM(AU25:AU32)</f>
        <v>-2.7777777781011537E-2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1331</v>
      </c>
      <c r="E35" s="80">
        <f t="shared" si="26"/>
        <v>1331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0.6152777777703401</v>
      </c>
      <c r="AU35" s="162">
        <f ca="1">+AU33+AU24+AU15</f>
        <v>0.3847222222296599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45135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474</v>
      </c>
      <c r="J40" s="171">
        <f>D33</f>
        <v>857</v>
      </c>
      <c r="K40" s="171">
        <f>I40+J40</f>
        <v>1331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-4.8506407224202519E-12</v>
      </c>
      <c r="I41" s="235">
        <f ca="1">AT24</f>
        <v>0.25416666666084586</v>
      </c>
      <c r="J41" s="235">
        <f ca="1">AT33</f>
        <v>0.36111111111434485</v>
      </c>
      <c r="K41" s="235">
        <f ca="1">IF(SUM(H41:J41)=1,"24 h",SUM(H41:J41))</f>
        <v>0.6152777777703401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77.704918034566447</v>
      </c>
      <c r="J42" s="171">
        <f ca="1">E33</f>
        <v>98.88461538372988</v>
      </c>
      <c r="K42" s="171">
        <f>E35</f>
        <v>1331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69288</v>
      </c>
      <c r="H46" s="79">
        <f>+D32</f>
        <v>0</v>
      </c>
      <c r="I46" s="79">
        <f>+D35</f>
        <v>1331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0.6152777777703401</v>
      </c>
      <c r="N46" s="79">
        <f>+L46*24</f>
        <v>16</v>
      </c>
      <c r="O46" s="238">
        <f ca="1">+AU35</f>
        <v>0.3847222222296599</v>
      </c>
      <c r="P46" s="79">
        <v>160</v>
      </c>
      <c r="Q46" s="111">
        <f ca="1">+I46/M46/24</f>
        <v>90.135440181676486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69288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4.1666666671517305E-2</v>
      </c>
      <c r="M48" s="175" t="str">
        <f>AV7</f>
        <v>Plant stopped - No night shift</v>
      </c>
    </row>
    <row r="49" spans="6:13" ht="12.75" hidden="1" customHeight="1" x14ac:dyDescent="0.25">
      <c r="F49" s="1">
        <v>2</v>
      </c>
      <c r="G49" s="79">
        <f t="shared" si="41"/>
        <v>69288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4.1666666666666664E-2</v>
      </c>
      <c r="M49" s="175" t="str">
        <f t="shared" si="44"/>
        <v>Plant stopped - No night shift</v>
      </c>
    </row>
    <row r="50" spans="6:13" ht="12.75" hidden="1" customHeight="1" x14ac:dyDescent="0.25">
      <c r="F50" s="1">
        <v>3</v>
      </c>
      <c r="G50" s="79">
        <f t="shared" si="41"/>
        <v>69288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4.1666666666666664E-2</v>
      </c>
      <c r="M50" s="175" t="str">
        <f t="shared" si="44"/>
        <v>Plant stopped - No night shift</v>
      </c>
    </row>
    <row r="51" spans="6:13" ht="12.75" hidden="1" customHeight="1" x14ac:dyDescent="0.25">
      <c r="F51" s="1">
        <v>4</v>
      </c>
      <c r="G51" s="79">
        <f t="shared" si="41"/>
        <v>69288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4.1666666666666664E-2</v>
      </c>
      <c r="M51" s="175" t="str">
        <f t="shared" si="44"/>
        <v>Plant stopped - No night shift</v>
      </c>
    </row>
    <row r="52" spans="6:13" ht="12.75" hidden="1" customHeight="1" x14ac:dyDescent="0.25">
      <c r="F52" s="1">
        <v>5</v>
      </c>
      <c r="G52" s="79">
        <f t="shared" si="41"/>
        <v>69288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4.1666666666666664E-2</v>
      </c>
      <c r="M52" s="175" t="str">
        <f t="shared" si="44"/>
        <v>Plant stopped - No night shift</v>
      </c>
    </row>
    <row r="53" spans="6:13" ht="12.75" hidden="1" customHeight="1" x14ac:dyDescent="0.25">
      <c r="F53" s="1">
        <v>6</v>
      </c>
      <c r="G53" s="79">
        <f t="shared" si="41"/>
        <v>69288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4.1666666666666664E-2</v>
      </c>
      <c r="M53" s="175" t="str">
        <f t="shared" si="44"/>
        <v>Plant stopped - No night shift</v>
      </c>
    </row>
    <row r="54" spans="6:13" ht="12.75" hidden="1" customHeight="1" x14ac:dyDescent="0.25">
      <c r="F54" s="1">
        <v>7</v>
      </c>
      <c r="G54" s="79">
        <f t="shared" si="41"/>
        <v>69288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4.1666666666666664E-2</v>
      </c>
      <c r="M54" s="175" t="str">
        <f t="shared" si="44"/>
        <v>Plant stopped - No night shift</v>
      </c>
    </row>
    <row r="55" spans="6:13" ht="12.75" hidden="1" customHeight="1" x14ac:dyDescent="0.25">
      <c r="F55" s="1">
        <v>8</v>
      </c>
      <c r="G55" s="79">
        <f t="shared" si="41"/>
        <v>69288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4.1666666666666664E-2</v>
      </c>
      <c r="M55" s="175" t="str">
        <f t="shared" si="44"/>
        <v>06:00-07:54 Caucus,doing plant inspection and cleaning SC01 bottom deck panels(blocked )</v>
      </c>
    </row>
    <row r="56" spans="6:13" ht="12.75" hidden="1" customHeight="1" x14ac:dyDescent="0.25">
      <c r="F56" s="1">
        <v>9</v>
      </c>
      <c r="G56" s="79">
        <f t="shared" ref="G56:G63" si="45">D16</f>
        <v>69288</v>
      </c>
      <c r="H56" s="79" t="e">
        <f>#REF!</f>
        <v>#REF!</v>
      </c>
      <c r="I56" s="79" t="str">
        <f t="shared" ref="I56:I63" si="46">O16</f>
        <v>38.9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7.9166666672487424E-2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69288</v>
      </c>
      <c r="H57" s="79" t="e">
        <f>#REF!</f>
        <v>#REF!</v>
      </c>
      <c r="I57" s="79" t="str">
        <f t="shared" si="46"/>
        <v>38.9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 t="str">
        <f t="shared" si="48"/>
        <v>08:10-08:45 Feeding at a low rate(material is very wet)</v>
      </c>
    </row>
    <row r="58" spans="6:13" ht="12.75" hidden="1" customHeight="1" x14ac:dyDescent="0.25">
      <c r="F58" s="1">
        <v>11</v>
      </c>
      <c r="G58" s="79">
        <f t="shared" si="45"/>
        <v>69353</v>
      </c>
      <c r="H58" s="79" t="e">
        <f>#REF!</f>
        <v>#REF!</v>
      </c>
      <c r="I58" s="79" t="str">
        <f t="shared" si="46"/>
        <v>38.9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69433</v>
      </c>
      <c r="H59" s="79" t="e">
        <f>#REF!</f>
        <v>#REF!</v>
      </c>
      <c r="I59" s="79" t="str">
        <f t="shared" si="46"/>
        <v>40.7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 t="str">
        <f t="shared" si="48"/>
        <v>10:15-12:00Cleaning the build up of the CC02 Bin(it showed 80% but it's empty)</v>
      </c>
    </row>
    <row r="60" spans="6:13" ht="12.75" hidden="1" customHeight="1" x14ac:dyDescent="0.25">
      <c r="F60" s="1">
        <v>13</v>
      </c>
      <c r="G60" s="79">
        <f t="shared" si="45"/>
        <v>69505</v>
      </c>
      <c r="H60" s="79" t="e">
        <f>#REF!</f>
        <v>#REF!</v>
      </c>
      <c r="I60" s="79" t="str">
        <f t="shared" si="46"/>
        <v>41.6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69580</v>
      </c>
      <c r="H61" s="79" t="e">
        <f>#REF!</f>
        <v>#REF!</v>
      </c>
      <c r="I61" s="79" t="str">
        <f t="shared" si="46"/>
        <v>37.3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 t="str">
        <f t="shared" si="48"/>
        <v>12:00-12:20 Cleaning up FE03 build up</v>
      </c>
    </row>
    <row r="62" spans="6:13" ht="12.75" hidden="1" customHeight="1" x14ac:dyDescent="0.25">
      <c r="F62" s="1">
        <v>15</v>
      </c>
      <c r="G62" s="79">
        <f t="shared" si="45"/>
        <v>69660</v>
      </c>
      <c r="H62" s="79" t="e">
        <f>#REF!</f>
        <v>#REF!</v>
      </c>
      <c r="I62" s="79" t="str">
        <f t="shared" si="46"/>
        <v>37.3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69762</v>
      </c>
      <c r="H63" s="79" t="e">
        <f>#REF!</f>
        <v>#REF!</v>
      </c>
      <c r="I63" s="79" t="str">
        <f t="shared" si="46"/>
        <v>40.4</v>
      </c>
      <c r="J63" s="111" t="str">
        <f t="shared" si="47"/>
        <v>Clean</v>
      </c>
      <c r="K63" s="111" t="str">
        <f t="shared" si="47"/>
        <v>build-up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69875</v>
      </c>
      <c r="H64" s="79" t="e">
        <f>#REF!</f>
        <v>#REF!</v>
      </c>
      <c r="I64" s="79" t="str">
        <f t="shared" ref="I64:I71" si="50">O25</f>
        <v>37.2</v>
      </c>
      <c r="J64" s="111" t="str">
        <f t="shared" ref="J64:K71" si="51">AE25</f>
        <v>Clean</v>
      </c>
      <c r="K64" s="111" t="str">
        <f t="shared" si="51"/>
        <v>build -up</v>
      </c>
      <c r="L64" s="162">
        <f t="shared" ref="L64:M71" ca="1" si="52">AU25</f>
        <v>4.1666666664241347E-2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70026</v>
      </c>
      <c r="H65" s="79" t="e">
        <f>#REF!</f>
        <v>#REF!</v>
      </c>
      <c r="I65" s="79" t="str">
        <f t="shared" si="50"/>
        <v>40.5</v>
      </c>
      <c r="J65" s="111" t="str">
        <f t="shared" si="51"/>
        <v>Clean</v>
      </c>
      <c r="K65" s="111" t="str">
        <f t="shared" si="51"/>
        <v>build-up</v>
      </c>
      <c r="L65" s="162">
        <f t="shared" ca="1" si="52"/>
        <v>-6.9444444445252884E-2</v>
      </c>
      <c r="M65" s="175" t="str">
        <f t="shared" si="52"/>
        <v>Stop plant feeder FEO1 due to offload conveyor no 6 and clean SCO1 panels</v>
      </c>
    </row>
    <row r="66" spans="6:13" ht="12.75" hidden="1" customHeight="1" x14ac:dyDescent="0.25">
      <c r="F66" s="1">
        <v>19</v>
      </c>
      <c r="G66" s="79">
        <f t="shared" si="49"/>
        <v>70026</v>
      </c>
      <c r="H66" s="79" t="e">
        <f>#REF!</f>
        <v>#REF!</v>
      </c>
      <c r="I66" s="79" t="str">
        <f t="shared" si="50"/>
        <v>37.2</v>
      </c>
      <c r="J66" s="111" t="str">
        <f t="shared" si="51"/>
        <v>Clean</v>
      </c>
      <c r="K66" s="111" t="str">
        <f t="shared" si="51"/>
        <v>build-up</v>
      </c>
      <c r="L66" s="162">
        <f t="shared" ca="1" si="52"/>
        <v>0</v>
      </c>
      <c r="M66" s="175" t="str">
        <f t="shared" si="52"/>
        <v>18:40&gt;We do less tons due to clean build-up at FEO1</v>
      </c>
    </row>
    <row r="67" spans="6:13" ht="12.75" hidden="1" customHeight="1" x14ac:dyDescent="0.25">
      <c r="F67" s="1">
        <v>20</v>
      </c>
      <c r="G67" s="79">
        <f t="shared" si="49"/>
        <v>70206</v>
      </c>
      <c r="H67" s="79" t="e">
        <f>#REF!</f>
        <v>#REF!</v>
      </c>
      <c r="I67" s="79" t="str">
        <f t="shared" si="50"/>
        <v>37.5</v>
      </c>
      <c r="J67" s="111" t="str">
        <f t="shared" si="51"/>
        <v>Clean</v>
      </c>
      <c r="K67" s="111" t="str">
        <f t="shared" si="51"/>
        <v>build-up</v>
      </c>
      <c r="L67" s="162">
        <f t="shared" ca="1" si="52"/>
        <v>0</v>
      </c>
      <c r="M67" s="175" t="str">
        <f t="shared" si="52"/>
        <v>19:00&gt;Strugling with build up at FEO1 and FEO3</v>
      </c>
    </row>
    <row r="68" spans="6:13" ht="12.75" hidden="1" customHeight="1" x14ac:dyDescent="0.25">
      <c r="F68" s="1">
        <v>21</v>
      </c>
      <c r="G68" s="79">
        <f t="shared" si="49"/>
        <v>70341</v>
      </c>
      <c r="H68" s="79" t="e">
        <f>#REF!</f>
        <v>#REF!</v>
      </c>
      <c r="I68" s="79" t="str">
        <f t="shared" si="50"/>
        <v>40.3</v>
      </c>
      <c r="J68" s="111" t="str">
        <f t="shared" si="51"/>
        <v>Clean</v>
      </c>
      <c r="K68" s="111" t="str">
        <f t="shared" si="51"/>
        <v>Clean</v>
      </c>
      <c r="L68" s="162">
        <f t="shared" ca="1" si="52"/>
        <v>0</v>
      </c>
      <c r="M68" s="175" t="str">
        <f t="shared" si="52"/>
        <v>20:30&gt;Crucher plant feed depleted</v>
      </c>
    </row>
    <row r="69" spans="6:13" ht="12.75" hidden="1" customHeight="1" x14ac:dyDescent="0.25">
      <c r="F69" s="1">
        <v>22</v>
      </c>
      <c r="G69" s="79">
        <f t="shared" si="49"/>
        <v>70480</v>
      </c>
      <c r="H69" s="79" t="e">
        <f>#REF!</f>
        <v>#REF!</v>
      </c>
      <c r="I69" s="79" t="str">
        <f t="shared" si="50"/>
        <v>37.7</v>
      </c>
      <c r="J69" s="111" t="str">
        <f t="shared" si="51"/>
        <v>Clean</v>
      </c>
      <c r="K69" s="111" t="str">
        <f t="shared" si="51"/>
        <v>build-up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70619</v>
      </c>
      <c r="H70" s="79" t="e">
        <f>#REF!</f>
        <v>#REF!</v>
      </c>
      <c r="I70" s="79" t="str">
        <f t="shared" si="50"/>
        <v>38.8</v>
      </c>
      <c r="J70" s="111" t="str">
        <f t="shared" si="51"/>
        <v>Clean</v>
      </c>
      <c r="K70" s="111" t="str">
        <f t="shared" si="51"/>
        <v>Clean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937" priority="40" operator="greaterThan">
      <formula>$I$4</formula>
    </cfRule>
    <cfRule type="cellIs" dxfId="936" priority="39" operator="lessThan">
      <formula>$I$4</formula>
    </cfRule>
  </conditionalFormatting>
  <conditionalFormatting sqref="N33">
    <cfRule type="cellIs" dxfId="935" priority="49" operator="greaterThan">
      <formula>75</formula>
    </cfRule>
    <cfRule type="cellIs" dxfId="934" priority="48" operator="lessThan">
      <formula>75</formula>
    </cfRule>
  </conditionalFormatting>
  <conditionalFormatting sqref="P15 P24 P33">
    <cfRule type="cellIs" dxfId="933" priority="37" operator="lessThan">
      <formula>52.5</formula>
    </cfRule>
    <cfRule type="cellIs" dxfId="932" priority="38" operator="greaterThan">
      <formula>52.5</formula>
    </cfRule>
  </conditionalFormatting>
  <conditionalFormatting sqref="T15:Z15">
    <cfRule type="cellIs" dxfId="931" priority="45" operator="equal">
      <formula>"Y"</formula>
    </cfRule>
    <cfRule type="cellIs" dxfId="930" priority="44" operator="equal">
      <formula>"N"</formula>
    </cfRule>
  </conditionalFormatting>
  <conditionalFormatting sqref="T6:AA14">
    <cfRule type="cellIs" dxfId="929" priority="31" operator="equal">
      <formula>"N"</formula>
    </cfRule>
    <cfRule type="cellIs" dxfId="928" priority="32" operator="equal">
      <formula>"Y"</formula>
    </cfRule>
  </conditionalFormatting>
  <conditionalFormatting sqref="T24:AA24 T33:AA33">
    <cfRule type="cellIs" dxfId="927" priority="35" operator="equal">
      <formula>"N"</formula>
    </cfRule>
    <cfRule type="cellIs" dxfId="926" priority="36" operator="equal">
      <formula>"Y"</formula>
    </cfRule>
  </conditionalFormatting>
  <conditionalFormatting sqref="T6:AC15 Z16:AC17">
    <cfRule type="cellIs" dxfId="925" priority="3" operator="equal">
      <formula>"N"</formula>
    </cfRule>
    <cfRule type="cellIs" dxfId="924" priority="4" operator="equal">
      <formula>"Y"</formula>
    </cfRule>
  </conditionalFormatting>
  <conditionalFormatting sqref="T24:AC24 T33:AC33">
    <cfRule type="cellIs" dxfId="923" priority="27" operator="equal">
      <formula>"N"</formula>
    </cfRule>
    <cfRule type="cellIs" dxfId="922" priority="28" operator="equal">
      <formula>"Y"</formula>
    </cfRule>
  </conditionalFormatting>
  <conditionalFormatting sqref="U6:U15 U24">
    <cfRule type="cellIs" dxfId="921" priority="2" operator="equal">
      <formula>"C"</formula>
    </cfRule>
    <cfRule type="cellIs" dxfId="920" priority="1" operator="equal">
      <formula>"S"</formula>
    </cfRule>
  </conditionalFormatting>
  <conditionalFormatting sqref="U33">
    <cfRule type="cellIs" dxfId="919" priority="26" operator="equal">
      <formula>"C"</formula>
    </cfRule>
    <cfRule type="cellIs" dxfId="918" priority="25" operator="equal">
      <formula>"S"</formula>
    </cfRule>
  </conditionalFormatting>
  <conditionalFormatting sqref="V15">
    <cfRule type="cellIs" dxfId="917" priority="42" operator="equal">
      <formula>"S"</formula>
    </cfRule>
    <cfRule type="cellIs" dxfId="916" priority="43" operator="equal">
      <formula>"C"</formula>
    </cfRule>
  </conditionalFormatting>
  <conditionalFormatting sqref="V6:X14">
    <cfRule type="cellIs" dxfId="915" priority="30" operator="equal">
      <formula>"C"</formula>
    </cfRule>
    <cfRule type="cellIs" dxfId="914" priority="29" operator="equal">
      <formula>"S"</formula>
    </cfRule>
  </conditionalFormatting>
  <conditionalFormatting sqref="Z18:Z23">
    <cfRule type="cellIs" dxfId="913" priority="14" operator="equal">
      <formula>"Y"</formula>
    </cfRule>
    <cfRule type="cellIs" dxfId="912" priority="13" operator="equal">
      <formula>"N"</formula>
    </cfRule>
  </conditionalFormatting>
  <conditionalFormatting sqref="Z16:AA17">
    <cfRule type="cellIs" dxfId="911" priority="7" operator="equal">
      <formula>"N"</formula>
    </cfRule>
    <cfRule type="cellIs" dxfId="910" priority="8" operator="equal">
      <formula>"Y"</formula>
    </cfRule>
  </conditionalFormatting>
  <conditionalFormatting sqref="Z18:AB23">
    <cfRule type="cellIs" dxfId="909" priority="11" operator="equal">
      <formula>"N"</formula>
    </cfRule>
    <cfRule type="cellIs" dxfId="908" priority="12" operator="equal">
      <formula>"Y"</formula>
    </cfRule>
  </conditionalFormatting>
  <conditionalFormatting sqref="AG6:AG14">
    <cfRule type="cellIs" dxfId="907" priority="34" operator="greaterThan">
      <formula>1.19</formula>
    </cfRule>
    <cfRule type="cellIs" dxfId="906" priority="33" operator="lessThan">
      <formula>1.19</formula>
    </cfRule>
  </conditionalFormatting>
  <conditionalFormatting sqref="AG16:AG23">
    <cfRule type="cellIs" dxfId="905" priority="46" operator="lessThan">
      <formula>1.19</formula>
    </cfRule>
    <cfRule type="cellIs" dxfId="904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B07B-E0E4-4CFF-AEFF-A88170B3189B}">
  <sheetPr>
    <pageSetUpPr fitToPage="1"/>
  </sheetPr>
  <dimension ref="A1:AV71"/>
  <sheetViews>
    <sheetView showGridLines="0" zoomScaleNormal="100" workbookViewId="0">
      <pane xSplit="2" ySplit="6" topLeftCell="C35" activePane="bottomRight" state="frozen"/>
      <selection pane="topRight" activeCell="C1" sqref="C1"/>
      <selection pane="bottomLeft" activeCell="A7" sqref="A7"/>
      <selection pane="bottomRight" activeCell="K41" sqref="K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'28 Jul 23'!B1+1</f>
        <v>45136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45135.958333333336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45136.916666666672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45135.958333333336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45136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45135.958333333336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45136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45136.041666666664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45136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45136.041666666664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45136.083333333336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45136.041666666672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45136.083333333336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45136.125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45136.083333333336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45136.125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45136.166666666664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45136.125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45136.166666666664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45136.208333333336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45136.166666666672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45136.208333333336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45136.25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45136.208333333336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45136.25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45136.291666666664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45136.25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45136.291666666664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45136.333333333336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45136.291666666672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45136.333333333336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45136.375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45136.333333333336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45136.375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45136.416666666664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45136.375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45136.416666666664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45136.458333333336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45136.416666666672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45136.458333333336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45136.5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45136.458333333336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45136.5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45136.541666666664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45136.5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45136.541666666664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45136.583333333336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45136.541666666672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45136.583333333336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45136.625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45136.583333333336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45136.625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45136.666666666664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45136.625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45136.666666666664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45136.708333333336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45136.666666666672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45136.708333333336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45136.75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45136.708333333336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45136.75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45136.791666666664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45136.75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45136.791666666664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45136.833333333336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45136.791666666672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45136.833333333336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45136.875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45136.833333333336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45136.875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45136.916666666664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45136.875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45136.916666666664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45136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+H40+J40+I40</f>
        <v>0</v>
      </c>
      <c r="L40" s="194">
        <v>3063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903" priority="40" operator="greaterThan">
      <formula>$I$4</formula>
    </cfRule>
    <cfRule type="cellIs" dxfId="902" priority="39" operator="lessThan">
      <formula>$I$4</formula>
    </cfRule>
  </conditionalFormatting>
  <conditionalFormatting sqref="N33">
    <cfRule type="cellIs" dxfId="901" priority="49" operator="greaterThan">
      <formula>75</formula>
    </cfRule>
    <cfRule type="cellIs" dxfId="900" priority="48" operator="lessThan">
      <formula>75</formula>
    </cfRule>
  </conditionalFormatting>
  <conditionalFormatting sqref="P15 P24 P33">
    <cfRule type="cellIs" dxfId="899" priority="38" operator="greaterThan">
      <formula>52.5</formula>
    </cfRule>
    <cfRule type="cellIs" dxfId="898" priority="37" operator="lessThan">
      <formula>52.5</formula>
    </cfRule>
  </conditionalFormatting>
  <conditionalFormatting sqref="S18:S22 U18:U22 S23:U23">
    <cfRule type="cellIs" dxfId="897" priority="17" operator="equal">
      <formula>"N"</formula>
    </cfRule>
    <cfRule type="cellIs" dxfId="896" priority="18" operator="equal">
      <formula>"Y"</formula>
    </cfRule>
  </conditionalFormatting>
  <conditionalFormatting sqref="S18:S22 U18:AB22 S23:AB23">
    <cfRule type="cellIs" dxfId="895" priority="11" operator="equal">
      <formula>"N"</formula>
    </cfRule>
    <cfRule type="cellIs" dxfId="894" priority="12" operator="equal">
      <formula>"Y"</formula>
    </cfRule>
  </conditionalFormatting>
  <conditionalFormatting sqref="T23">
    <cfRule type="cellIs" dxfId="893" priority="9" operator="equal">
      <formula>"S"</formula>
    </cfRule>
    <cfRule type="cellIs" dxfId="892" priority="10" operator="equal">
      <formula>"C"</formula>
    </cfRule>
    <cfRule type="cellIs" dxfId="891" priority="21" operator="equal">
      <formula>"N"</formula>
    </cfRule>
    <cfRule type="cellIs" dxfId="890" priority="22" operator="equal">
      <formula>"Y"</formula>
    </cfRule>
    <cfRule type="cellIs" dxfId="889" priority="23" operator="equal">
      <formula>"N"</formula>
    </cfRule>
    <cfRule type="cellIs" dxfId="888" priority="24" operator="equal">
      <formula>"Y"</formula>
    </cfRule>
  </conditionalFormatting>
  <conditionalFormatting sqref="T15:Z15">
    <cfRule type="cellIs" dxfId="887" priority="44" operator="equal">
      <formula>"N"</formula>
    </cfRule>
    <cfRule type="cellIs" dxfId="886" priority="45" operator="equal">
      <formula>"Y"</formula>
    </cfRule>
  </conditionalFormatting>
  <conditionalFormatting sqref="T6:AA14">
    <cfRule type="cellIs" dxfId="885" priority="32" operator="equal">
      <formula>"Y"</formula>
    </cfRule>
    <cfRule type="cellIs" dxfId="884" priority="31" operator="equal">
      <formula>"N"</formula>
    </cfRule>
  </conditionalFormatting>
  <conditionalFormatting sqref="T16:AA16 U17:AA17 T17:T22">
    <cfRule type="cellIs" dxfId="883" priority="7" operator="equal">
      <formula>"N"</formula>
    </cfRule>
    <cfRule type="cellIs" dxfId="882" priority="8" operator="equal">
      <formula>"Y"</formula>
    </cfRule>
  </conditionalFormatting>
  <conditionalFormatting sqref="T24:AA24 T33:AA33">
    <cfRule type="cellIs" dxfId="881" priority="35" operator="equal">
      <formula>"N"</formula>
    </cfRule>
    <cfRule type="cellIs" dxfId="880" priority="36" operator="equal">
      <formula>"Y"</formula>
    </cfRule>
  </conditionalFormatting>
  <conditionalFormatting sqref="T6:AC16 U17:AC17 T17:T22">
    <cfRule type="cellIs" dxfId="879" priority="3" operator="equal">
      <formula>"N"</formula>
    </cfRule>
    <cfRule type="cellIs" dxfId="878" priority="4" operator="equal">
      <formula>"Y"</formula>
    </cfRule>
  </conditionalFormatting>
  <conditionalFormatting sqref="T24:AC24 T33:AC33">
    <cfRule type="cellIs" dxfId="877" priority="28" operator="equal">
      <formula>"Y"</formula>
    </cfRule>
    <cfRule type="cellIs" dxfId="876" priority="27" operator="equal">
      <formula>"N"</formula>
    </cfRule>
  </conditionalFormatting>
  <conditionalFormatting sqref="U6:U24">
    <cfRule type="cellIs" dxfId="875" priority="1" operator="equal">
      <formula>"S"</formula>
    </cfRule>
    <cfRule type="cellIs" dxfId="874" priority="2" operator="equal">
      <formula>"C"</formula>
    </cfRule>
  </conditionalFormatting>
  <conditionalFormatting sqref="U33">
    <cfRule type="cellIs" dxfId="873" priority="26" operator="equal">
      <formula>"C"</formula>
    </cfRule>
    <cfRule type="cellIs" dxfId="872" priority="25" operator="equal">
      <formula>"S"</formula>
    </cfRule>
  </conditionalFormatting>
  <conditionalFormatting sqref="V15">
    <cfRule type="cellIs" dxfId="871" priority="42" operator="equal">
      <formula>"S"</formula>
    </cfRule>
    <cfRule type="cellIs" dxfId="870" priority="43" operator="equal">
      <formula>"C"</formula>
    </cfRule>
  </conditionalFormatting>
  <conditionalFormatting sqref="V18:W23">
    <cfRule type="cellIs" dxfId="869" priority="20" operator="equal">
      <formula>"C"</formula>
    </cfRule>
    <cfRule type="cellIs" dxfId="868" priority="19" operator="equal">
      <formula>"S"</formula>
    </cfRule>
  </conditionalFormatting>
  <conditionalFormatting sqref="V6:X14">
    <cfRule type="cellIs" dxfId="867" priority="29" operator="equal">
      <formula>"S"</formula>
    </cfRule>
    <cfRule type="cellIs" dxfId="866" priority="30" operator="equal">
      <formula>"C"</formula>
    </cfRule>
  </conditionalFormatting>
  <conditionalFormatting sqref="V16:X17">
    <cfRule type="cellIs" dxfId="865" priority="6" operator="equal">
      <formula>"C"</formula>
    </cfRule>
    <cfRule type="cellIs" dxfId="864" priority="5" operator="equal">
      <formula>"S"</formula>
    </cfRule>
  </conditionalFormatting>
  <conditionalFormatting sqref="V18:Z23">
    <cfRule type="cellIs" dxfId="863" priority="14" operator="equal">
      <formula>"Y"</formula>
    </cfRule>
    <cfRule type="cellIs" dxfId="862" priority="13" operator="equal">
      <formula>"N"</formula>
    </cfRule>
  </conditionalFormatting>
  <conditionalFormatting sqref="AG6:AG14">
    <cfRule type="cellIs" dxfId="861" priority="33" operator="lessThan">
      <formula>1.19</formula>
    </cfRule>
    <cfRule type="cellIs" dxfId="860" priority="34" operator="greaterThan">
      <formula>1.19</formula>
    </cfRule>
  </conditionalFormatting>
  <conditionalFormatting sqref="AG16:AG23">
    <cfRule type="cellIs" dxfId="859" priority="46" operator="lessThan">
      <formula>1.19</formula>
    </cfRule>
    <cfRule type="cellIs" dxfId="858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B34B-D82C-4451-8805-CC8750C5ED49}">
  <sheetPr>
    <pageSetUpPr fitToPage="1"/>
  </sheetPr>
  <dimension ref="A1:AV71"/>
  <sheetViews>
    <sheetView showGridLines="0" zoomScaleNormal="100" workbookViewId="0">
      <pane xSplit="2" ySplit="6" topLeftCell="C35" activePane="bottomRight" state="frozen"/>
      <selection pane="topRight" activeCell="C1" sqref="C1"/>
      <selection pane="bottomLeft" activeCell="A7" sqref="A7"/>
      <selection pane="bottomRight" activeCell="K41" sqref="K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'29 Jul 23'!B1+1</f>
        <v>45137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45136.958333333336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45137.916666666672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45136.958333333336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45137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45136.958333333336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45137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45137.041666666664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45137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45137.041666666664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45137.083333333336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45137.041666666672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45137.083333333336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45137.125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45137.083333333336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45137.125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45137.166666666664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45137.125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45137.166666666664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45137.208333333336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45137.166666666672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45137.208333333336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45137.25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45137.208333333336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45137.25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45137.291666666664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45137.25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45137.291666666664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45137.333333333336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45137.291666666672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45137.333333333336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45137.375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45137.333333333336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45137.375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45137.416666666664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45137.375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45137.416666666664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45137.458333333336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45137.416666666672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45137.458333333336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45137.5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45137.458333333336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45137.5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45137.541666666664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45137.5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45137.541666666664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45137.583333333336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45137.541666666672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45137.583333333336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45137.625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45137.583333333336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45137.625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45137.666666666664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45137.625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45137.666666666664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45137.708333333336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45137.666666666672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45137.708333333336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45137.75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45137.708333333336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45137.75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45137.791666666664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45137.75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45137.791666666664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45137.833333333336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45137.791666666672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45137.833333333336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45137.875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45137.833333333336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45137.875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45137.916666666664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45137.875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45137.916666666664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45137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+J40+I40+H40</f>
        <v>0</v>
      </c>
      <c r="L40" s="194">
        <v>3063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857" priority="40" operator="greaterThan">
      <formula>$I$4</formula>
    </cfRule>
    <cfRule type="cellIs" dxfId="856" priority="39" operator="lessThan">
      <formula>$I$4</formula>
    </cfRule>
  </conditionalFormatting>
  <conditionalFormatting sqref="N33">
    <cfRule type="cellIs" dxfId="855" priority="49" operator="greaterThan">
      <formula>75</formula>
    </cfRule>
    <cfRule type="cellIs" dxfId="854" priority="48" operator="lessThan">
      <formula>75</formula>
    </cfRule>
  </conditionalFormatting>
  <conditionalFormatting sqref="P15 P24 P33">
    <cfRule type="cellIs" dxfId="853" priority="38" operator="greaterThan">
      <formula>52.5</formula>
    </cfRule>
    <cfRule type="cellIs" dxfId="852" priority="37" operator="lessThan">
      <formula>52.5</formula>
    </cfRule>
  </conditionalFormatting>
  <conditionalFormatting sqref="S18:S22 U18:U22 S23:U23">
    <cfRule type="cellIs" dxfId="851" priority="17" operator="equal">
      <formula>"N"</formula>
    </cfRule>
    <cfRule type="cellIs" dxfId="850" priority="18" operator="equal">
      <formula>"Y"</formula>
    </cfRule>
  </conditionalFormatting>
  <conditionalFormatting sqref="S18:S22 U18:AB22 S23:AB23">
    <cfRule type="cellIs" dxfId="849" priority="11" operator="equal">
      <formula>"N"</formula>
    </cfRule>
    <cfRule type="cellIs" dxfId="848" priority="12" operator="equal">
      <formula>"Y"</formula>
    </cfRule>
  </conditionalFormatting>
  <conditionalFormatting sqref="T23">
    <cfRule type="cellIs" dxfId="847" priority="9" operator="equal">
      <formula>"S"</formula>
    </cfRule>
    <cfRule type="cellIs" dxfId="846" priority="10" operator="equal">
      <formula>"C"</formula>
    </cfRule>
    <cfRule type="cellIs" dxfId="845" priority="21" operator="equal">
      <formula>"N"</formula>
    </cfRule>
    <cfRule type="cellIs" dxfId="844" priority="22" operator="equal">
      <formula>"Y"</formula>
    </cfRule>
    <cfRule type="cellIs" dxfId="843" priority="23" operator="equal">
      <formula>"N"</formula>
    </cfRule>
    <cfRule type="cellIs" dxfId="842" priority="24" operator="equal">
      <formula>"Y"</formula>
    </cfRule>
  </conditionalFormatting>
  <conditionalFormatting sqref="T15:Z15">
    <cfRule type="cellIs" dxfId="841" priority="44" operator="equal">
      <formula>"N"</formula>
    </cfRule>
    <cfRule type="cellIs" dxfId="840" priority="45" operator="equal">
      <formula>"Y"</formula>
    </cfRule>
  </conditionalFormatting>
  <conditionalFormatting sqref="T6:AA14">
    <cfRule type="cellIs" dxfId="839" priority="32" operator="equal">
      <formula>"Y"</formula>
    </cfRule>
    <cfRule type="cellIs" dxfId="838" priority="31" operator="equal">
      <formula>"N"</formula>
    </cfRule>
  </conditionalFormatting>
  <conditionalFormatting sqref="T16:AA16 U17:AA17 T17:T22">
    <cfRule type="cellIs" dxfId="837" priority="7" operator="equal">
      <formula>"N"</formula>
    </cfRule>
    <cfRule type="cellIs" dxfId="836" priority="8" operator="equal">
      <formula>"Y"</formula>
    </cfRule>
  </conditionalFormatting>
  <conditionalFormatting sqref="T24:AA24 T33:AA33">
    <cfRule type="cellIs" dxfId="835" priority="35" operator="equal">
      <formula>"N"</formula>
    </cfRule>
    <cfRule type="cellIs" dxfId="834" priority="36" operator="equal">
      <formula>"Y"</formula>
    </cfRule>
  </conditionalFormatting>
  <conditionalFormatting sqref="T6:AC16 U17:AC17 T17:T22">
    <cfRule type="cellIs" dxfId="833" priority="3" operator="equal">
      <formula>"N"</formula>
    </cfRule>
    <cfRule type="cellIs" dxfId="832" priority="4" operator="equal">
      <formula>"Y"</formula>
    </cfRule>
  </conditionalFormatting>
  <conditionalFormatting sqref="T24:AC24 T33:AC33">
    <cfRule type="cellIs" dxfId="831" priority="28" operator="equal">
      <formula>"Y"</formula>
    </cfRule>
    <cfRule type="cellIs" dxfId="830" priority="27" operator="equal">
      <formula>"N"</formula>
    </cfRule>
  </conditionalFormatting>
  <conditionalFormatting sqref="U6:U24">
    <cfRule type="cellIs" dxfId="829" priority="1" operator="equal">
      <formula>"S"</formula>
    </cfRule>
    <cfRule type="cellIs" dxfId="828" priority="2" operator="equal">
      <formula>"C"</formula>
    </cfRule>
  </conditionalFormatting>
  <conditionalFormatting sqref="U33">
    <cfRule type="cellIs" dxfId="827" priority="26" operator="equal">
      <formula>"C"</formula>
    </cfRule>
    <cfRule type="cellIs" dxfId="826" priority="25" operator="equal">
      <formula>"S"</formula>
    </cfRule>
  </conditionalFormatting>
  <conditionalFormatting sqref="V15">
    <cfRule type="cellIs" dxfId="825" priority="42" operator="equal">
      <formula>"S"</formula>
    </cfRule>
    <cfRule type="cellIs" dxfId="824" priority="43" operator="equal">
      <formula>"C"</formula>
    </cfRule>
  </conditionalFormatting>
  <conditionalFormatting sqref="V18:W23">
    <cfRule type="cellIs" dxfId="823" priority="20" operator="equal">
      <formula>"C"</formula>
    </cfRule>
    <cfRule type="cellIs" dxfId="822" priority="19" operator="equal">
      <formula>"S"</formula>
    </cfRule>
  </conditionalFormatting>
  <conditionalFormatting sqref="V6:X14">
    <cfRule type="cellIs" dxfId="821" priority="29" operator="equal">
      <formula>"S"</formula>
    </cfRule>
    <cfRule type="cellIs" dxfId="820" priority="30" operator="equal">
      <formula>"C"</formula>
    </cfRule>
  </conditionalFormatting>
  <conditionalFormatting sqref="V16:X17">
    <cfRule type="cellIs" dxfId="819" priority="6" operator="equal">
      <formula>"C"</formula>
    </cfRule>
    <cfRule type="cellIs" dxfId="818" priority="5" operator="equal">
      <formula>"S"</formula>
    </cfRule>
  </conditionalFormatting>
  <conditionalFormatting sqref="V18:Z23">
    <cfRule type="cellIs" dxfId="817" priority="14" operator="equal">
      <formula>"Y"</formula>
    </cfRule>
    <cfRule type="cellIs" dxfId="816" priority="13" operator="equal">
      <formula>"N"</formula>
    </cfRule>
  </conditionalFormatting>
  <conditionalFormatting sqref="AG6:AG14">
    <cfRule type="cellIs" dxfId="815" priority="33" operator="lessThan">
      <formula>1.19</formula>
    </cfRule>
    <cfRule type="cellIs" dxfId="814" priority="34" operator="greaterThan">
      <formula>1.19</formula>
    </cfRule>
  </conditionalFormatting>
  <conditionalFormatting sqref="AG16:AG23">
    <cfRule type="cellIs" dxfId="813" priority="46" operator="lessThan">
      <formula>1.19</formula>
    </cfRule>
    <cfRule type="cellIs" dxfId="812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A188-73B3-4B24-8989-C4DADBCC9237}">
  <sheetPr>
    <pageSetUpPr fitToPage="1"/>
  </sheetPr>
  <dimension ref="A1:AV71"/>
  <sheetViews>
    <sheetView showGridLines="0" zoomScaleNormal="100" workbookViewId="0">
      <pane xSplit="2" ySplit="6" topLeftCell="C36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5" width="9" style="1"/>
    <col min="36" max="36" width="15.42578125" style="1" bestFit="1" customWidth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'30 Jul 23'!B1+1</f>
        <v>45138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70619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45137.958333333336</v>
      </c>
      <c r="B7" s="198">
        <v>0.95833333333333304</v>
      </c>
      <c r="C7" s="199" t="s">
        <v>130</v>
      </c>
      <c r="D7" s="79">
        <v>70619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45138.916666666672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45137.958333333336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45138</v>
      </c>
      <c r="B8" s="198">
        <v>0</v>
      </c>
      <c r="C8" s="199" t="s">
        <v>130</v>
      </c>
      <c r="D8" s="79">
        <v>70619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45137.958333333336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45138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45138.041666666664</v>
      </c>
      <c r="B9" s="198">
        <v>4.1666666666666664E-2</v>
      </c>
      <c r="C9" s="199" t="s">
        <v>130</v>
      </c>
      <c r="D9" s="79">
        <v>70619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45138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45138.041666666664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45138.083333333336</v>
      </c>
      <c r="B10" s="198">
        <v>8.3333333333333329E-2</v>
      </c>
      <c r="C10" s="199" t="s">
        <v>130</v>
      </c>
      <c r="D10" s="79">
        <v>70619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45138.041666666672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45138.083333333336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45138.125</v>
      </c>
      <c r="B11" s="198">
        <v>0.125</v>
      </c>
      <c r="C11" s="199" t="s">
        <v>130</v>
      </c>
      <c r="D11" s="79">
        <v>70619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45138.083333333336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45138.125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45138.166666666664</v>
      </c>
      <c r="B12" s="198">
        <v>0.16666666666666666</v>
      </c>
      <c r="C12" s="199" t="s">
        <v>130</v>
      </c>
      <c r="D12" s="79">
        <v>70619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45138.125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45138.166666666664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45138.208333333336</v>
      </c>
      <c r="B13" s="198">
        <v>0.20833333333333334</v>
      </c>
      <c r="C13" s="199" t="s">
        <v>130</v>
      </c>
      <c r="D13" s="79">
        <v>70619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45138.166666666672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45138.208333333336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45138.25</v>
      </c>
      <c r="B14" s="198">
        <v>0.25</v>
      </c>
      <c r="C14" s="199" t="s">
        <v>130</v>
      </c>
      <c r="D14" s="79">
        <v>70619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45138.208333333336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45138.25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45138.291666666664</v>
      </c>
      <c r="B16" s="198">
        <v>0.29166666666666669</v>
      </c>
      <c r="C16" s="199" t="s">
        <v>130</v>
      </c>
      <c r="D16" s="79">
        <v>70619</v>
      </c>
      <c r="E16" s="80">
        <f>IF(D16&gt;0,D16-D14,"")</f>
        <v>0</v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>
        <v>0.25</v>
      </c>
      <c r="AJ16" s="101"/>
      <c r="AK16" s="102">
        <f t="shared" ref="AK16:AK23" si="15">AO16</f>
        <v>0</v>
      </c>
      <c r="AL16" s="103">
        <f t="shared" ref="AL16:AL23" si="16">IF(AI16&lt;&gt;"",AI16+$B$1,B16+$B$1-1/24)</f>
        <v>45138.25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0</v>
      </c>
      <c r="AP16" s="103">
        <f t="shared" ref="AP16:AP23" si="20">IF(AJ16&lt;&gt;"",AJ16+$B$1,B16+$B$1)</f>
        <v>45138.291666666664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2.425316891763174E-12</v>
      </c>
      <c r="AU16" s="104">
        <f t="shared" ref="AU16:AU23" ca="1" si="24">IF(A16&lt;$AU$1,1/24-AT16,0)</f>
        <v>4.1666666664241347E-2</v>
      </c>
      <c r="AV16" s="239" t="s">
        <v>211</v>
      </c>
    </row>
    <row r="17" spans="1:48" x14ac:dyDescent="0.25">
      <c r="A17" s="96">
        <f t="shared" si="8"/>
        <v>45138.333333333336</v>
      </c>
      <c r="B17" s="198">
        <v>0.33333333333333331</v>
      </c>
      <c r="C17" s="199" t="s">
        <v>130</v>
      </c>
      <c r="D17" s="79">
        <v>70619</v>
      </c>
      <c r="E17" s="80">
        <f>IF(D17&gt;0,D17-D16,"")</f>
        <v>0</v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0</v>
      </c>
      <c r="AL17" s="103">
        <f t="shared" si="16"/>
        <v>45138.291666666672</v>
      </c>
      <c r="AM17" s="102">
        <f t="shared" si="17"/>
        <v>0</v>
      </c>
      <c r="AN17" s="102">
        <f t="shared" si="18"/>
        <v>0</v>
      </c>
      <c r="AO17" s="102">
        <f t="shared" si="19"/>
        <v>0</v>
      </c>
      <c r="AP17" s="103">
        <f t="shared" si="20"/>
        <v>45138.333333333336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4.1666666666666664E-2</v>
      </c>
      <c r="AV17" s="239" t="s">
        <v>212</v>
      </c>
    </row>
    <row r="18" spans="1:48" x14ac:dyDescent="0.25">
      <c r="A18" s="96">
        <f t="shared" si="8"/>
        <v>45138.375</v>
      </c>
      <c r="B18" s="198">
        <v>0.375</v>
      </c>
      <c r="C18" s="199" t="s">
        <v>130</v>
      </c>
      <c r="D18" s="79">
        <v>70619</v>
      </c>
      <c r="E18" s="80">
        <f>IF(D18&gt;0,D18-D17,"")</f>
        <v>0</v>
      </c>
      <c r="F18" s="200">
        <f t="shared" si="9"/>
        <v>200</v>
      </c>
      <c r="G18" s="210">
        <v>29</v>
      </c>
      <c r="H18" s="209">
        <v>40</v>
      </c>
      <c r="I18" s="210">
        <v>15</v>
      </c>
      <c r="J18" s="211">
        <v>20</v>
      </c>
      <c r="K18" s="209" t="s">
        <v>136</v>
      </c>
      <c r="L18" s="209" t="s">
        <v>136</v>
      </c>
      <c r="M18" s="209"/>
      <c r="N18" s="209" t="s">
        <v>213</v>
      </c>
      <c r="O18" s="209" t="s">
        <v>214</v>
      </c>
      <c r="P18" s="79" t="s">
        <v>116</v>
      </c>
      <c r="Q18" s="79">
        <v>20</v>
      </c>
      <c r="R18" s="79" t="s">
        <v>136</v>
      </c>
      <c r="S18" s="209"/>
      <c r="T18" s="85" t="s">
        <v>136</v>
      </c>
      <c r="U18" s="209"/>
      <c r="V18" s="212">
        <v>81</v>
      </c>
      <c r="W18" s="212">
        <v>23</v>
      </c>
      <c r="X18" s="209">
        <v>76</v>
      </c>
      <c r="Y18" s="209">
        <v>80</v>
      </c>
      <c r="Z18" s="209"/>
      <c r="AA18" s="212">
        <v>70</v>
      </c>
      <c r="AB18" s="212">
        <v>7</v>
      </c>
      <c r="AC18" s="213">
        <v>100</v>
      </c>
      <c r="AD18" s="213">
        <v>42</v>
      </c>
      <c r="AE18" s="209" t="s">
        <v>134</v>
      </c>
      <c r="AF18" s="209" t="s">
        <v>135</v>
      </c>
      <c r="AG18" s="209"/>
      <c r="AH18" s="209"/>
      <c r="AI18" s="101"/>
      <c r="AJ18" s="101">
        <v>0.375</v>
      </c>
      <c r="AK18" s="102">
        <f t="shared" si="15"/>
        <v>1</v>
      </c>
      <c r="AL18" s="103">
        <f t="shared" si="16"/>
        <v>45138.333333333336</v>
      </c>
      <c r="AM18" s="102">
        <f t="shared" si="17"/>
        <v>0</v>
      </c>
      <c r="AN18" s="102">
        <f t="shared" si="18"/>
        <v>0</v>
      </c>
      <c r="AO18" s="102">
        <f t="shared" si="19"/>
        <v>1</v>
      </c>
      <c r="AP18" s="103">
        <f t="shared" si="20"/>
        <v>45138.375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4.1666666666666664E-2</v>
      </c>
      <c r="AV18" s="239"/>
    </row>
    <row r="19" spans="1:48" ht="15.75" customHeight="1" x14ac:dyDescent="0.25">
      <c r="A19" s="96">
        <f t="shared" si="8"/>
        <v>45138.416666666664</v>
      </c>
      <c r="B19" s="198">
        <v>0.41666666666666702</v>
      </c>
      <c r="C19" s="199" t="s">
        <v>130</v>
      </c>
      <c r="D19" s="79">
        <v>70759</v>
      </c>
      <c r="E19" s="80">
        <f t="shared" ref="E19:E35" si="26">IF(D19&gt;0,D19-D18,"")</f>
        <v>140</v>
      </c>
      <c r="F19" s="200">
        <f t="shared" si="9"/>
        <v>200</v>
      </c>
      <c r="G19" s="210">
        <v>30</v>
      </c>
      <c r="H19" s="209">
        <v>38</v>
      </c>
      <c r="I19" s="210">
        <v>15</v>
      </c>
      <c r="J19" s="211">
        <v>20</v>
      </c>
      <c r="K19" s="209" t="s">
        <v>136</v>
      </c>
      <c r="L19" s="209" t="s">
        <v>136</v>
      </c>
      <c r="M19" s="209"/>
      <c r="N19" s="209" t="s">
        <v>215</v>
      </c>
      <c r="O19" s="209" t="s">
        <v>216</v>
      </c>
      <c r="P19" s="79" t="s">
        <v>217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90</v>
      </c>
      <c r="W19" s="212">
        <v>10</v>
      </c>
      <c r="X19" s="209">
        <v>67</v>
      </c>
      <c r="Y19" s="209">
        <v>90</v>
      </c>
      <c r="Z19" s="209"/>
      <c r="AA19" s="212">
        <v>70</v>
      </c>
      <c r="AB19" s="212">
        <v>6</v>
      </c>
      <c r="AC19" s="213">
        <v>100</v>
      </c>
      <c r="AD19" s="213">
        <v>31</v>
      </c>
      <c r="AE19" s="209" t="s">
        <v>134</v>
      </c>
      <c r="AF19" s="209" t="s">
        <v>134</v>
      </c>
      <c r="AG19" s="209"/>
      <c r="AH19" s="209"/>
      <c r="AI19" s="101">
        <v>0.44791666666666669</v>
      </c>
      <c r="AJ19" s="101"/>
      <c r="AK19" s="102">
        <f t="shared" si="15"/>
        <v>0</v>
      </c>
      <c r="AL19" s="103">
        <f t="shared" si="16"/>
        <v>45138.447916666664</v>
      </c>
      <c r="AM19" s="102">
        <f t="shared" si="17"/>
        <v>1</v>
      </c>
      <c r="AN19" s="102">
        <f t="shared" si="18"/>
        <v>0</v>
      </c>
      <c r="AO19" s="102">
        <f t="shared" si="19"/>
        <v>0</v>
      </c>
      <c r="AP19" s="103">
        <f t="shared" si="20"/>
        <v>45138.416666666664</v>
      </c>
      <c r="AQ19" s="103">
        <f t="shared" si="21"/>
        <v>7.2916666666666657E-2</v>
      </c>
      <c r="AR19" s="103">
        <f t="shared" si="25"/>
        <v>-3.125E-2</v>
      </c>
      <c r="AS19" s="103">
        <f t="shared" si="22"/>
        <v>0</v>
      </c>
      <c r="AT19" s="103">
        <f t="shared" ca="1" si="23"/>
        <v>7.2916666666666657E-2</v>
      </c>
      <c r="AU19" s="104">
        <f t="shared" ca="1" si="24"/>
        <v>-3.1249999999999993E-2</v>
      </c>
      <c r="AV19" s="239" t="s">
        <v>219</v>
      </c>
    </row>
    <row r="20" spans="1:48" x14ac:dyDescent="0.25">
      <c r="A20" s="96">
        <f t="shared" si="8"/>
        <v>45138.458333333336</v>
      </c>
      <c r="B20" s="198">
        <v>0.45833333333333331</v>
      </c>
      <c r="C20" s="199" t="s">
        <v>130</v>
      </c>
      <c r="D20" s="79">
        <v>70841</v>
      </c>
      <c r="E20" s="80">
        <f t="shared" si="26"/>
        <v>82</v>
      </c>
      <c r="F20" s="200">
        <f t="shared" si="9"/>
        <v>200</v>
      </c>
      <c r="G20" s="210">
        <v>31</v>
      </c>
      <c r="H20" s="209">
        <v>40</v>
      </c>
      <c r="I20" s="210">
        <v>15</v>
      </c>
      <c r="J20" s="211">
        <v>20</v>
      </c>
      <c r="K20" s="209" t="s">
        <v>136</v>
      </c>
      <c r="L20" s="209" t="s">
        <v>136</v>
      </c>
      <c r="M20" s="209"/>
      <c r="N20" s="209" t="s">
        <v>218</v>
      </c>
      <c r="O20" s="209" t="s">
        <v>137</v>
      </c>
      <c r="P20" s="79" t="s">
        <v>171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86</v>
      </c>
      <c r="W20" s="212">
        <v>6</v>
      </c>
      <c r="X20" s="209">
        <v>78</v>
      </c>
      <c r="Y20" s="209">
        <v>80</v>
      </c>
      <c r="Z20" s="209"/>
      <c r="AA20" s="212">
        <v>70</v>
      </c>
      <c r="AB20" s="212">
        <v>5</v>
      </c>
      <c r="AC20" s="213">
        <v>100</v>
      </c>
      <c r="AD20" s="213">
        <v>32</v>
      </c>
      <c r="AE20" s="209" t="s">
        <v>134</v>
      </c>
      <c r="AF20" s="209" t="s">
        <v>135</v>
      </c>
      <c r="AG20" s="209"/>
      <c r="AH20" s="209"/>
      <c r="AI20" s="101"/>
      <c r="AJ20" s="101">
        <v>0.46875</v>
      </c>
      <c r="AK20" s="102">
        <f t="shared" si="15"/>
        <v>1</v>
      </c>
      <c r="AL20" s="103">
        <f t="shared" si="16"/>
        <v>45138.416666666672</v>
      </c>
      <c r="AM20" s="102">
        <f t="shared" si="17"/>
        <v>0</v>
      </c>
      <c r="AN20" s="102">
        <f t="shared" si="18"/>
        <v>0</v>
      </c>
      <c r="AO20" s="102">
        <f t="shared" si="19"/>
        <v>1</v>
      </c>
      <c r="AP20" s="103">
        <f t="shared" si="20"/>
        <v>45138.46875</v>
      </c>
      <c r="AQ20" s="103">
        <f t="shared" si="21"/>
        <v>2.425316891763174E-12</v>
      </c>
      <c r="AR20" s="103">
        <f t="shared" si="25"/>
        <v>5.2083333328482695E-2</v>
      </c>
      <c r="AS20" s="103">
        <f t="shared" si="22"/>
        <v>-1.0416666664241347E-2</v>
      </c>
      <c r="AT20" s="103">
        <f t="shared" ca="1" si="23"/>
        <v>-1.0416666664241347E-2</v>
      </c>
      <c r="AU20" s="104">
        <f t="shared" ca="1" si="24"/>
        <v>5.2083333330908012E-2</v>
      </c>
      <c r="AV20" s="239" t="s">
        <v>220</v>
      </c>
    </row>
    <row r="21" spans="1:48" x14ac:dyDescent="0.25">
      <c r="A21" s="96">
        <f t="shared" si="8"/>
        <v>45138.5</v>
      </c>
      <c r="B21" s="214">
        <v>0.5</v>
      </c>
      <c r="C21" s="199" t="s">
        <v>130</v>
      </c>
      <c r="D21" s="79">
        <v>70942</v>
      </c>
      <c r="E21" s="80">
        <f t="shared" si="26"/>
        <v>101</v>
      </c>
      <c r="F21" s="200">
        <f t="shared" si="9"/>
        <v>200</v>
      </c>
      <c r="G21" s="210">
        <v>32</v>
      </c>
      <c r="H21" s="209">
        <v>40</v>
      </c>
      <c r="I21" s="210">
        <v>15</v>
      </c>
      <c r="J21" s="211">
        <v>20</v>
      </c>
      <c r="K21" s="209" t="s">
        <v>136</v>
      </c>
      <c r="L21" s="209" t="s">
        <v>136</v>
      </c>
      <c r="M21" s="209"/>
      <c r="N21" s="209" t="s">
        <v>137</v>
      </c>
      <c r="O21" s="209" t="s">
        <v>170</v>
      </c>
      <c r="P21" s="79" t="s">
        <v>188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79</v>
      </c>
      <c r="W21" s="212">
        <v>24</v>
      </c>
      <c r="X21" s="209">
        <v>77</v>
      </c>
      <c r="Y21" s="209">
        <v>100</v>
      </c>
      <c r="Z21" s="209"/>
      <c r="AA21" s="212">
        <v>70</v>
      </c>
      <c r="AB21" s="212">
        <v>8</v>
      </c>
      <c r="AC21" s="213">
        <v>100</v>
      </c>
      <c r="AD21" s="213">
        <v>48</v>
      </c>
      <c r="AE21" s="209" t="s">
        <v>134</v>
      </c>
      <c r="AF21" s="209" t="s">
        <v>135</v>
      </c>
      <c r="AG21" s="209"/>
      <c r="AH21" s="209"/>
      <c r="AI21" s="101"/>
      <c r="AJ21" s="101"/>
      <c r="AK21" s="102">
        <f t="shared" si="15"/>
        <v>1</v>
      </c>
      <c r="AL21" s="103">
        <f t="shared" si="16"/>
        <v>45138.458333333336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45138.5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 t="s">
        <v>221</v>
      </c>
    </row>
    <row r="22" spans="1:48" ht="13.5" customHeight="1" x14ac:dyDescent="0.25">
      <c r="A22" s="96">
        <f t="shared" si="8"/>
        <v>45138.541666666664</v>
      </c>
      <c r="B22" s="214">
        <v>0.54166666666666663</v>
      </c>
      <c r="C22" s="199" t="s">
        <v>130</v>
      </c>
      <c r="D22" s="79">
        <v>70983</v>
      </c>
      <c r="E22" s="80">
        <f t="shared" si="26"/>
        <v>41</v>
      </c>
      <c r="F22" s="200">
        <f t="shared" si="9"/>
        <v>200</v>
      </c>
      <c r="G22" s="210">
        <v>30</v>
      </c>
      <c r="H22" s="209">
        <v>39</v>
      </c>
      <c r="I22" s="210">
        <v>15</v>
      </c>
      <c r="J22" s="211">
        <v>20</v>
      </c>
      <c r="K22" s="209" t="s">
        <v>136</v>
      </c>
      <c r="L22" s="209" t="s">
        <v>136</v>
      </c>
      <c r="M22" s="209"/>
      <c r="N22" s="209" t="s">
        <v>182</v>
      </c>
      <c r="O22" s="209" t="s">
        <v>190</v>
      </c>
      <c r="P22" s="79" t="s">
        <v>188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88</v>
      </c>
      <c r="W22" s="212">
        <v>30</v>
      </c>
      <c r="X22" s="209">
        <v>75</v>
      </c>
      <c r="Y22" s="209">
        <v>80</v>
      </c>
      <c r="Z22" s="209"/>
      <c r="AA22" s="212">
        <v>70</v>
      </c>
      <c r="AB22" s="212">
        <v>25</v>
      </c>
      <c r="AC22" s="213">
        <v>100</v>
      </c>
      <c r="AD22" s="213">
        <v>40</v>
      </c>
      <c r="AE22" s="209" t="s">
        <v>134</v>
      </c>
      <c r="AF22" s="209" t="s">
        <v>135</v>
      </c>
      <c r="AG22" s="209"/>
      <c r="AH22" s="209"/>
      <c r="AI22" s="101"/>
      <c r="AJ22" s="101"/>
      <c r="AK22" s="102">
        <f t="shared" si="15"/>
        <v>1</v>
      </c>
      <c r="AL22" s="103">
        <f t="shared" si="16"/>
        <v>45138.5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45138.541666666664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45138.583333333336</v>
      </c>
      <c r="B23" s="215">
        <v>0.58333333333333337</v>
      </c>
      <c r="C23" s="199" t="s">
        <v>130</v>
      </c>
      <c r="D23" s="79">
        <v>71087</v>
      </c>
      <c r="E23" s="80">
        <f t="shared" si="26"/>
        <v>104</v>
      </c>
      <c r="F23" s="200">
        <f t="shared" si="9"/>
        <v>200</v>
      </c>
      <c r="G23" s="210">
        <v>30</v>
      </c>
      <c r="H23" s="209">
        <v>39</v>
      </c>
      <c r="I23" s="210">
        <v>15</v>
      </c>
      <c r="J23" s="211">
        <v>20</v>
      </c>
      <c r="K23" s="209" t="s">
        <v>136</v>
      </c>
      <c r="L23" s="209" t="s">
        <v>136</v>
      </c>
      <c r="M23" s="209"/>
      <c r="N23" s="209">
        <v>38.799999999999997</v>
      </c>
      <c r="O23" s="209">
        <v>40.4</v>
      </c>
      <c r="P23" s="79">
        <v>2.5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88</v>
      </c>
      <c r="W23" s="212">
        <v>30</v>
      </c>
      <c r="X23" s="209">
        <v>75</v>
      </c>
      <c r="Y23" s="209">
        <v>80</v>
      </c>
      <c r="Z23" s="209"/>
      <c r="AA23" s="212">
        <v>70</v>
      </c>
      <c r="AB23" s="212">
        <v>25</v>
      </c>
      <c r="AC23" s="213">
        <v>100</v>
      </c>
      <c r="AD23" s="213">
        <v>40</v>
      </c>
      <c r="AE23" s="209" t="s">
        <v>135</v>
      </c>
      <c r="AF23" s="209" t="s">
        <v>222</v>
      </c>
      <c r="AG23" s="209"/>
      <c r="AH23" s="209"/>
      <c r="AI23" s="101">
        <v>0.58333333333333337</v>
      </c>
      <c r="AJ23" s="101"/>
      <c r="AK23" s="102">
        <f t="shared" si="15"/>
        <v>0</v>
      </c>
      <c r="AL23" s="103">
        <f t="shared" si="16"/>
        <v>45138.583333333336</v>
      </c>
      <c r="AM23" s="102">
        <f t="shared" si="17"/>
        <v>1</v>
      </c>
      <c r="AN23" s="102">
        <f t="shared" si="18"/>
        <v>0</v>
      </c>
      <c r="AO23" s="102">
        <f t="shared" si="19"/>
        <v>0</v>
      </c>
      <c r="AP23" s="103">
        <f t="shared" si="20"/>
        <v>45138.583333333336</v>
      </c>
      <c r="AQ23" s="103">
        <f t="shared" si="21"/>
        <v>4.1666666666666664E-2</v>
      </c>
      <c r="AR23" s="103">
        <f t="shared" si="25"/>
        <v>0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 t="s">
        <v>223</v>
      </c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468</v>
      </c>
      <c r="E24" s="121">
        <f ca="1">IFERROR(D24/24/AT24,"")</f>
        <v>103.99999999730954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0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0.18750000000485059</v>
      </c>
      <c r="AU24" s="143">
        <f ca="1">SUM(AU16:AU23)</f>
        <v>0.14583333332848267</v>
      </c>
      <c r="AV24" s="239"/>
    </row>
    <row r="25" spans="1:48" ht="13.15" customHeight="1" thickTop="1" x14ac:dyDescent="0.25">
      <c r="A25" s="96">
        <f t="shared" ref="A25:A32" si="28">B25+$B$1</f>
        <v>45138.625</v>
      </c>
      <c r="B25" s="198">
        <v>0.625</v>
      </c>
      <c r="C25" s="199" t="s">
        <v>130</v>
      </c>
      <c r="D25" s="79">
        <v>71124</v>
      </c>
      <c r="E25" s="80">
        <f>IF(D25&gt;0,D25-D23,"")</f>
        <v>37</v>
      </c>
      <c r="F25" s="200">
        <f t="shared" si="9"/>
        <v>200</v>
      </c>
      <c r="G25" s="210">
        <v>31</v>
      </c>
      <c r="H25" s="210">
        <v>40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32.1</v>
      </c>
      <c r="O25" s="209">
        <v>37.700000000000003</v>
      </c>
      <c r="P25" s="209">
        <v>2.2000000000000002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84</v>
      </c>
      <c r="W25" s="212">
        <v>6</v>
      </c>
      <c r="X25" s="212">
        <v>60</v>
      </c>
      <c r="Y25" s="209">
        <v>100</v>
      </c>
      <c r="Z25" s="209"/>
      <c r="AA25" s="209">
        <v>80</v>
      </c>
      <c r="AB25" s="212">
        <v>23</v>
      </c>
      <c r="AC25" s="209">
        <v>100</v>
      </c>
      <c r="AD25" s="213">
        <v>41</v>
      </c>
      <c r="AE25" s="209" t="s">
        <v>134</v>
      </c>
      <c r="AF25" s="209" t="s">
        <v>134</v>
      </c>
      <c r="AG25" s="209"/>
      <c r="AH25" s="209"/>
      <c r="AI25" s="134"/>
      <c r="AJ25" s="134">
        <v>0.62638888888888888</v>
      </c>
      <c r="AK25" s="102">
        <f t="shared" ref="AK25:AK32" si="29">AO25</f>
        <v>1</v>
      </c>
      <c r="AL25" s="103">
        <f t="shared" ref="AL25:AL32" si="30">IF(AI25&lt;&gt;"",AI25+$B$1,B25+$B$1-1/24)</f>
        <v>45138.583333333336</v>
      </c>
      <c r="AM25" s="102">
        <f t="shared" ref="AM25:AM32" si="31">AK24</f>
        <v>0</v>
      </c>
      <c r="AN25" s="102">
        <f t="shared" ref="AN25:AN32" si="32">IF(AI25="",AM25,0)</f>
        <v>0</v>
      </c>
      <c r="AO25" s="102">
        <f t="shared" ref="AO25:AO32" si="33">IF(AJ25&lt;&gt;"",1,AN25)</f>
        <v>1</v>
      </c>
      <c r="AP25" s="103">
        <f>IF(AJ23&lt;&gt;"",AJ23+$B$1,B25+$B$1)</f>
        <v>45138.625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ca="1">IF(A25&lt;$AU$1,1/23-AT25,0)</f>
        <v>4.3478260869565216E-2</v>
      </c>
      <c r="AV25" s="239"/>
    </row>
    <row r="26" spans="1:48" x14ac:dyDescent="0.25">
      <c r="A26" s="96">
        <f t="shared" si="28"/>
        <v>45138.666666666664</v>
      </c>
      <c r="B26" s="198">
        <v>0.66666666666666663</v>
      </c>
      <c r="C26" s="199" t="s">
        <v>130</v>
      </c>
      <c r="D26" s="79">
        <v>71305</v>
      </c>
      <c r="E26" s="80">
        <f t="shared" si="26"/>
        <v>181</v>
      </c>
      <c r="F26" s="200">
        <f t="shared" si="9"/>
        <v>200</v>
      </c>
      <c r="G26" s="210">
        <v>31</v>
      </c>
      <c r="H26" s="210">
        <v>39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39.299999999999997</v>
      </c>
      <c r="O26" s="209">
        <v>40.700000000000003</v>
      </c>
      <c r="P26" s="209">
        <v>2.4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85</v>
      </c>
      <c r="W26" s="212">
        <v>16</v>
      </c>
      <c r="X26" s="212">
        <v>79</v>
      </c>
      <c r="Y26" s="209">
        <v>50</v>
      </c>
      <c r="Z26" s="209"/>
      <c r="AA26" s="209">
        <v>70</v>
      </c>
      <c r="AB26" s="212">
        <v>8</v>
      </c>
      <c r="AC26" s="209">
        <v>100</v>
      </c>
      <c r="AD26" s="213">
        <v>37</v>
      </c>
      <c r="AE26" s="209" t="s">
        <v>134</v>
      </c>
      <c r="AF26" s="209" t="s">
        <v>135</v>
      </c>
      <c r="AG26" s="209"/>
      <c r="AH26" s="209"/>
      <c r="AI26" s="134">
        <v>0.6743055555555556</v>
      </c>
      <c r="AJ26" s="145">
        <v>0.68125000000000002</v>
      </c>
      <c r="AK26" s="102">
        <f t="shared" si="29"/>
        <v>1</v>
      </c>
      <c r="AL26" s="103">
        <f t="shared" si="30"/>
        <v>45138.674305555556</v>
      </c>
      <c r="AM26" s="102">
        <f t="shared" si="31"/>
        <v>1</v>
      </c>
      <c r="AN26" s="102">
        <f t="shared" si="32"/>
        <v>0</v>
      </c>
      <c r="AO26" s="102">
        <f t="shared" si="33"/>
        <v>1</v>
      </c>
      <c r="AP26" s="103">
        <f t="shared" ref="AP26:AP32" si="38">IF(AJ25&lt;&gt;"",AJ25+$B$1,B26+$B$1)</f>
        <v>45138.626388888886</v>
      </c>
      <c r="AQ26" s="103">
        <f t="shared" si="34"/>
        <v>4.9305555558627624E-2</v>
      </c>
      <c r="AR26" s="103">
        <f t="shared" si="35"/>
        <v>-4.7916666670062114E-2</v>
      </c>
      <c r="AS26" s="103">
        <f t="shared" si="36"/>
        <v>4.0277777778101154E-2</v>
      </c>
      <c r="AT26" s="103">
        <f t="shared" ca="1" si="37"/>
        <v>8.9583333336728771E-2</v>
      </c>
      <c r="AU26" s="104">
        <f t="shared" ref="AU26:AU32" ca="1" si="39">IF(A26&lt;$AU$1,1/24-AT26,0)</f>
        <v>-4.7916666670062107E-2</v>
      </c>
      <c r="AV26" s="239" t="s">
        <v>226</v>
      </c>
    </row>
    <row r="27" spans="1:48" x14ac:dyDescent="0.25">
      <c r="A27" s="96">
        <f t="shared" si="28"/>
        <v>45138.708333333336</v>
      </c>
      <c r="B27" s="198">
        <v>0.70833333333333337</v>
      </c>
      <c r="C27" s="199" t="s">
        <v>130</v>
      </c>
      <c r="D27" s="79">
        <v>71443</v>
      </c>
      <c r="E27" s="80">
        <f t="shared" si="26"/>
        <v>138</v>
      </c>
      <c r="F27" s="200">
        <f t="shared" si="9"/>
        <v>200</v>
      </c>
      <c r="G27" s="210">
        <v>31</v>
      </c>
      <c r="H27" s="210">
        <v>39</v>
      </c>
      <c r="I27" s="209">
        <v>15</v>
      </c>
      <c r="J27" s="211">
        <v>20</v>
      </c>
      <c r="K27" s="211" t="s">
        <v>136</v>
      </c>
      <c r="L27" s="209" t="s">
        <v>136</v>
      </c>
      <c r="M27" s="209"/>
      <c r="N27" s="209">
        <v>38.799999999999997</v>
      </c>
      <c r="O27" s="209">
        <v>40.1</v>
      </c>
      <c r="P27" s="209">
        <v>2.4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84</v>
      </c>
      <c r="W27" s="212">
        <v>22</v>
      </c>
      <c r="X27" s="212">
        <v>72</v>
      </c>
      <c r="Y27" s="209">
        <v>50</v>
      </c>
      <c r="Z27" s="209"/>
      <c r="AA27" s="209">
        <v>80</v>
      </c>
      <c r="AB27" s="212">
        <v>23</v>
      </c>
      <c r="AC27" s="209">
        <v>100</v>
      </c>
      <c r="AD27" s="213">
        <v>40</v>
      </c>
      <c r="AE27" s="209" t="s">
        <v>224</v>
      </c>
      <c r="AF27" s="209" t="s">
        <v>134</v>
      </c>
      <c r="AG27" s="209"/>
      <c r="AH27" s="209"/>
      <c r="AI27" s="134">
        <v>0.72569444444444453</v>
      </c>
      <c r="AJ27" s="145">
        <v>0.73611111111111116</v>
      </c>
      <c r="AK27" s="102">
        <f t="shared" si="29"/>
        <v>1</v>
      </c>
      <c r="AL27" s="103">
        <f t="shared" si="30"/>
        <v>45138.725694444445</v>
      </c>
      <c r="AM27" s="102">
        <f t="shared" si="31"/>
        <v>1</v>
      </c>
      <c r="AN27" s="102">
        <f t="shared" si="32"/>
        <v>0</v>
      </c>
      <c r="AO27" s="102">
        <f t="shared" si="33"/>
        <v>1</v>
      </c>
      <c r="AP27" s="103">
        <f t="shared" si="38"/>
        <v>45138.681250000001</v>
      </c>
      <c r="AQ27" s="103">
        <f t="shared" si="34"/>
        <v>5.9027777776160896E-2</v>
      </c>
      <c r="AR27" s="103">
        <f t="shared" si="35"/>
        <v>-4.4444444443797693E-2</v>
      </c>
      <c r="AS27" s="103">
        <f t="shared" si="36"/>
        <v>2.7083333334303461E-2</v>
      </c>
      <c r="AT27" s="103">
        <f t="shared" ca="1" si="37"/>
        <v>8.611111111046435E-2</v>
      </c>
      <c r="AU27" s="104">
        <f t="shared" ca="1" si="39"/>
        <v>-4.4444444443797686E-2</v>
      </c>
      <c r="AV27" s="239" t="s">
        <v>225</v>
      </c>
    </row>
    <row r="28" spans="1:48" ht="14.25" customHeight="1" x14ac:dyDescent="0.25">
      <c r="A28" s="96">
        <f t="shared" si="28"/>
        <v>45138.75</v>
      </c>
      <c r="B28" s="198">
        <v>0.75</v>
      </c>
      <c r="C28" s="199" t="s">
        <v>130</v>
      </c>
      <c r="D28" s="79">
        <v>71562</v>
      </c>
      <c r="E28" s="80">
        <f>IF(D28&gt;0,D28-D27,"")</f>
        <v>119</v>
      </c>
      <c r="F28" s="200">
        <f t="shared" si="9"/>
        <v>200</v>
      </c>
      <c r="G28" s="210">
        <v>31</v>
      </c>
      <c r="H28" s="210">
        <v>40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>
        <v>37.700000000000003</v>
      </c>
      <c r="O28" s="209">
        <v>39.700000000000003</v>
      </c>
      <c r="P28" s="209">
        <v>2.4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82</v>
      </c>
      <c r="W28" s="212">
        <v>18</v>
      </c>
      <c r="X28" s="212">
        <v>87</v>
      </c>
      <c r="Y28" s="209">
        <v>100</v>
      </c>
      <c r="Z28" s="209"/>
      <c r="AA28" s="209">
        <v>60</v>
      </c>
      <c r="AB28" s="212">
        <v>8</v>
      </c>
      <c r="AC28" s="212">
        <v>100</v>
      </c>
      <c r="AD28" s="213">
        <v>40</v>
      </c>
      <c r="AE28" s="209" t="s">
        <v>134</v>
      </c>
      <c r="AF28" s="209" t="s">
        <v>176</v>
      </c>
      <c r="AG28" s="209"/>
      <c r="AH28" s="209"/>
      <c r="AI28" s="101">
        <v>0.77083333333333337</v>
      </c>
      <c r="AJ28" s="101">
        <v>0.78125</v>
      </c>
      <c r="AK28" s="102">
        <f t="shared" si="29"/>
        <v>1</v>
      </c>
      <c r="AL28" s="103">
        <f t="shared" si="30"/>
        <v>45138.770833333336</v>
      </c>
      <c r="AM28" s="102">
        <f t="shared" si="31"/>
        <v>1</v>
      </c>
      <c r="AN28" s="102">
        <f t="shared" si="32"/>
        <v>0</v>
      </c>
      <c r="AO28" s="102">
        <f t="shared" si="33"/>
        <v>1</v>
      </c>
      <c r="AP28" s="103">
        <f t="shared" si="38"/>
        <v>45138.736111111109</v>
      </c>
      <c r="AQ28" s="103">
        <f t="shared" si="34"/>
        <v>6.250000000242531E-2</v>
      </c>
      <c r="AR28" s="103">
        <f t="shared" si="35"/>
        <v>-3.4722222226264421E-2</v>
      </c>
      <c r="AS28" s="103">
        <f t="shared" si="36"/>
        <v>1.3888888890505768E-2</v>
      </c>
      <c r="AT28" s="103">
        <f t="shared" ca="1" si="37"/>
        <v>7.6388888892931078E-2</v>
      </c>
      <c r="AU28" s="104">
        <f t="shared" ca="1" si="39"/>
        <v>-3.4722222226264414E-2</v>
      </c>
      <c r="AV28" s="239" t="s">
        <v>227</v>
      </c>
    </row>
    <row r="29" spans="1:48" ht="15" customHeight="1" x14ac:dyDescent="0.25">
      <c r="A29" s="96">
        <f t="shared" si="28"/>
        <v>45138.791666666664</v>
      </c>
      <c r="B29" s="198">
        <v>0.79166666666666663</v>
      </c>
      <c r="C29" s="199" t="s">
        <v>130</v>
      </c>
      <c r="D29" s="79">
        <v>71665</v>
      </c>
      <c r="E29" s="80">
        <f t="shared" si="26"/>
        <v>103</v>
      </c>
      <c r="F29" s="200">
        <f t="shared" si="9"/>
        <v>200</v>
      </c>
      <c r="G29" s="210">
        <v>32</v>
      </c>
      <c r="H29" s="210">
        <v>38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>
        <v>39.700000000000003</v>
      </c>
      <c r="O29" s="209">
        <v>41</v>
      </c>
      <c r="P29" s="209">
        <v>2.2000000000000002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80</v>
      </c>
      <c r="W29" s="212">
        <v>13</v>
      </c>
      <c r="X29" s="212">
        <v>77</v>
      </c>
      <c r="Y29" s="209">
        <v>100</v>
      </c>
      <c r="Z29" s="209"/>
      <c r="AA29" s="209">
        <v>60</v>
      </c>
      <c r="AB29" s="212">
        <v>20</v>
      </c>
      <c r="AC29" s="212">
        <v>100</v>
      </c>
      <c r="AD29" s="213">
        <v>45</v>
      </c>
      <c r="AE29" s="209" t="s">
        <v>134</v>
      </c>
      <c r="AF29" s="209" t="s">
        <v>134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45138.75</v>
      </c>
      <c r="AM29" s="102">
        <f t="shared" si="31"/>
        <v>1</v>
      </c>
      <c r="AN29" s="102">
        <f t="shared" si="32"/>
        <v>1</v>
      </c>
      <c r="AO29" s="102">
        <f>IF(AJ29&lt;&gt;"",1,AN29)</f>
        <v>1</v>
      </c>
      <c r="AP29" s="103">
        <f t="shared" si="38"/>
        <v>45138.78125</v>
      </c>
      <c r="AQ29" s="103">
        <f t="shared" si="34"/>
        <v>2.425316891763174E-12</v>
      </c>
      <c r="AR29" s="103">
        <f t="shared" si="35"/>
        <v>3.125E-2</v>
      </c>
      <c r="AS29" s="103">
        <f t="shared" si="36"/>
        <v>1.0416666664241347E-2</v>
      </c>
      <c r="AT29" s="103">
        <f t="shared" ca="1" si="37"/>
        <v>4.1666666666666664E-2</v>
      </c>
      <c r="AU29" s="104">
        <f t="shared" ca="1" si="39"/>
        <v>0</v>
      </c>
      <c r="AV29" s="239"/>
    </row>
    <row r="30" spans="1:48" x14ac:dyDescent="0.25">
      <c r="A30" s="96">
        <f t="shared" si="28"/>
        <v>45138.833333333336</v>
      </c>
      <c r="B30" s="198">
        <v>0.83333333333333337</v>
      </c>
      <c r="C30" s="199" t="s">
        <v>130</v>
      </c>
      <c r="D30" s="79">
        <v>71709</v>
      </c>
      <c r="E30" s="80">
        <f t="shared" si="26"/>
        <v>44</v>
      </c>
      <c r="F30" s="200">
        <f t="shared" si="9"/>
        <v>200</v>
      </c>
      <c r="G30" s="210">
        <v>31</v>
      </c>
      <c r="H30" s="210">
        <v>40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>
        <v>39.700000000000003</v>
      </c>
      <c r="O30" s="209">
        <v>39.9</v>
      </c>
      <c r="P30" s="209">
        <v>2.1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80</v>
      </c>
      <c r="W30" s="212">
        <v>2</v>
      </c>
      <c r="X30" s="212">
        <v>80</v>
      </c>
      <c r="Y30" s="209">
        <v>100</v>
      </c>
      <c r="Z30" s="209"/>
      <c r="AA30" s="209">
        <v>60</v>
      </c>
      <c r="AB30" s="212">
        <v>5</v>
      </c>
      <c r="AC30" s="212">
        <v>100</v>
      </c>
      <c r="AD30" s="213">
        <v>50</v>
      </c>
      <c r="AE30" s="209" t="s">
        <v>134</v>
      </c>
      <c r="AF30" s="209" t="s">
        <v>134</v>
      </c>
      <c r="AG30" s="209"/>
      <c r="AH30" s="209"/>
      <c r="AI30" s="101">
        <v>0.83333333333333337</v>
      </c>
      <c r="AJ30" s="101"/>
      <c r="AK30" s="102">
        <f t="shared" si="29"/>
        <v>0</v>
      </c>
      <c r="AL30" s="103">
        <f t="shared" si="30"/>
        <v>45138.833333333336</v>
      </c>
      <c r="AM30" s="102">
        <f t="shared" si="31"/>
        <v>1</v>
      </c>
      <c r="AN30" s="102">
        <f t="shared" si="32"/>
        <v>0</v>
      </c>
      <c r="AO30" s="102">
        <f>IF(AJ30&lt;&gt;"",1,AN30)</f>
        <v>0</v>
      </c>
      <c r="AP30" s="103">
        <f>IF(AJ29&lt;&gt;"",AJ29+$B$1,B30+$B$1)</f>
        <v>45138.833333333336</v>
      </c>
      <c r="AQ30" s="103">
        <f t="shared" si="34"/>
        <v>4.1666666666666664E-2</v>
      </c>
      <c r="AR30" s="103">
        <f t="shared" si="35"/>
        <v>0</v>
      </c>
      <c r="AS30" s="103">
        <f t="shared" si="36"/>
        <v>0</v>
      </c>
      <c r="AT30" s="103">
        <f t="shared" ca="1" si="37"/>
        <v>4.1666666666666664E-2</v>
      </c>
      <c r="AU30" s="104">
        <f t="shared" ca="1" si="39"/>
        <v>0</v>
      </c>
      <c r="AV30" s="239" t="s">
        <v>229</v>
      </c>
    </row>
    <row r="31" spans="1:48" ht="14.25" customHeight="1" x14ac:dyDescent="0.25">
      <c r="A31" s="96">
        <f t="shared" si="28"/>
        <v>45138.875</v>
      </c>
      <c r="B31" s="198">
        <v>0.875</v>
      </c>
      <c r="C31" s="199" t="s">
        <v>130</v>
      </c>
      <c r="D31" s="79"/>
      <c r="E31" s="80" t="str">
        <f>IF(D31&gt;0,D31-D30,"")</f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0</v>
      </c>
      <c r="AL31" s="103">
        <f t="shared" si="30"/>
        <v>45138.833333333336</v>
      </c>
      <c r="AM31" s="102">
        <f t="shared" si="31"/>
        <v>0</v>
      </c>
      <c r="AN31" s="102">
        <f t="shared" si="32"/>
        <v>0</v>
      </c>
      <c r="AO31" s="102">
        <f t="shared" si="33"/>
        <v>0</v>
      </c>
      <c r="AP31" s="103">
        <f>IF(AJ30&lt;&gt;"",AJ30+$B$1,B31+$B$1)</f>
        <v>45138.875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9"/>
        <v>4.1666666666666664E-2</v>
      </c>
      <c r="AV31" s="239" t="s">
        <v>228</v>
      </c>
    </row>
    <row r="32" spans="1:48" x14ac:dyDescent="0.25">
      <c r="A32" s="96">
        <f t="shared" si="28"/>
        <v>45138.916666666664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>
        <v>0.91666666666666663</v>
      </c>
      <c r="AJ32" s="101"/>
      <c r="AK32" s="102">
        <f t="shared" si="29"/>
        <v>0</v>
      </c>
      <c r="AL32" s="103">
        <f t="shared" si="30"/>
        <v>45138.916666666664</v>
      </c>
      <c r="AM32" s="102">
        <f t="shared" si="31"/>
        <v>0</v>
      </c>
      <c r="AN32" s="102">
        <f t="shared" si="32"/>
        <v>0</v>
      </c>
      <c r="AO32" s="102">
        <f t="shared" si="33"/>
        <v>0</v>
      </c>
      <c r="AP32" s="103">
        <f t="shared" si="38"/>
        <v>45138.916666666664</v>
      </c>
      <c r="AQ32" s="103">
        <f t="shared" si="34"/>
        <v>4.1666666666666664E-2</v>
      </c>
      <c r="AR32" s="103">
        <f t="shared" si="35"/>
        <v>0</v>
      </c>
      <c r="AS32" s="103">
        <f t="shared" si="36"/>
        <v>0</v>
      </c>
      <c r="AT32" s="103">
        <f t="shared" ca="1" si="37"/>
        <v>0</v>
      </c>
      <c r="AU32" s="104">
        <f t="shared" ca="1" si="39"/>
        <v>4.1666666666666664E-2</v>
      </c>
      <c r="AV32" s="239" t="s">
        <v>228</v>
      </c>
    </row>
    <row r="33" spans="1:48" ht="13.5" thickBot="1" x14ac:dyDescent="0.3">
      <c r="A33" s="96"/>
      <c r="B33" s="7" t="s">
        <v>60</v>
      </c>
      <c r="C33" s="7"/>
      <c r="D33" s="7">
        <f>IF(D32=0,SUM(E25:E32),D32-D23)</f>
        <v>622</v>
      </c>
      <c r="E33" s="121">
        <f ca="1">IFERROR(D33/24/AT33,"")</f>
        <v>77.267080743777257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0.3354166666734576</v>
      </c>
      <c r="AU33" s="143">
        <f ca="1">SUM(AU25:AU32)</f>
        <v>-2.7173913722565446E-4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1090</v>
      </c>
      <c r="E35" s="80">
        <f t="shared" si="26"/>
        <v>1090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0.85625000001164153</v>
      </c>
      <c r="AU35" s="162">
        <f ca="1">+AU33+AU24+AU15</f>
        <v>0.14556159419125694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45138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468</v>
      </c>
      <c r="J40" s="171">
        <f>D33</f>
        <v>622</v>
      </c>
      <c r="K40" s="79">
        <f>D35</f>
        <v>1090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0.18750000000485059</v>
      </c>
      <c r="J41" s="235">
        <f ca="1">AT33</f>
        <v>0.3354166666734576</v>
      </c>
      <c r="K41" s="235">
        <f ca="1">IF(SUM(H41:J41)=1,"24 h",SUM(H41:J41))</f>
        <v>0.85625000001164164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103.99999999730954</v>
      </c>
      <c r="J42" s="171">
        <f ca="1">E33</f>
        <v>77.267080743777257</v>
      </c>
      <c r="K42" s="171">
        <f>E35</f>
        <v>1090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70619</v>
      </c>
      <c r="H46" s="79">
        <f>+D32</f>
        <v>0</v>
      </c>
      <c r="I46" s="79">
        <f>+D35</f>
        <v>1090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0.85625000001164153</v>
      </c>
      <c r="N46" s="79">
        <f>+L46*24</f>
        <v>16</v>
      </c>
      <c r="O46" s="238">
        <f ca="1">+AU35</f>
        <v>0.14556159419125694</v>
      </c>
      <c r="P46" s="79">
        <v>160</v>
      </c>
      <c r="Q46" s="111">
        <f ca="1">+I46/M46/24</f>
        <v>53.041362529692471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70619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70619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70619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70619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70619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70619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70619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70619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70619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4.1666666664241347E-2</v>
      </c>
      <c r="M56" s="175" t="str">
        <f t="shared" si="48"/>
        <v>Doing  Caucus ,preparing for plant to start-up  and waiting for material . No feed for crusher plant</v>
      </c>
    </row>
    <row r="57" spans="6:13" ht="12.75" hidden="1" customHeight="1" x14ac:dyDescent="0.25">
      <c r="F57" s="1">
        <v>10</v>
      </c>
      <c r="G57" s="79">
        <f t="shared" si="45"/>
        <v>70619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4.1666666666666664E-2</v>
      </c>
      <c r="M57" s="175" t="str">
        <f t="shared" si="48"/>
        <v>09:02&gt; Plant start -up</v>
      </c>
    </row>
    <row r="58" spans="6:13" ht="12.75" hidden="1" customHeight="1" x14ac:dyDescent="0.25">
      <c r="F58" s="1">
        <v>11</v>
      </c>
      <c r="G58" s="79">
        <f t="shared" si="45"/>
        <v>70619</v>
      </c>
      <c r="H58" s="79" t="e">
        <f>#REF!</f>
        <v>#REF!</v>
      </c>
      <c r="I58" s="79" t="str">
        <f t="shared" si="46"/>
        <v>31.5</v>
      </c>
      <c r="J58" s="111" t="str">
        <f t="shared" si="47"/>
        <v>Clean</v>
      </c>
      <c r="K58" s="111" t="str">
        <f t="shared" si="47"/>
        <v>build-up</v>
      </c>
      <c r="L58" s="162">
        <f t="shared" ca="1" si="48"/>
        <v>4.1666666666666664E-2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70759</v>
      </c>
      <c r="H59" s="79" t="e">
        <f>#REF!</f>
        <v>#REF!</v>
      </c>
      <c r="I59" s="79" t="str">
        <f t="shared" si="46"/>
        <v>40.8</v>
      </c>
      <c r="J59" s="111" t="str">
        <f t="shared" si="47"/>
        <v>Clean</v>
      </c>
      <c r="K59" s="111" t="str">
        <f t="shared" si="47"/>
        <v>Clean</v>
      </c>
      <c r="L59" s="162">
        <f t="shared" ca="1" si="48"/>
        <v>-3.1249999999999993E-2</v>
      </c>
      <c r="M59" s="175" t="str">
        <f t="shared" si="48"/>
        <v>Stop plant feeder FEO1 due to conveyor no 2 chute block of big rock</v>
      </c>
    </row>
    <row r="60" spans="6:13" ht="12.75" hidden="1" customHeight="1" x14ac:dyDescent="0.25">
      <c r="F60" s="1">
        <v>13</v>
      </c>
      <c r="G60" s="79">
        <f t="shared" si="45"/>
        <v>70841</v>
      </c>
      <c r="H60" s="79" t="e">
        <f>#REF!</f>
        <v>#REF!</v>
      </c>
      <c r="I60" s="79" t="str">
        <f t="shared" si="46"/>
        <v>38.8</v>
      </c>
      <c r="J60" s="111" t="str">
        <f t="shared" si="47"/>
        <v>Clean</v>
      </c>
      <c r="K60" s="111" t="str">
        <f t="shared" si="47"/>
        <v>build-up</v>
      </c>
      <c r="L60" s="162">
        <f t="shared" ca="1" si="48"/>
        <v>5.2083333330908012E-2</v>
      </c>
      <c r="M60" s="175" t="str">
        <f t="shared" si="48"/>
        <v>FEO1 start stop due to big rock block</v>
      </c>
    </row>
    <row r="61" spans="6:13" ht="12.75" hidden="1" customHeight="1" x14ac:dyDescent="0.25">
      <c r="F61" s="1">
        <v>14</v>
      </c>
      <c r="G61" s="79">
        <f t="shared" si="45"/>
        <v>70942</v>
      </c>
      <c r="H61" s="79" t="e">
        <f>#REF!</f>
        <v>#REF!</v>
      </c>
      <c r="I61" s="79" t="str">
        <f t="shared" si="46"/>
        <v>38.9</v>
      </c>
      <c r="J61" s="111" t="str">
        <f t="shared" si="47"/>
        <v>Clean</v>
      </c>
      <c r="K61" s="111" t="str">
        <f t="shared" si="47"/>
        <v>build-up</v>
      </c>
      <c r="L61" s="162">
        <f t="shared" ca="1" si="48"/>
        <v>0</v>
      </c>
      <c r="M61" s="175" t="str">
        <f t="shared" si="48"/>
        <v>12:00=13:00&gt;Struggling with big rocks at FEO1 and build -up at FEO3</v>
      </c>
    </row>
    <row r="62" spans="6:13" ht="12.75" hidden="1" customHeight="1" x14ac:dyDescent="0.25">
      <c r="F62" s="1">
        <v>15</v>
      </c>
      <c r="G62" s="79">
        <f t="shared" si="45"/>
        <v>70983</v>
      </c>
      <c r="H62" s="79" t="e">
        <f>#REF!</f>
        <v>#REF!</v>
      </c>
      <c r="I62" s="79" t="str">
        <f t="shared" si="46"/>
        <v>40.4</v>
      </c>
      <c r="J62" s="111" t="str">
        <f t="shared" si="47"/>
        <v>Clean</v>
      </c>
      <c r="K62" s="111" t="str">
        <f t="shared" si="47"/>
        <v>build-up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71087</v>
      </c>
      <c r="H63" s="79" t="e">
        <f>#REF!</f>
        <v>#REF!</v>
      </c>
      <c r="I63" s="79">
        <f t="shared" si="46"/>
        <v>40.4</v>
      </c>
      <c r="J63" s="111" t="str">
        <f t="shared" si="47"/>
        <v>build-up</v>
      </c>
      <c r="K63" s="111" t="str">
        <f t="shared" si="47"/>
        <v>buil-up</v>
      </c>
      <c r="L63" s="162">
        <f t="shared" ca="1" si="48"/>
        <v>0</v>
      </c>
      <c r="M63" s="175" t="str">
        <f t="shared" si="48"/>
        <v>14:13-15:02 Telehandler is cleaning the feedbin build up,cleaning build-up on FE2&amp;FE03</v>
      </c>
    </row>
    <row r="64" spans="6:13" ht="12.75" hidden="1" customHeight="1" x14ac:dyDescent="0.25">
      <c r="F64" s="1">
        <v>17</v>
      </c>
      <c r="G64" s="79">
        <f t="shared" ref="G64:G71" si="49">D25</f>
        <v>71124</v>
      </c>
      <c r="H64" s="79" t="e">
        <f>#REF!</f>
        <v>#REF!</v>
      </c>
      <c r="I64" s="79">
        <f t="shared" ref="I64:I71" si="50">O25</f>
        <v>37.700000000000003</v>
      </c>
      <c r="J64" s="111" t="str">
        <f t="shared" ref="J64:K71" si="51">AE25</f>
        <v>Clean</v>
      </c>
      <c r="K64" s="111" t="str">
        <f t="shared" si="51"/>
        <v>Clean</v>
      </c>
      <c r="L64" s="162">
        <f t="shared" ref="L64:M71" ca="1" si="52">AU25</f>
        <v>4.3478260869565216E-2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71305</v>
      </c>
      <c r="H65" s="79" t="e">
        <f>#REF!</f>
        <v>#REF!</v>
      </c>
      <c r="I65" s="79">
        <f t="shared" si="50"/>
        <v>40.700000000000003</v>
      </c>
      <c r="J65" s="111" t="str">
        <f t="shared" si="51"/>
        <v>Clean</v>
      </c>
      <c r="K65" s="111" t="str">
        <f t="shared" si="51"/>
        <v>build-up</v>
      </c>
      <c r="L65" s="162">
        <f t="shared" ca="1" si="52"/>
        <v>-4.7916666670062107E-2</v>
      </c>
      <c r="M65" s="175" t="str">
        <f t="shared" si="52"/>
        <v>16:12-16:21Cleaning build up on FE01</v>
      </c>
    </row>
    <row r="66" spans="6:13" ht="12.75" hidden="1" customHeight="1" x14ac:dyDescent="0.25">
      <c r="F66" s="1">
        <v>19</v>
      </c>
      <c r="G66" s="79">
        <f t="shared" si="49"/>
        <v>71443</v>
      </c>
      <c r="H66" s="79" t="e">
        <f>#REF!</f>
        <v>#REF!</v>
      </c>
      <c r="I66" s="79">
        <f t="shared" si="50"/>
        <v>40.1</v>
      </c>
      <c r="J66" s="111" t="str">
        <f t="shared" si="51"/>
        <v>Build-up</v>
      </c>
      <c r="K66" s="111" t="str">
        <f t="shared" si="51"/>
        <v>Clean</v>
      </c>
      <c r="L66" s="162">
        <f t="shared" ca="1" si="52"/>
        <v>-4.4444444443797686E-2</v>
      </c>
      <c r="M66" s="175" t="str">
        <f t="shared" si="52"/>
        <v>17:25-17:40Stopped FE01,Cleaning build up on FE02</v>
      </c>
    </row>
    <row r="67" spans="6:13" ht="12.75" hidden="1" customHeight="1" x14ac:dyDescent="0.25">
      <c r="F67" s="1">
        <v>20</v>
      </c>
      <c r="G67" s="79">
        <f t="shared" si="49"/>
        <v>71562</v>
      </c>
      <c r="H67" s="79" t="e">
        <f>#REF!</f>
        <v>#REF!</v>
      </c>
      <c r="I67" s="79">
        <f t="shared" si="50"/>
        <v>39.700000000000003</v>
      </c>
      <c r="J67" s="111" t="str">
        <f t="shared" si="51"/>
        <v>Clean</v>
      </c>
      <c r="K67" s="111" t="str">
        <f t="shared" si="51"/>
        <v>build -up</v>
      </c>
      <c r="L67" s="162">
        <f t="shared" ca="1" si="52"/>
        <v>-3.4722222226264414E-2</v>
      </c>
      <c r="M67" s="175" t="str">
        <f t="shared" si="52"/>
        <v>18:30-18:45 Cleaning FE03 build up</v>
      </c>
    </row>
    <row r="68" spans="6:13" ht="12.75" hidden="1" customHeight="1" x14ac:dyDescent="0.25">
      <c r="F68" s="1">
        <v>21</v>
      </c>
      <c r="G68" s="79">
        <f t="shared" si="49"/>
        <v>71665</v>
      </c>
      <c r="H68" s="79" t="e">
        <f>#REF!</f>
        <v>#REF!</v>
      </c>
      <c r="I68" s="79">
        <f t="shared" si="50"/>
        <v>41</v>
      </c>
      <c r="J68" s="111" t="str">
        <f t="shared" si="51"/>
        <v>Clean</v>
      </c>
      <c r="K68" s="111" t="str">
        <f t="shared" si="51"/>
        <v>Clean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71709</v>
      </c>
      <c r="H69" s="79" t="e">
        <f>#REF!</f>
        <v>#REF!</v>
      </c>
      <c r="I69" s="79">
        <f t="shared" si="50"/>
        <v>39.9</v>
      </c>
      <c r="J69" s="111" t="str">
        <f t="shared" si="51"/>
        <v>Clean</v>
      </c>
      <c r="K69" s="111" t="str">
        <f t="shared" si="51"/>
        <v>Clean</v>
      </c>
      <c r="L69" s="162">
        <f t="shared" ca="1" si="52"/>
        <v>0</v>
      </c>
      <c r="M69" s="175" t="str">
        <f t="shared" si="52"/>
        <v>20:00-22:00 Plant stopped due to no feedstock(Cleaning build-up on FE01, FE02&amp;FE03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4.1666666666666664E-2</v>
      </c>
      <c r="M70" s="175" t="str">
        <f t="shared" si="52"/>
        <v>No Feedstock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4.1666666666666664E-2</v>
      </c>
      <c r="M71" s="175" t="str">
        <f t="shared" si="52"/>
        <v>No Feedstock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811" priority="40" operator="greaterThan">
      <formula>$I$4</formula>
    </cfRule>
    <cfRule type="cellIs" dxfId="810" priority="39" operator="lessThan">
      <formula>$I$4</formula>
    </cfRule>
  </conditionalFormatting>
  <conditionalFormatting sqref="N33">
    <cfRule type="cellIs" dxfId="809" priority="49" operator="greaterThan">
      <formula>75</formula>
    </cfRule>
    <cfRule type="cellIs" dxfId="808" priority="48" operator="lessThan">
      <formula>75</formula>
    </cfRule>
  </conditionalFormatting>
  <conditionalFormatting sqref="P15 P24 P33">
    <cfRule type="cellIs" dxfId="807" priority="38" operator="greaterThan">
      <formula>52.5</formula>
    </cfRule>
    <cfRule type="cellIs" dxfId="806" priority="37" operator="lessThan">
      <formula>52.5</formula>
    </cfRule>
  </conditionalFormatting>
  <conditionalFormatting sqref="S18:S22 U18:U22 S23:U23">
    <cfRule type="cellIs" dxfId="805" priority="17" operator="equal">
      <formula>"N"</formula>
    </cfRule>
    <cfRule type="cellIs" dxfId="804" priority="18" operator="equal">
      <formula>"Y"</formula>
    </cfRule>
  </conditionalFormatting>
  <conditionalFormatting sqref="S18:S22 U18:AB22 S23:AB23">
    <cfRule type="cellIs" dxfId="803" priority="11" operator="equal">
      <formula>"N"</formula>
    </cfRule>
    <cfRule type="cellIs" dxfId="802" priority="12" operator="equal">
      <formula>"Y"</formula>
    </cfRule>
  </conditionalFormatting>
  <conditionalFormatting sqref="T23">
    <cfRule type="cellIs" dxfId="801" priority="9" operator="equal">
      <formula>"S"</formula>
    </cfRule>
    <cfRule type="cellIs" dxfId="800" priority="10" operator="equal">
      <formula>"C"</formula>
    </cfRule>
    <cfRule type="cellIs" dxfId="799" priority="21" operator="equal">
      <formula>"N"</formula>
    </cfRule>
    <cfRule type="cellIs" dxfId="798" priority="22" operator="equal">
      <formula>"Y"</formula>
    </cfRule>
    <cfRule type="cellIs" dxfId="797" priority="23" operator="equal">
      <formula>"N"</formula>
    </cfRule>
    <cfRule type="cellIs" dxfId="796" priority="24" operator="equal">
      <formula>"Y"</formula>
    </cfRule>
  </conditionalFormatting>
  <conditionalFormatting sqref="T15:Z15">
    <cfRule type="cellIs" dxfId="795" priority="44" operator="equal">
      <formula>"N"</formula>
    </cfRule>
    <cfRule type="cellIs" dxfId="794" priority="45" operator="equal">
      <formula>"Y"</formula>
    </cfRule>
  </conditionalFormatting>
  <conditionalFormatting sqref="T6:AA14">
    <cfRule type="cellIs" dxfId="793" priority="32" operator="equal">
      <formula>"Y"</formula>
    </cfRule>
    <cfRule type="cellIs" dxfId="792" priority="31" operator="equal">
      <formula>"N"</formula>
    </cfRule>
  </conditionalFormatting>
  <conditionalFormatting sqref="T16:AA16 U17:AA17 T17:T22">
    <cfRule type="cellIs" dxfId="791" priority="7" operator="equal">
      <formula>"N"</formula>
    </cfRule>
    <cfRule type="cellIs" dxfId="790" priority="8" operator="equal">
      <formula>"Y"</formula>
    </cfRule>
  </conditionalFormatting>
  <conditionalFormatting sqref="T24:AA24 T33:AA33">
    <cfRule type="cellIs" dxfId="789" priority="35" operator="equal">
      <formula>"N"</formula>
    </cfRule>
    <cfRule type="cellIs" dxfId="788" priority="36" operator="equal">
      <formula>"Y"</formula>
    </cfRule>
  </conditionalFormatting>
  <conditionalFormatting sqref="T6:AC16 U17:AC17 T17:T22">
    <cfRule type="cellIs" dxfId="787" priority="3" operator="equal">
      <formula>"N"</formula>
    </cfRule>
    <cfRule type="cellIs" dxfId="786" priority="4" operator="equal">
      <formula>"Y"</formula>
    </cfRule>
  </conditionalFormatting>
  <conditionalFormatting sqref="T24:AC24 T33:AC33">
    <cfRule type="cellIs" dxfId="785" priority="28" operator="equal">
      <formula>"Y"</formula>
    </cfRule>
    <cfRule type="cellIs" dxfId="784" priority="27" operator="equal">
      <formula>"N"</formula>
    </cfRule>
  </conditionalFormatting>
  <conditionalFormatting sqref="U6:U24">
    <cfRule type="cellIs" dxfId="783" priority="1" operator="equal">
      <formula>"S"</formula>
    </cfRule>
    <cfRule type="cellIs" dxfId="782" priority="2" operator="equal">
      <formula>"C"</formula>
    </cfRule>
  </conditionalFormatting>
  <conditionalFormatting sqref="U33">
    <cfRule type="cellIs" dxfId="781" priority="26" operator="equal">
      <formula>"C"</formula>
    </cfRule>
    <cfRule type="cellIs" dxfId="780" priority="25" operator="equal">
      <formula>"S"</formula>
    </cfRule>
  </conditionalFormatting>
  <conditionalFormatting sqref="V15">
    <cfRule type="cellIs" dxfId="779" priority="42" operator="equal">
      <formula>"S"</formula>
    </cfRule>
    <cfRule type="cellIs" dxfId="778" priority="43" operator="equal">
      <formula>"C"</formula>
    </cfRule>
  </conditionalFormatting>
  <conditionalFormatting sqref="V18:W23">
    <cfRule type="cellIs" dxfId="777" priority="20" operator="equal">
      <formula>"C"</formula>
    </cfRule>
    <cfRule type="cellIs" dxfId="776" priority="19" operator="equal">
      <formula>"S"</formula>
    </cfRule>
  </conditionalFormatting>
  <conditionalFormatting sqref="V6:X14">
    <cfRule type="cellIs" dxfId="775" priority="29" operator="equal">
      <formula>"S"</formula>
    </cfRule>
    <cfRule type="cellIs" dxfId="774" priority="30" operator="equal">
      <formula>"C"</formula>
    </cfRule>
  </conditionalFormatting>
  <conditionalFormatting sqref="V16:X17">
    <cfRule type="cellIs" dxfId="773" priority="6" operator="equal">
      <formula>"C"</formula>
    </cfRule>
    <cfRule type="cellIs" dxfId="772" priority="5" operator="equal">
      <formula>"S"</formula>
    </cfRule>
  </conditionalFormatting>
  <conditionalFormatting sqref="V18:Z23">
    <cfRule type="cellIs" dxfId="771" priority="14" operator="equal">
      <formula>"Y"</formula>
    </cfRule>
    <cfRule type="cellIs" dxfId="770" priority="13" operator="equal">
      <formula>"N"</formula>
    </cfRule>
  </conditionalFormatting>
  <conditionalFormatting sqref="AG6:AG14">
    <cfRule type="cellIs" dxfId="769" priority="33" operator="lessThan">
      <formula>1.19</formula>
    </cfRule>
    <cfRule type="cellIs" dxfId="768" priority="34" operator="greaterThan">
      <formula>1.19</formula>
    </cfRule>
  </conditionalFormatting>
  <conditionalFormatting sqref="AG16:AG23">
    <cfRule type="cellIs" dxfId="767" priority="46" operator="lessThan">
      <formula>1.19</formula>
    </cfRule>
    <cfRule type="cellIs" dxfId="766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7057-C4F5-4813-923F-3F209DAB3DB0}">
  <sheetPr>
    <pageSetUpPr fitToPage="1"/>
  </sheetPr>
  <dimension ref="A1:AV71"/>
  <sheetViews>
    <sheetView showGridLines="0" zoomScaleNormal="100" workbookViewId="0">
      <pane xSplit="2" ySplit="6" topLeftCell="C35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'31 Jul 23'!B1+1</f>
        <v>45139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71709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45138.958333333336</v>
      </c>
      <c r="B7" s="198">
        <v>0.95833333333333304</v>
      </c>
      <c r="C7" s="199" t="s">
        <v>130</v>
      </c>
      <c r="D7" s="79">
        <v>71709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45139.916666666672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45138.958333333336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45139</v>
      </c>
      <c r="B8" s="198">
        <v>0</v>
      </c>
      <c r="C8" s="199" t="s">
        <v>130</v>
      </c>
      <c r="D8" s="79">
        <v>71709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45138.958333333336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45139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45139.041666666664</v>
      </c>
      <c r="B9" s="198">
        <v>4.1666666666666664E-2</v>
      </c>
      <c r="C9" s="199" t="s">
        <v>130</v>
      </c>
      <c r="D9" s="79">
        <v>71709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45139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45139.041666666664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45139.083333333336</v>
      </c>
      <c r="B10" s="198">
        <v>8.3333333333333329E-2</v>
      </c>
      <c r="C10" s="199" t="s">
        <v>130</v>
      </c>
      <c r="D10" s="79">
        <v>71709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45139.041666666672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45139.083333333336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45139.125</v>
      </c>
      <c r="B11" s="198">
        <v>0.125</v>
      </c>
      <c r="C11" s="199" t="s">
        <v>130</v>
      </c>
      <c r="D11" s="79">
        <v>71709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45139.083333333336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45139.125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45139.166666666664</v>
      </c>
      <c r="B12" s="198">
        <v>0.16666666666666666</v>
      </c>
      <c r="C12" s="199" t="s">
        <v>130</v>
      </c>
      <c r="D12" s="79">
        <v>71709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45139.125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45139.166666666664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45139.208333333336</v>
      </c>
      <c r="B13" s="198">
        <v>0.20833333333333334</v>
      </c>
      <c r="C13" s="199" t="s">
        <v>130</v>
      </c>
      <c r="D13" s="79">
        <v>71709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45139.166666666672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45139.208333333336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45139.25</v>
      </c>
      <c r="B14" s="198">
        <v>0.25</v>
      </c>
      <c r="C14" s="199" t="s">
        <v>130</v>
      </c>
      <c r="D14" s="79">
        <v>71709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45139.208333333336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45139.25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45139.291666666664</v>
      </c>
      <c r="B16" s="198">
        <v>0.29166666666666669</v>
      </c>
      <c r="C16" s="199" t="s">
        <v>130</v>
      </c>
      <c r="D16" s="79">
        <v>71709</v>
      </c>
      <c r="E16" s="80">
        <f>IF(D16&gt;0,D16-D14,"")</f>
        <v>0</v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>
        <v>0.25</v>
      </c>
      <c r="AJ16" s="101"/>
      <c r="AK16" s="102">
        <f t="shared" ref="AK16:AK23" si="15">AO16</f>
        <v>0</v>
      </c>
      <c r="AL16" s="103">
        <f t="shared" ref="AL16:AL23" si="16">IF(AI16&lt;&gt;"",AI16+$B$1,B16+$B$1-1/24)</f>
        <v>45139.25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0</v>
      </c>
      <c r="AP16" s="103">
        <f t="shared" ref="AP16:AP23" si="20">IF(AJ16&lt;&gt;"",AJ16+$B$1,B16+$B$1)</f>
        <v>45139.291666666664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2.425316891763174E-12</v>
      </c>
      <c r="AU16" s="104">
        <f t="shared" ref="AU16:AU23" ca="1" si="24">IF(A16&lt;$AU$1,1/24-AT16,0)</f>
        <v>4.1666666664241347E-2</v>
      </c>
      <c r="AV16" s="239" t="s">
        <v>233</v>
      </c>
    </row>
    <row r="17" spans="1:48" x14ac:dyDescent="0.25">
      <c r="A17" s="96">
        <f t="shared" si="8"/>
        <v>45139.333333333336</v>
      </c>
      <c r="B17" s="198">
        <v>0.33333333333333331</v>
      </c>
      <c r="C17" s="199" t="s">
        <v>130</v>
      </c>
      <c r="D17" s="79">
        <v>71709</v>
      </c>
      <c r="E17" s="80">
        <f>IF(D17&gt;0,D17-D16,"")</f>
        <v>0</v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0</v>
      </c>
      <c r="AL17" s="103">
        <f t="shared" si="16"/>
        <v>45139.291666666672</v>
      </c>
      <c r="AM17" s="102">
        <f t="shared" si="17"/>
        <v>0</v>
      </c>
      <c r="AN17" s="102">
        <f t="shared" si="18"/>
        <v>0</v>
      </c>
      <c r="AO17" s="102">
        <f t="shared" si="19"/>
        <v>0</v>
      </c>
      <c r="AP17" s="103">
        <f t="shared" si="20"/>
        <v>45139.333333333336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4.1666666666666664E-2</v>
      </c>
      <c r="AV17" s="239"/>
    </row>
    <row r="18" spans="1:48" x14ac:dyDescent="0.25">
      <c r="A18" s="96">
        <f t="shared" si="8"/>
        <v>45139.375</v>
      </c>
      <c r="B18" s="198">
        <v>0.375</v>
      </c>
      <c r="C18" s="199" t="s">
        <v>130</v>
      </c>
      <c r="D18" s="79">
        <v>71709</v>
      </c>
      <c r="E18" s="80">
        <f>IF(D18&gt;0,D18-D17,"")</f>
        <v>0</v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0</v>
      </c>
      <c r="AL18" s="103">
        <f t="shared" si="16"/>
        <v>45139.333333333336</v>
      </c>
      <c r="AM18" s="102">
        <f t="shared" si="17"/>
        <v>0</v>
      </c>
      <c r="AN18" s="102">
        <f t="shared" si="18"/>
        <v>0</v>
      </c>
      <c r="AO18" s="102">
        <f t="shared" si="19"/>
        <v>0</v>
      </c>
      <c r="AP18" s="103">
        <f t="shared" si="20"/>
        <v>45139.375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4.1666666666666664E-2</v>
      </c>
      <c r="AV18" s="239"/>
    </row>
    <row r="19" spans="1:48" ht="15.75" customHeight="1" x14ac:dyDescent="0.25">
      <c r="A19" s="96">
        <f t="shared" si="8"/>
        <v>45139.416666666664</v>
      </c>
      <c r="B19" s="198">
        <v>0.41666666666666702</v>
      </c>
      <c r="C19" s="199" t="s">
        <v>130</v>
      </c>
      <c r="D19" s="79">
        <v>71709</v>
      </c>
      <c r="E19" s="80">
        <f t="shared" ref="E19:E35" si="26">IF(D19&gt;0,D19-D18,"")</f>
        <v>0</v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0</v>
      </c>
      <c r="AL19" s="103">
        <f t="shared" si="16"/>
        <v>45139.375</v>
      </c>
      <c r="AM19" s="102">
        <f t="shared" si="17"/>
        <v>0</v>
      </c>
      <c r="AN19" s="102">
        <f t="shared" si="18"/>
        <v>0</v>
      </c>
      <c r="AO19" s="102">
        <f t="shared" si="19"/>
        <v>0</v>
      </c>
      <c r="AP19" s="103">
        <f t="shared" si="20"/>
        <v>45139.416666666664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4.1666666666666664E-2</v>
      </c>
      <c r="AV19" s="239"/>
    </row>
    <row r="20" spans="1:48" x14ac:dyDescent="0.25">
      <c r="A20" s="96">
        <f t="shared" si="8"/>
        <v>45139.458333333336</v>
      </c>
      <c r="B20" s="198">
        <v>0.45833333333333331</v>
      </c>
      <c r="C20" s="199" t="s">
        <v>130</v>
      </c>
      <c r="D20" s="79">
        <v>71709</v>
      </c>
      <c r="E20" s="80">
        <f t="shared" si="26"/>
        <v>0</v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0</v>
      </c>
      <c r="AL20" s="103">
        <f t="shared" si="16"/>
        <v>45139.416666666672</v>
      </c>
      <c r="AM20" s="102">
        <f t="shared" si="17"/>
        <v>0</v>
      </c>
      <c r="AN20" s="102">
        <f t="shared" si="18"/>
        <v>0</v>
      </c>
      <c r="AO20" s="102">
        <f t="shared" si="19"/>
        <v>0</v>
      </c>
      <c r="AP20" s="103">
        <f t="shared" si="20"/>
        <v>45139.458333333336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4.1666666666666664E-2</v>
      </c>
      <c r="AV20" s="239"/>
    </row>
    <row r="21" spans="1:48" x14ac:dyDescent="0.25">
      <c r="A21" s="96">
        <f t="shared" si="8"/>
        <v>45139.5</v>
      </c>
      <c r="B21" s="214">
        <v>0.5</v>
      </c>
      <c r="C21" s="199" t="s">
        <v>130</v>
      </c>
      <c r="D21" s="79">
        <v>71709</v>
      </c>
      <c r="E21" s="80">
        <f t="shared" si="26"/>
        <v>0</v>
      </c>
      <c r="F21" s="200">
        <f t="shared" si="9"/>
        <v>200</v>
      </c>
      <c r="G21" s="210">
        <v>30</v>
      </c>
      <c r="H21" s="209">
        <v>41</v>
      </c>
      <c r="I21" s="210">
        <v>15</v>
      </c>
      <c r="J21" s="211">
        <v>20</v>
      </c>
      <c r="K21" s="209" t="s">
        <v>136</v>
      </c>
      <c r="L21" s="209" t="s">
        <v>136</v>
      </c>
      <c r="M21" s="209"/>
      <c r="N21" s="209" t="s">
        <v>182</v>
      </c>
      <c r="O21" s="209" t="s">
        <v>230</v>
      </c>
      <c r="P21" s="79" t="s">
        <v>217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69</v>
      </c>
      <c r="W21" s="212">
        <v>8</v>
      </c>
      <c r="X21" s="209">
        <v>61</v>
      </c>
      <c r="Y21" s="209">
        <v>100</v>
      </c>
      <c r="Z21" s="209"/>
      <c r="AA21" s="212">
        <v>60</v>
      </c>
      <c r="AB21" s="212">
        <v>8</v>
      </c>
      <c r="AC21" s="213">
        <v>100</v>
      </c>
      <c r="AD21" s="213">
        <v>42</v>
      </c>
      <c r="AE21" s="209" t="s">
        <v>134</v>
      </c>
      <c r="AF21" s="209" t="s">
        <v>134</v>
      </c>
      <c r="AG21" s="209"/>
      <c r="AH21" s="209"/>
      <c r="AI21" s="101"/>
      <c r="AJ21" s="101">
        <v>0.52083333333333337</v>
      </c>
      <c r="AK21" s="102">
        <f t="shared" si="15"/>
        <v>1</v>
      </c>
      <c r="AL21" s="103">
        <f t="shared" si="16"/>
        <v>45139.458333333336</v>
      </c>
      <c r="AM21" s="102">
        <f t="shared" si="17"/>
        <v>0</v>
      </c>
      <c r="AN21" s="102">
        <f t="shared" si="18"/>
        <v>0</v>
      </c>
      <c r="AO21" s="102">
        <f t="shared" si="19"/>
        <v>1</v>
      </c>
      <c r="AP21" s="103">
        <f t="shared" si="20"/>
        <v>45139.520833333336</v>
      </c>
      <c r="AQ21" s="103">
        <f t="shared" si="21"/>
        <v>2.425316891763174E-12</v>
      </c>
      <c r="AR21" s="103">
        <f t="shared" si="25"/>
        <v>6.25E-2</v>
      </c>
      <c r="AS21" s="103">
        <f t="shared" si="22"/>
        <v>-2.0833333335758653E-2</v>
      </c>
      <c r="AT21" s="103">
        <f t="shared" ca="1" si="23"/>
        <v>-2.0833333335758653E-2</v>
      </c>
      <c r="AU21" s="104">
        <f t="shared" ca="1" si="24"/>
        <v>6.250000000242531E-2</v>
      </c>
      <c r="AV21" s="239"/>
    </row>
    <row r="22" spans="1:48" ht="13.5" customHeight="1" x14ac:dyDescent="0.25">
      <c r="A22" s="96">
        <f t="shared" si="8"/>
        <v>45139.541666666664</v>
      </c>
      <c r="B22" s="214">
        <v>0.54166666666666663</v>
      </c>
      <c r="C22" s="199" t="s">
        <v>130</v>
      </c>
      <c r="D22" s="79">
        <v>71812</v>
      </c>
      <c r="E22" s="80">
        <f t="shared" si="26"/>
        <v>103</v>
      </c>
      <c r="F22" s="200">
        <f t="shared" si="9"/>
        <v>200</v>
      </c>
      <c r="G22" s="210">
        <v>31</v>
      </c>
      <c r="H22" s="209">
        <v>41</v>
      </c>
      <c r="I22" s="210">
        <v>15</v>
      </c>
      <c r="J22" s="211">
        <v>20</v>
      </c>
      <c r="K22" s="209" t="s">
        <v>136</v>
      </c>
      <c r="L22" s="209" t="s">
        <v>136</v>
      </c>
      <c r="M22" s="209"/>
      <c r="N22" s="209" t="s">
        <v>231</v>
      </c>
      <c r="O22" s="209" t="s">
        <v>232</v>
      </c>
      <c r="P22" s="79" t="s">
        <v>180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69</v>
      </c>
      <c r="W22" s="212">
        <v>29</v>
      </c>
      <c r="X22" s="209">
        <v>58</v>
      </c>
      <c r="Y22" s="209">
        <v>100</v>
      </c>
      <c r="Z22" s="209"/>
      <c r="AA22" s="212">
        <v>60</v>
      </c>
      <c r="AB22" s="212">
        <v>11</v>
      </c>
      <c r="AC22" s="213">
        <v>100</v>
      </c>
      <c r="AD22" s="213">
        <v>41</v>
      </c>
      <c r="AE22" s="209" t="s">
        <v>134</v>
      </c>
      <c r="AF22" s="209" t="s">
        <v>134</v>
      </c>
      <c r="AG22" s="209"/>
      <c r="AH22" s="209"/>
      <c r="AI22" s="101"/>
      <c r="AJ22" s="101"/>
      <c r="AK22" s="102">
        <f t="shared" si="15"/>
        <v>1</v>
      </c>
      <c r="AL22" s="103">
        <f t="shared" si="16"/>
        <v>45139.5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45139.541666666664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45139.583333333336</v>
      </c>
      <c r="B23" s="215">
        <v>0.58333333333333337</v>
      </c>
      <c r="C23" s="199" t="s">
        <v>130</v>
      </c>
      <c r="D23" s="79">
        <v>71903</v>
      </c>
      <c r="E23" s="80">
        <f t="shared" si="26"/>
        <v>91</v>
      </c>
      <c r="F23" s="200">
        <f t="shared" si="9"/>
        <v>200</v>
      </c>
      <c r="G23" s="210">
        <v>30</v>
      </c>
      <c r="H23" s="209">
        <v>41</v>
      </c>
      <c r="I23" s="210">
        <v>15</v>
      </c>
      <c r="J23" s="211">
        <v>20</v>
      </c>
      <c r="K23" s="209" t="s">
        <v>136</v>
      </c>
      <c r="L23" s="209" t="s">
        <v>136</v>
      </c>
      <c r="M23" s="209"/>
      <c r="N23" s="209">
        <v>39.9</v>
      </c>
      <c r="O23" s="209">
        <v>40.1</v>
      </c>
      <c r="P23" s="79">
        <v>1.8</v>
      </c>
      <c r="Q23" s="79">
        <v>20</v>
      </c>
      <c r="R23" s="79" t="s">
        <v>136</v>
      </c>
      <c r="S23" s="209"/>
      <c r="T23" s="85" t="s">
        <v>136</v>
      </c>
      <c r="U23" s="209"/>
      <c r="V23" s="212">
        <v>82</v>
      </c>
      <c r="W23" s="212">
        <v>21</v>
      </c>
      <c r="X23" s="209">
        <v>58</v>
      </c>
      <c r="Y23" s="209">
        <v>100</v>
      </c>
      <c r="Z23" s="209"/>
      <c r="AA23" s="212">
        <v>80</v>
      </c>
      <c r="AB23" s="212">
        <v>12</v>
      </c>
      <c r="AC23" s="213">
        <v>100</v>
      </c>
      <c r="AD23" s="213">
        <v>58</v>
      </c>
      <c r="AE23" s="209" t="s">
        <v>134</v>
      </c>
      <c r="AF23" s="209" t="s">
        <v>134</v>
      </c>
      <c r="AG23" s="209"/>
      <c r="AH23" s="209"/>
      <c r="AI23" s="101"/>
      <c r="AJ23" s="101"/>
      <c r="AK23" s="102">
        <f t="shared" si="15"/>
        <v>1</v>
      </c>
      <c r="AL23" s="103">
        <f t="shared" si="16"/>
        <v>45139.541666666672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45139.583333333336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194</v>
      </c>
      <c r="E24" s="121">
        <f ca="1">IFERROR(D24/24/AT24,"")</f>
        <v>129.33333333333337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6.2499999999999993E-2</v>
      </c>
      <c r="AU24" s="143">
        <f ca="1">SUM(AU16:AU23)</f>
        <v>0.27083333333333326</v>
      </c>
      <c r="AV24" s="239"/>
    </row>
    <row r="25" spans="1:48" ht="13.15" customHeight="1" thickTop="1" x14ac:dyDescent="0.25">
      <c r="A25" s="96">
        <f t="shared" ref="A25:A32" si="28">B25+$B$1</f>
        <v>45139.625</v>
      </c>
      <c r="B25" s="198">
        <v>0.625</v>
      </c>
      <c r="C25" s="199" t="s">
        <v>130</v>
      </c>
      <c r="D25" s="79">
        <v>72035</v>
      </c>
      <c r="E25" s="80">
        <f>IF(D25&gt;0,D25-D23,"")</f>
        <v>132</v>
      </c>
      <c r="F25" s="200">
        <f t="shared" si="9"/>
        <v>200</v>
      </c>
      <c r="G25" s="210">
        <v>30</v>
      </c>
      <c r="H25" s="210">
        <v>40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32.6</v>
      </c>
      <c r="O25" s="209">
        <v>37.299999999999997</v>
      </c>
      <c r="P25" s="209">
        <v>2.1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79</v>
      </c>
      <c r="W25" s="212">
        <v>20</v>
      </c>
      <c r="X25" s="212">
        <v>62</v>
      </c>
      <c r="Y25" s="209">
        <v>100</v>
      </c>
      <c r="Z25" s="209"/>
      <c r="AA25" s="209">
        <v>90</v>
      </c>
      <c r="AB25" s="212">
        <v>8</v>
      </c>
      <c r="AC25" s="209">
        <v>100</v>
      </c>
      <c r="AD25" s="213">
        <v>50</v>
      </c>
      <c r="AE25" s="209" t="s">
        <v>134</v>
      </c>
      <c r="AF25" s="209" t="s">
        <v>135</v>
      </c>
      <c r="AG25" s="209"/>
      <c r="AH25" s="209"/>
      <c r="AI25" s="134">
        <v>0.63888888888888895</v>
      </c>
      <c r="AJ25" s="134">
        <v>0.64930555555555558</v>
      </c>
      <c r="AK25" s="102">
        <f t="shared" ref="AK25:AK32" si="29">AO25</f>
        <v>1</v>
      </c>
      <c r="AL25" s="103">
        <f t="shared" ref="AL25:AL32" si="30">IF(AI25&lt;&gt;"",AI25+$B$1,B25+$B$1-1/24)</f>
        <v>45139.638888888891</v>
      </c>
      <c r="AM25" s="102">
        <f t="shared" ref="AM25:AM32" si="31">AK24</f>
        <v>1</v>
      </c>
      <c r="AN25" s="102">
        <f t="shared" ref="AN25:AN32" si="32">IF(AI25="",AM25,0)</f>
        <v>0</v>
      </c>
      <c r="AO25" s="102">
        <f t="shared" ref="AO25:AO32" si="33">IF(AJ25&lt;&gt;"",1,AN25)</f>
        <v>1</v>
      </c>
      <c r="AP25" s="103">
        <f>IF(AJ23&lt;&gt;"",AJ23+$B$1,B25+$B$1)</f>
        <v>45139.625</v>
      </c>
      <c r="AQ25" s="103">
        <f t="shared" ref="AQ25:AQ32" si="34">AL25-A25+1/24</f>
        <v>5.5555555557172433E-2</v>
      </c>
      <c r="AR25" s="103">
        <f t="shared" ref="AR25:AR32" si="35">AP25-AL25</f>
        <v>-1.3888888890505768E-2</v>
      </c>
      <c r="AS25" s="103">
        <f t="shared" ref="AS25:AS32" si="36">A25-AP25</f>
        <v>0</v>
      </c>
      <c r="AT25" s="103">
        <f t="shared" ref="AT25:AT32" ca="1" si="37">IF(A25&lt;$AU$1,SUMPRODUCT(AM25:AO25,AQ25:AS25),0)</f>
        <v>5.5555555557172433E-2</v>
      </c>
      <c r="AU25" s="104">
        <f t="shared" ref="AU25:AU32" ca="1" si="38">IF(A25&lt;$AU$1,1/24-AT25,0)</f>
        <v>-1.3888888890505768E-2</v>
      </c>
      <c r="AV25" s="239" t="s">
        <v>234</v>
      </c>
    </row>
    <row r="26" spans="1:48" x14ac:dyDescent="0.25">
      <c r="A26" s="96">
        <f t="shared" si="28"/>
        <v>45139.666666666664</v>
      </c>
      <c r="B26" s="198">
        <v>0.66666666666666663</v>
      </c>
      <c r="C26" s="199" t="s">
        <v>130</v>
      </c>
      <c r="D26" s="79">
        <v>72160</v>
      </c>
      <c r="E26" s="80">
        <f t="shared" si="26"/>
        <v>125</v>
      </c>
      <c r="F26" s="200">
        <f t="shared" si="9"/>
        <v>200</v>
      </c>
      <c r="G26" s="210">
        <v>31</v>
      </c>
      <c r="H26" s="210">
        <v>40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32.700000000000003</v>
      </c>
      <c r="O26" s="209">
        <v>37.1</v>
      </c>
      <c r="P26" s="209">
        <v>2.8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77</v>
      </c>
      <c r="W26" s="212">
        <v>25</v>
      </c>
      <c r="X26" s="212">
        <v>58</v>
      </c>
      <c r="Y26" s="209">
        <v>100</v>
      </c>
      <c r="Z26" s="209"/>
      <c r="AA26" s="209">
        <v>90</v>
      </c>
      <c r="AB26" s="212">
        <v>6</v>
      </c>
      <c r="AC26" s="209">
        <v>100</v>
      </c>
      <c r="AD26" s="213">
        <v>58</v>
      </c>
      <c r="AE26" s="209" t="s">
        <v>134</v>
      </c>
      <c r="AF26" s="209" t="s">
        <v>134</v>
      </c>
      <c r="AG26" s="209"/>
      <c r="AH26" s="209"/>
      <c r="AI26" s="134"/>
      <c r="AJ26" s="145"/>
      <c r="AK26" s="102">
        <f t="shared" si="29"/>
        <v>1</v>
      </c>
      <c r="AL26" s="103">
        <f t="shared" si="30"/>
        <v>45139.625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45139.649305555555</v>
      </c>
      <c r="AQ26" s="103">
        <f t="shared" si="34"/>
        <v>2.425316891763174E-12</v>
      </c>
      <c r="AR26" s="103">
        <f t="shared" si="35"/>
        <v>2.4305555554747116E-2</v>
      </c>
      <c r="AS26" s="103">
        <f t="shared" si="36"/>
        <v>1.7361111109494232E-2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45139.708333333336</v>
      </c>
      <c r="B27" s="198">
        <v>0.70833333333333337</v>
      </c>
      <c r="C27" s="199" t="s">
        <v>130</v>
      </c>
      <c r="D27" s="79">
        <v>72291</v>
      </c>
      <c r="E27" s="80">
        <f t="shared" si="26"/>
        <v>131</v>
      </c>
      <c r="F27" s="200">
        <f t="shared" si="9"/>
        <v>200</v>
      </c>
      <c r="G27" s="210">
        <v>30</v>
      </c>
      <c r="H27" s="210">
        <v>42</v>
      </c>
      <c r="I27" s="209">
        <v>15</v>
      </c>
      <c r="J27" s="211">
        <v>20</v>
      </c>
      <c r="K27" s="211" t="s">
        <v>136</v>
      </c>
      <c r="L27" s="209" t="s">
        <v>136</v>
      </c>
      <c r="M27" s="209"/>
      <c r="N27" s="209">
        <v>39.700000000000003</v>
      </c>
      <c r="O27" s="209">
        <v>41.5</v>
      </c>
      <c r="P27" s="209">
        <v>1.8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77</v>
      </c>
      <c r="W27" s="212">
        <v>9</v>
      </c>
      <c r="X27" s="212">
        <v>78</v>
      </c>
      <c r="Y27" s="209">
        <v>100</v>
      </c>
      <c r="Z27" s="209"/>
      <c r="AA27" s="209">
        <v>90</v>
      </c>
      <c r="AB27" s="212">
        <v>7</v>
      </c>
      <c r="AC27" s="209">
        <v>100</v>
      </c>
      <c r="AD27" s="213">
        <v>56</v>
      </c>
      <c r="AE27" s="209" t="s">
        <v>134</v>
      </c>
      <c r="AF27" s="209" t="s">
        <v>155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45139.666666666672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45139.708333333336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 t="s">
        <v>235</v>
      </c>
    </row>
    <row r="28" spans="1:48" ht="14.25" customHeight="1" x14ac:dyDescent="0.25">
      <c r="A28" s="96">
        <f t="shared" si="28"/>
        <v>45139.75</v>
      </c>
      <c r="B28" s="198">
        <v>0.75</v>
      </c>
      <c r="C28" s="199" t="s">
        <v>130</v>
      </c>
      <c r="D28" s="79">
        <v>72431</v>
      </c>
      <c r="E28" s="80">
        <f t="shared" si="26"/>
        <v>140</v>
      </c>
      <c r="F28" s="200">
        <f t="shared" si="9"/>
        <v>200</v>
      </c>
      <c r="G28" s="210">
        <v>31</v>
      </c>
      <c r="H28" s="210">
        <v>40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>
        <v>39.6</v>
      </c>
      <c r="O28" s="209">
        <v>40.9</v>
      </c>
      <c r="P28" s="209">
        <v>2.4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87</v>
      </c>
      <c r="W28" s="212">
        <v>44</v>
      </c>
      <c r="X28" s="212">
        <v>90</v>
      </c>
      <c r="Y28" s="209">
        <v>100</v>
      </c>
      <c r="Z28" s="209"/>
      <c r="AA28" s="209">
        <v>90</v>
      </c>
      <c r="AB28" s="212">
        <v>6</v>
      </c>
      <c r="AC28" s="212">
        <v>100</v>
      </c>
      <c r="AD28" s="213">
        <v>39</v>
      </c>
      <c r="AE28" s="209" t="s">
        <v>134</v>
      </c>
      <c r="AF28" s="209" t="s">
        <v>134</v>
      </c>
      <c r="AG28" s="209"/>
      <c r="AH28" s="209"/>
      <c r="AI28" s="101">
        <v>0.7104166666666667</v>
      </c>
      <c r="AJ28" s="101">
        <v>0.71736111111111101</v>
      </c>
      <c r="AK28" s="102">
        <f t="shared" si="29"/>
        <v>1</v>
      </c>
      <c r="AL28" s="103">
        <f t="shared" si="30"/>
        <v>45139.710416666669</v>
      </c>
      <c r="AM28" s="102">
        <f t="shared" si="31"/>
        <v>1</v>
      </c>
      <c r="AN28" s="102">
        <f t="shared" si="32"/>
        <v>0</v>
      </c>
      <c r="AO28" s="102">
        <f t="shared" si="33"/>
        <v>1</v>
      </c>
      <c r="AP28" s="103">
        <f t="shared" si="39"/>
        <v>45139.75</v>
      </c>
      <c r="AQ28" s="103">
        <f t="shared" si="34"/>
        <v>2.0833333352735864E-3</v>
      </c>
      <c r="AR28" s="103">
        <f t="shared" si="35"/>
        <v>3.9583333331393078E-2</v>
      </c>
      <c r="AS28" s="103">
        <f t="shared" si="36"/>
        <v>0</v>
      </c>
      <c r="AT28" s="103">
        <f t="shared" ca="1" si="37"/>
        <v>2.0833333352735864E-3</v>
      </c>
      <c r="AU28" s="104">
        <f t="shared" ca="1" si="38"/>
        <v>3.9583333331393078E-2</v>
      </c>
      <c r="AV28" s="239"/>
    </row>
    <row r="29" spans="1:48" ht="15" customHeight="1" x14ac:dyDescent="0.25">
      <c r="A29" s="96">
        <f t="shared" si="28"/>
        <v>45139.791666666664</v>
      </c>
      <c r="B29" s="198">
        <v>0.79166666666666663</v>
      </c>
      <c r="C29" s="199" t="s">
        <v>130</v>
      </c>
      <c r="D29" s="79">
        <v>72596</v>
      </c>
      <c r="E29" s="80">
        <f t="shared" si="26"/>
        <v>165</v>
      </c>
      <c r="F29" s="200">
        <f t="shared" si="9"/>
        <v>200</v>
      </c>
      <c r="G29" s="210">
        <v>30</v>
      </c>
      <c r="H29" s="210">
        <v>41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>
        <v>31.3</v>
      </c>
      <c r="O29" s="209">
        <v>37.4</v>
      </c>
      <c r="P29" s="209">
        <v>2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72</v>
      </c>
      <c r="W29" s="212">
        <v>13</v>
      </c>
      <c r="X29" s="212">
        <v>58</v>
      </c>
      <c r="Y29" s="209">
        <v>100</v>
      </c>
      <c r="Z29" s="209"/>
      <c r="AA29" s="209">
        <v>90</v>
      </c>
      <c r="AB29" s="212">
        <v>8</v>
      </c>
      <c r="AC29" s="212">
        <v>100</v>
      </c>
      <c r="AD29" s="213">
        <v>42</v>
      </c>
      <c r="AE29" s="209" t="s">
        <v>134</v>
      </c>
      <c r="AF29" s="209" t="s">
        <v>134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45139.75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45139.717361111114</v>
      </c>
      <c r="AQ29" s="103">
        <f t="shared" si="34"/>
        <v>2.425316891763174E-12</v>
      </c>
      <c r="AR29" s="103">
        <f t="shared" si="35"/>
        <v>-3.2638888886140194E-2</v>
      </c>
      <c r="AS29" s="103">
        <f t="shared" si="36"/>
        <v>7.4305555550381541E-2</v>
      </c>
      <c r="AT29" s="103">
        <f t="shared" ca="1" si="37"/>
        <v>4.1666666666666664E-2</v>
      </c>
      <c r="AU29" s="104">
        <f t="shared" ca="1" si="38"/>
        <v>0</v>
      </c>
      <c r="AV29" s="239" t="s">
        <v>236</v>
      </c>
    </row>
    <row r="30" spans="1:48" x14ac:dyDescent="0.25">
      <c r="A30" s="96">
        <f t="shared" si="28"/>
        <v>45139.833333333336</v>
      </c>
      <c r="B30" s="198">
        <v>0.83333333333333337</v>
      </c>
      <c r="C30" s="199" t="s">
        <v>130</v>
      </c>
      <c r="D30" s="79">
        <v>72725</v>
      </c>
      <c r="E30" s="80">
        <f t="shared" si="26"/>
        <v>129</v>
      </c>
      <c r="F30" s="200">
        <f t="shared" si="9"/>
        <v>200</v>
      </c>
      <c r="G30" s="210">
        <v>30</v>
      </c>
      <c r="H30" s="210">
        <v>40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>
        <v>39.5</v>
      </c>
      <c r="O30" s="209">
        <v>40.799999999999997</v>
      </c>
      <c r="P30" s="209">
        <v>2.5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83</v>
      </c>
      <c r="W30" s="212">
        <v>17</v>
      </c>
      <c r="X30" s="212">
        <v>58</v>
      </c>
      <c r="Y30" s="209">
        <v>100</v>
      </c>
      <c r="Z30" s="209"/>
      <c r="AA30" s="209">
        <v>90</v>
      </c>
      <c r="AB30" s="212">
        <v>7</v>
      </c>
      <c r="AC30" s="212">
        <v>100</v>
      </c>
      <c r="AD30" s="213">
        <v>37</v>
      </c>
      <c r="AE30" s="209" t="s">
        <v>134</v>
      </c>
      <c r="AF30" s="209" t="s">
        <v>224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45139.791666666672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45139.833333333336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 t="s">
        <v>237</v>
      </c>
    </row>
    <row r="31" spans="1:48" ht="14.25" customHeight="1" x14ac:dyDescent="0.25">
      <c r="A31" s="96">
        <f t="shared" si="28"/>
        <v>45139.875</v>
      </c>
      <c r="B31" s="198">
        <v>0.875</v>
      </c>
      <c r="C31" s="199" t="s">
        <v>130</v>
      </c>
      <c r="D31" s="79">
        <v>72790</v>
      </c>
      <c r="E31" s="80">
        <f t="shared" si="26"/>
        <v>65</v>
      </c>
      <c r="F31" s="200">
        <f t="shared" si="9"/>
        <v>200</v>
      </c>
      <c r="G31" s="210">
        <v>30</v>
      </c>
      <c r="H31" s="210">
        <v>40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>
        <v>39.700000000000003</v>
      </c>
      <c r="O31" s="209">
        <v>40.6</v>
      </c>
      <c r="P31" s="209">
        <v>2.5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48</v>
      </c>
      <c r="W31" s="212">
        <v>60</v>
      </c>
      <c r="X31" s="212">
        <v>80</v>
      </c>
      <c r="Y31" s="209">
        <v>100</v>
      </c>
      <c r="Z31" s="209"/>
      <c r="AA31" s="209">
        <v>90</v>
      </c>
      <c r="AB31" s="212">
        <v>7</v>
      </c>
      <c r="AC31" s="212">
        <v>100</v>
      </c>
      <c r="AD31" s="213">
        <v>57</v>
      </c>
      <c r="AE31" s="209" t="s">
        <v>238</v>
      </c>
      <c r="AF31" s="209" t="s">
        <v>135</v>
      </c>
      <c r="AG31" s="209"/>
      <c r="AH31" s="209"/>
      <c r="AI31" s="101">
        <v>0.85416666666666663</v>
      </c>
      <c r="AJ31" s="101">
        <v>0.8652777777777777</v>
      </c>
      <c r="AK31" s="102">
        <f t="shared" si="29"/>
        <v>1</v>
      </c>
      <c r="AL31" s="103">
        <f t="shared" si="30"/>
        <v>45139.854166666664</v>
      </c>
      <c r="AM31" s="102">
        <f t="shared" si="31"/>
        <v>1</v>
      </c>
      <c r="AN31" s="102">
        <f t="shared" si="32"/>
        <v>0</v>
      </c>
      <c r="AO31" s="102">
        <f t="shared" si="33"/>
        <v>1</v>
      </c>
      <c r="AP31" s="103">
        <f t="shared" si="39"/>
        <v>45139.875</v>
      </c>
      <c r="AQ31" s="103">
        <f t="shared" si="34"/>
        <v>2.0833333330908012E-2</v>
      </c>
      <c r="AR31" s="103">
        <f t="shared" si="35"/>
        <v>2.0833333335758653E-2</v>
      </c>
      <c r="AS31" s="103">
        <f t="shared" si="36"/>
        <v>0</v>
      </c>
      <c r="AT31" s="103">
        <f t="shared" ca="1" si="37"/>
        <v>2.0833333330908012E-2</v>
      </c>
      <c r="AU31" s="104">
        <f t="shared" ca="1" si="38"/>
        <v>2.0833333335758653E-2</v>
      </c>
      <c r="AV31" s="239"/>
    </row>
    <row r="32" spans="1:48" x14ac:dyDescent="0.25">
      <c r="A32" s="96">
        <f t="shared" si="28"/>
        <v>45139.916666666664</v>
      </c>
      <c r="B32" s="198">
        <v>0.91666666666666663</v>
      </c>
      <c r="C32" s="199" t="s">
        <v>130</v>
      </c>
      <c r="D32" s="79">
        <v>72813</v>
      </c>
      <c r="E32" s="80">
        <f t="shared" si="26"/>
        <v>23</v>
      </c>
      <c r="F32" s="200">
        <f t="shared" si="9"/>
        <v>200</v>
      </c>
      <c r="G32" s="210">
        <v>31</v>
      </c>
      <c r="H32" s="210">
        <v>40</v>
      </c>
      <c r="I32" s="209">
        <v>15</v>
      </c>
      <c r="J32" s="211">
        <v>20</v>
      </c>
      <c r="K32" s="211" t="s">
        <v>136</v>
      </c>
      <c r="L32" s="209" t="s">
        <v>136</v>
      </c>
      <c r="M32" s="209"/>
      <c r="N32" s="209">
        <v>39.5</v>
      </c>
      <c r="O32" s="209">
        <v>40.799999999999997</v>
      </c>
      <c r="P32" s="209">
        <v>2.2999999999999998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84</v>
      </c>
      <c r="W32" s="212">
        <v>27</v>
      </c>
      <c r="X32" s="212">
        <v>62</v>
      </c>
      <c r="Y32" s="209">
        <v>100</v>
      </c>
      <c r="Z32" s="209"/>
      <c r="AA32" s="209">
        <v>90</v>
      </c>
      <c r="AB32" s="212">
        <v>7</v>
      </c>
      <c r="AC32" s="212">
        <v>100</v>
      </c>
      <c r="AD32" s="213">
        <v>42</v>
      </c>
      <c r="AE32" s="209" t="s">
        <v>134</v>
      </c>
      <c r="AF32" s="209" t="s">
        <v>134</v>
      </c>
      <c r="AG32" s="209"/>
      <c r="AH32" s="209"/>
      <c r="AI32" s="101"/>
      <c r="AJ32" s="101"/>
      <c r="AK32" s="102">
        <f t="shared" si="29"/>
        <v>1</v>
      </c>
      <c r="AL32" s="103">
        <f t="shared" si="30"/>
        <v>45139.875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45139.865277777775</v>
      </c>
      <c r="AQ32" s="103">
        <f t="shared" si="34"/>
        <v>2.425316891763174E-12</v>
      </c>
      <c r="AR32" s="103">
        <f t="shared" si="35"/>
        <v>-9.7222222248092294E-3</v>
      </c>
      <c r="AS32" s="103">
        <f t="shared" si="36"/>
        <v>5.1388888889050577E-2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910</v>
      </c>
      <c r="E33" s="121">
        <f ca="1">IFERROR(D33/24/AT33,"")</f>
        <v>132.20338982998678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0.28680555555668735</v>
      </c>
      <c r="AU33" s="143">
        <f ca="1">SUM(AU25:AU32)</f>
        <v>4.6527777776645962E-2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1104</v>
      </c>
      <c r="E35" s="80">
        <f t="shared" si="26"/>
        <v>1104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0.68263888889002078</v>
      </c>
      <c r="AU35" s="162">
        <f ca="1">+AU33+AU24+AU15</f>
        <v>0.31736111110997917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45139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194</v>
      </c>
      <c r="J40" s="171">
        <f>D33</f>
        <v>910</v>
      </c>
      <c r="K40" s="79">
        <f>D35</f>
        <v>1104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6.2499999999999993E-2</v>
      </c>
      <c r="J41" s="235">
        <f ca="1">AT33</f>
        <v>0.28680555555668735</v>
      </c>
      <c r="K41" s="235">
        <f ca="1">IF(SUM(H41:J41)=1,"24 h",SUM(H41:J41))</f>
        <v>0.68263888889002078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129.33333333333337</v>
      </c>
      <c r="J42" s="171">
        <f ca="1">E33</f>
        <v>132.20338982998678</v>
      </c>
      <c r="K42" s="171">
        <f>E35</f>
        <v>1104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71709</v>
      </c>
      <c r="H46" s="79">
        <f>+D32</f>
        <v>72813</v>
      </c>
      <c r="I46" s="79">
        <f>+D35</f>
        <v>1104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0.68263888889002078</v>
      </c>
      <c r="N46" s="79">
        <f>+L46*24</f>
        <v>16</v>
      </c>
      <c r="O46" s="238">
        <f ca="1">+AU35</f>
        <v>0.31736111110997917</v>
      </c>
      <c r="P46" s="79">
        <v>160</v>
      </c>
      <c r="Q46" s="111">
        <f ca="1">+I46/M46/24</f>
        <v>67.385554425117149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71709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71709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71709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71709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71709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71709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71709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71709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71709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4.1666666664241347E-2</v>
      </c>
      <c r="M56" s="175" t="str">
        <f t="shared" si="48"/>
        <v>Doing caucus ,cleaning tail pulley,inspection and cleaning of the  plant feeder bin.</v>
      </c>
    </row>
    <row r="57" spans="6:13" ht="12.75" hidden="1" customHeight="1" x14ac:dyDescent="0.25">
      <c r="F57" s="1">
        <v>10</v>
      </c>
      <c r="G57" s="79">
        <f t="shared" si="45"/>
        <v>71709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4.1666666666666664E-2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71709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4.1666666666666664E-2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71709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4.1666666666666664E-2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71709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4.1666666666666664E-2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71709</v>
      </c>
      <c r="H61" s="79" t="e">
        <f>#REF!</f>
        <v>#REF!</v>
      </c>
      <c r="I61" s="79" t="str">
        <f t="shared" si="46"/>
        <v>41.5</v>
      </c>
      <c r="J61" s="111" t="str">
        <f t="shared" si="47"/>
        <v>Clean</v>
      </c>
      <c r="K61" s="111" t="str">
        <f t="shared" si="47"/>
        <v>Clean</v>
      </c>
      <c r="L61" s="162">
        <f t="shared" ca="1" si="48"/>
        <v>6.250000000242531E-2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71812</v>
      </c>
      <c r="H62" s="79" t="e">
        <f>#REF!</f>
        <v>#REF!</v>
      </c>
      <c r="I62" s="79" t="str">
        <f t="shared" si="46"/>
        <v>40.6</v>
      </c>
      <c r="J62" s="111" t="str">
        <f t="shared" si="47"/>
        <v>Clean</v>
      </c>
      <c r="K62" s="111" t="str">
        <f t="shared" si="47"/>
        <v>Clean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71903</v>
      </c>
      <c r="H63" s="79" t="e">
        <f>#REF!</f>
        <v>#REF!</v>
      </c>
      <c r="I63" s="79">
        <f t="shared" si="46"/>
        <v>40.1</v>
      </c>
      <c r="J63" s="111" t="str">
        <f t="shared" si="47"/>
        <v>Clean</v>
      </c>
      <c r="K63" s="111" t="str">
        <f t="shared" si="47"/>
        <v>Clean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72035</v>
      </c>
      <c r="H64" s="79" t="e">
        <f>#REF!</f>
        <v>#REF!</v>
      </c>
      <c r="I64" s="79">
        <f t="shared" ref="I64:I71" si="50">O25</f>
        <v>37.299999999999997</v>
      </c>
      <c r="J64" s="111" t="str">
        <f t="shared" ref="J64:K71" si="51">AE25</f>
        <v>Clean</v>
      </c>
      <c r="K64" s="111" t="str">
        <f t="shared" si="51"/>
        <v>build-up</v>
      </c>
      <c r="L64" s="162">
        <f t="shared" ref="L64:M71" ca="1" si="52">AU25</f>
        <v>-1.3888888890505768E-2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72160</v>
      </c>
      <c r="H65" s="79" t="e">
        <f>#REF!</f>
        <v>#REF!</v>
      </c>
      <c r="I65" s="79">
        <f t="shared" si="50"/>
        <v>37.1</v>
      </c>
      <c r="J65" s="111" t="str">
        <f t="shared" si="51"/>
        <v>Clean</v>
      </c>
      <c r="K65" s="111" t="str">
        <f t="shared" si="51"/>
        <v>Clean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72291</v>
      </c>
      <c r="H66" s="79" t="e">
        <f>#REF!</f>
        <v>#REF!</v>
      </c>
      <c r="I66" s="79">
        <f t="shared" si="50"/>
        <v>41.5</v>
      </c>
      <c r="J66" s="111" t="str">
        <f t="shared" si="51"/>
        <v>Clean</v>
      </c>
      <c r="K66" s="111" t="str">
        <f t="shared" si="51"/>
        <v>Build Up</v>
      </c>
      <c r="L66" s="162">
        <f t="shared" ca="1" si="52"/>
        <v>0</v>
      </c>
      <c r="M66" s="175" t="str">
        <f t="shared" si="52"/>
        <v>17:03-17:13&gt;Stopped FE01 Cleaning build-up on FE03</v>
      </c>
    </row>
    <row r="67" spans="6:13" ht="12.75" hidden="1" customHeight="1" x14ac:dyDescent="0.25">
      <c r="F67" s="1">
        <v>20</v>
      </c>
      <c r="G67" s="79">
        <f t="shared" si="49"/>
        <v>72431</v>
      </c>
      <c r="H67" s="79" t="e">
        <f>#REF!</f>
        <v>#REF!</v>
      </c>
      <c r="I67" s="79">
        <f t="shared" si="50"/>
        <v>40.9</v>
      </c>
      <c r="J67" s="111" t="str">
        <f t="shared" si="51"/>
        <v>Clean</v>
      </c>
      <c r="K67" s="111" t="str">
        <f t="shared" si="51"/>
        <v>Clean</v>
      </c>
      <c r="L67" s="162">
        <f t="shared" ca="1" si="52"/>
        <v>3.9583333331393078E-2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72596</v>
      </c>
      <c r="H68" s="79" t="e">
        <f>#REF!</f>
        <v>#REF!</v>
      </c>
      <c r="I68" s="79">
        <f t="shared" si="50"/>
        <v>37.4</v>
      </c>
      <c r="J68" s="111" t="str">
        <f t="shared" si="51"/>
        <v>Clean</v>
      </c>
      <c r="K68" s="111" t="str">
        <f t="shared" si="51"/>
        <v>Clean</v>
      </c>
      <c r="L68" s="162">
        <f t="shared" ca="1" si="52"/>
        <v>0</v>
      </c>
      <c r="M68" s="175" t="str">
        <f t="shared" si="52"/>
        <v>19:39-22:00&gt;The  dry coarse material is finished, we are now feeding Kwagga</v>
      </c>
    </row>
    <row r="69" spans="6:13" ht="12.75" hidden="1" customHeight="1" x14ac:dyDescent="0.25">
      <c r="F69" s="1">
        <v>22</v>
      </c>
      <c r="G69" s="79">
        <f t="shared" si="49"/>
        <v>72725</v>
      </c>
      <c r="H69" s="79" t="e">
        <f>#REF!</f>
        <v>#REF!</v>
      </c>
      <c r="I69" s="79">
        <f t="shared" si="50"/>
        <v>40.799999999999997</v>
      </c>
      <c r="J69" s="111" t="str">
        <f t="shared" si="51"/>
        <v>Clean</v>
      </c>
      <c r="K69" s="111" t="str">
        <f t="shared" si="51"/>
        <v>Build-up</v>
      </c>
      <c r="L69" s="162">
        <f t="shared" ca="1" si="52"/>
        <v>0</v>
      </c>
      <c r="M69" s="175" t="str">
        <f t="shared" si="52"/>
        <v>20:30-20:46&gt;Stopped FE01,Cleaning FE03</v>
      </c>
    </row>
    <row r="70" spans="6:13" ht="13.5" hidden="1" customHeight="1" x14ac:dyDescent="0.25">
      <c r="F70" s="1">
        <v>23</v>
      </c>
      <c r="G70" s="79">
        <f t="shared" si="49"/>
        <v>72790</v>
      </c>
      <c r="H70" s="79" t="e">
        <f>#REF!</f>
        <v>#REF!</v>
      </c>
      <c r="I70" s="79">
        <f t="shared" si="50"/>
        <v>40.6</v>
      </c>
      <c r="J70" s="111" t="str">
        <f t="shared" si="51"/>
        <v>clean</v>
      </c>
      <c r="K70" s="111" t="str">
        <f t="shared" si="51"/>
        <v>build-up</v>
      </c>
      <c r="L70" s="162">
        <f t="shared" ca="1" si="52"/>
        <v>2.0833333335758653E-2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72813</v>
      </c>
      <c r="H71" s="79" t="e">
        <f>#REF!</f>
        <v>#REF!</v>
      </c>
      <c r="I71" s="79">
        <f t="shared" si="50"/>
        <v>40.799999999999997</v>
      </c>
      <c r="J71" s="111" t="str">
        <f t="shared" si="51"/>
        <v>Clean</v>
      </c>
      <c r="K71" s="111" t="str">
        <f t="shared" si="51"/>
        <v>Clean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765" priority="40" operator="greaterThan">
      <formula>$I$4</formula>
    </cfRule>
    <cfRule type="cellIs" dxfId="764" priority="39" operator="lessThan">
      <formula>$I$4</formula>
    </cfRule>
  </conditionalFormatting>
  <conditionalFormatting sqref="N33">
    <cfRule type="cellIs" dxfId="763" priority="48" operator="lessThan">
      <formula>75</formula>
    </cfRule>
    <cfRule type="cellIs" dxfId="762" priority="49" operator="greaterThan">
      <formula>75</formula>
    </cfRule>
  </conditionalFormatting>
  <conditionalFormatting sqref="P15 P24 P33">
    <cfRule type="cellIs" dxfId="761" priority="38" operator="greaterThan">
      <formula>52.5</formula>
    </cfRule>
    <cfRule type="cellIs" dxfId="760" priority="37" operator="lessThan">
      <formula>52.5</formula>
    </cfRule>
  </conditionalFormatting>
  <conditionalFormatting sqref="S18:S23 U18:AB23">
    <cfRule type="cellIs" dxfId="759" priority="11" operator="equal">
      <formula>"N"</formula>
    </cfRule>
    <cfRule type="cellIs" dxfId="758" priority="12" operator="equal">
      <formula>"Y"</formula>
    </cfRule>
  </conditionalFormatting>
  <conditionalFormatting sqref="S18:S23">
    <cfRule type="cellIs" dxfId="757" priority="17" operator="equal">
      <formula>"N"</formula>
    </cfRule>
    <cfRule type="cellIs" dxfId="756" priority="18" operator="equal">
      <formula>"Y"</formula>
    </cfRule>
  </conditionalFormatting>
  <conditionalFormatting sqref="T15:Z15">
    <cfRule type="cellIs" dxfId="755" priority="44" operator="equal">
      <formula>"N"</formula>
    </cfRule>
    <cfRule type="cellIs" dxfId="754" priority="45" operator="equal">
      <formula>"Y"</formula>
    </cfRule>
  </conditionalFormatting>
  <conditionalFormatting sqref="T6:AA14">
    <cfRule type="cellIs" dxfId="753" priority="32" operator="equal">
      <formula>"Y"</formula>
    </cfRule>
    <cfRule type="cellIs" dxfId="752" priority="31" operator="equal">
      <formula>"N"</formula>
    </cfRule>
  </conditionalFormatting>
  <conditionalFormatting sqref="T16:AA16 U17:AA17 T17:T23">
    <cfRule type="cellIs" dxfId="751" priority="7" operator="equal">
      <formula>"N"</formula>
    </cfRule>
    <cfRule type="cellIs" dxfId="750" priority="8" operator="equal">
      <formula>"Y"</formula>
    </cfRule>
  </conditionalFormatting>
  <conditionalFormatting sqref="T24:AA24 T33:AA33">
    <cfRule type="cellIs" dxfId="749" priority="36" operator="equal">
      <formula>"Y"</formula>
    </cfRule>
    <cfRule type="cellIs" dxfId="748" priority="35" operator="equal">
      <formula>"N"</formula>
    </cfRule>
  </conditionalFormatting>
  <conditionalFormatting sqref="T6:AC16 U17:AC17 T17:T23">
    <cfRule type="cellIs" dxfId="747" priority="3" operator="equal">
      <formula>"N"</formula>
    </cfRule>
    <cfRule type="cellIs" dxfId="746" priority="4" operator="equal">
      <formula>"Y"</formula>
    </cfRule>
  </conditionalFormatting>
  <conditionalFormatting sqref="T24:AC24 T33:AC33">
    <cfRule type="cellIs" dxfId="745" priority="27" operator="equal">
      <formula>"N"</formula>
    </cfRule>
    <cfRule type="cellIs" dxfId="744" priority="28" operator="equal">
      <formula>"Y"</formula>
    </cfRule>
  </conditionalFormatting>
  <conditionalFormatting sqref="U6:U24">
    <cfRule type="cellIs" dxfId="743" priority="1" operator="equal">
      <formula>"S"</formula>
    </cfRule>
    <cfRule type="cellIs" dxfId="742" priority="2" operator="equal">
      <formula>"C"</formula>
    </cfRule>
  </conditionalFormatting>
  <conditionalFormatting sqref="U33">
    <cfRule type="cellIs" dxfId="741" priority="25" operator="equal">
      <formula>"S"</formula>
    </cfRule>
    <cfRule type="cellIs" dxfId="740" priority="26" operator="equal">
      <formula>"C"</formula>
    </cfRule>
  </conditionalFormatting>
  <conditionalFormatting sqref="U18:Z23">
    <cfRule type="cellIs" dxfId="739" priority="14" operator="equal">
      <formula>"Y"</formula>
    </cfRule>
    <cfRule type="cellIs" dxfId="738" priority="13" operator="equal">
      <formula>"N"</formula>
    </cfRule>
  </conditionalFormatting>
  <conditionalFormatting sqref="V15">
    <cfRule type="cellIs" dxfId="737" priority="42" operator="equal">
      <formula>"S"</formula>
    </cfRule>
    <cfRule type="cellIs" dxfId="736" priority="43" operator="equal">
      <formula>"C"</formula>
    </cfRule>
  </conditionalFormatting>
  <conditionalFormatting sqref="V18:W23">
    <cfRule type="cellIs" dxfId="735" priority="20" operator="equal">
      <formula>"C"</formula>
    </cfRule>
    <cfRule type="cellIs" dxfId="734" priority="19" operator="equal">
      <formula>"S"</formula>
    </cfRule>
  </conditionalFormatting>
  <conditionalFormatting sqref="V6:X14">
    <cfRule type="cellIs" dxfId="733" priority="30" operator="equal">
      <formula>"C"</formula>
    </cfRule>
    <cfRule type="cellIs" dxfId="732" priority="29" operator="equal">
      <formula>"S"</formula>
    </cfRule>
  </conditionalFormatting>
  <conditionalFormatting sqref="V16:X17">
    <cfRule type="cellIs" dxfId="731" priority="6" operator="equal">
      <formula>"C"</formula>
    </cfRule>
    <cfRule type="cellIs" dxfId="730" priority="5" operator="equal">
      <formula>"S"</formula>
    </cfRule>
  </conditionalFormatting>
  <conditionalFormatting sqref="AG6:AG14">
    <cfRule type="cellIs" dxfId="729" priority="33" operator="lessThan">
      <formula>1.19</formula>
    </cfRule>
    <cfRule type="cellIs" dxfId="728" priority="34" operator="greaterThan">
      <formula>1.19</formula>
    </cfRule>
  </conditionalFormatting>
  <conditionalFormatting sqref="AG16:AG23">
    <cfRule type="cellIs" dxfId="727" priority="46" operator="lessThan">
      <formula>1.19</formula>
    </cfRule>
    <cfRule type="cellIs" dxfId="726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0FA7-EFF2-4F84-BAFF-9C4DDF38EF63}">
  <sheetPr>
    <pageSetUpPr fitToPage="1"/>
  </sheetPr>
  <dimension ref="A1:AW71"/>
  <sheetViews>
    <sheetView showGridLines="0" zoomScaleNormal="100" workbookViewId="0">
      <pane xSplit="2" ySplit="6" topLeftCell="C35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9" ht="14.25" customHeight="1" thickBot="1" x14ac:dyDescent="0.3">
      <c r="B1" s="195">
        <f>'01 Aug 23'!B1+1</f>
        <v>45140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253" t="s">
        <v>241</v>
      </c>
      <c r="AW1" s="1" cm="1">
        <f t="array" aca="1" ref="AW1" ca="1">AV1:AW33</f>
        <v>0</v>
      </c>
    </row>
    <row r="2" spans="1:49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9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9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9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9" ht="19.5" customHeight="1" x14ac:dyDescent="0.25">
      <c r="B6" s="198" t="s">
        <v>129</v>
      </c>
      <c r="C6" s="199" t="s">
        <v>130</v>
      </c>
      <c r="D6" s="79">
        <v>72813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9" ht="15" customHeight="1" x14ac:dyDescent="0.25">
      <c r="A7" s="96">
        <f>B7+$B$1-1</f>
        <v>45139.958333333336</v>
      </c>
      <c r="B7" s="198">
        <v>0.95833333333333304</v>
      </c>
      <c r="C7" s="199" t="s">
        <v>130</v>
      </c>
      <c r="D7" s="79">
        <v>72813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45140.916666666672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45139.958333333336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9" x14ac:dyDescent="0.25">
      <c r="A8" s="96">
        <f t="shared" ref="A8:A23" si="8">B8+$B$1</f>
        <v>45140</v>
      </c>
      <c r="B8" s="198">
        <v>0</v>
      </c>
      <c r="C8" s="199" t="s">
        <v>130</v>
      </c>
      <c r="D8" s="79">
        <v>72813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45139.958333333336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45140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9" x14ac:dyDescent="0.25">
      <c r="A9" s="96">
        <f t="shared" si="8"/>
        <v>45140.041666666664</v>
      </c>
      <c r="B9" s="198">
        <v>4.1666666666666664E-2</v>
      </c>
      <c r="C9" s="199" t="s">
        <v>130</v>
      </c>
      <c r="D9" s="79">
        <v>72813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45140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45140.041666666664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9" ht="15" customHeight="1" x14ac:dyDescent="0.25">
      <c r="A10" s="96">
        <f t="shared" si="8"/>
        <v>45140.083333333336</v>
      </c>
      <c r="B10" s="198">
        <v>8.3333333333333329E-2</v>
      </c>
      <c r="C10" s="199" t="s">
        <v>130</v>
      </c>
      <c r="D10" s="79">
        <v>72813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45140.041666666672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45140.083333333336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9" ht="15" customHeight="1" x14ac:dyDescent="0.25">
      <c r="A11" s="96">
        <f t="shared" si="8"/>
        <v>45140.125</v>
      </c>
      <c r="B11" s="198">
        <v>0.125</v>
      </c>
      <c r="C11" s="199" t="s">
        <v>130</v>
      </c>
      <c r="D11" s="79">
        <v>72813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45140.083333333336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45140.125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9" ht="14.45" customHeight="1" x14ac:dyDescent="0.25">
      <c r="A12" s="96">
        <f t="shared" si="8"/>
        <v>45140.166666666664</v>
      </c>
      <c r="B12" s="198">
        <v>0.16666666666666666</v>
      </c>
      <c r="C12" s="199" t="s">
        <v>130</v>
      </c>
      <c r="D12" s="79">
        <v>72813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45140.125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45140.166666666664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9" ht="15" customHeight="1" x14ac:dyDescent="0.25">
      <c r="A13" s="96">
        <f t="shared" si="8"/>
        <v>45140.208333333336</v>
      </c>
      <c r="B13" s="198">
        <v>0.20833333333333334</v>
      </c>
      <c r="C13" s="199" t="s">
        <v>130</v>
      </c>
      <c r="D13" s="79">
        <v>72813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45140.166666666672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45140.208333333336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 cm="1">
        <f t="array" aca="1" ref="AV13" ca="1">AV13:AV19</f>
        <v>0</v>
      </c>
    </row>
    <row r="14" spans="1:49" x14ac:dyDescent="0.25">
      <c r="A14" s="96">
        <f t="shared" si="8"/>
        <v>45140.25</v>
      </c>
      <c r="B14" s="198">
        <v>0.25</v>
      </c>
      <c r="C14" s="199" t="s">
        <v>130</v>
      </c>
      <c r="D14" s="79">
        <v>72813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45140.208333333336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45140.25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9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9" ht="13.15" customHeight="1" x14ac:dyDescent="0.25">
      <c r="A16" s="96">
        <f t="shared" si="8"/>
        <v>45140.291666666664</v>
      </c>
      <c r="B16" s="198">
        <v>0.29166666666666669</v>
      </c>
      <c r="C16" s="199" t="s">
        <v>130</v>
      </c>
      <c r="D16" s="79">
        <v>72813</v>
      </c>
      <c r="E16" s="80">
        <f>IF(D16&gt;0,D16-D14,"")</f>
        <v>0</v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>
        <v>0.25</v>
      </c>
      <c r="AJ16" s="101"/>
      <c r="AK16" s="102">
        <f t="shared" ref="AK16:AK23" si="15">AO16</f>
        <v>0</v>
      </c>
      <c r="AL16" s="103">
        <f t="shared" ref="AL16:AL23" si="16">IF(AI16&lt;&gt;"",AI16+$B$1,B16+$B$1-1/24)</f>
        <v>45140.25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0</v>
      </c>
      <c r="AP16" s="103">
        <f t="shared" ref="AP16:AP23" si="20">IF(AJ16&lt;&gt;"",AJ16+$B$1,B16+$B$1)</f>
        <v>45140.291666666664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2.425316891763174E-12</v>
      </c>
      <c r="AU16" s="104">
        <f t="shared" ref="AU16:AU23" ca="1" si="24">IF(A16&lt;$AU$1,1/24-AT16,0)</f>
        <v>4.1666666664241347E-2</v>
      </c>
      <c r="AV16" s="239" t="s">
        <v>242</v>
      </c>
    </row>
    <row r="17" spans="1:48" x14ac:dyDescent="0.25">
      <c r="A17" s="96">
        <f t="shared" si="8"/>
        <v>45140.333333333336</v>
      </c>
      <c r="B17" s="198">
        <v>0.33333333333333331</v>
      </c>
      <c r="C17" s="199" t="s">
        <v>130</v>
      </c>
      <c r="D17" s="79">
        <v>72813</v>
      </c>
      <c r="E17" s="80">
        <v>0</v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0</v>
      </c>
      <c r="AL17" s="103">
        <f t="shared" si="16"/>
        <v>45140.291666666672</v>
      </c>
      <c r="AM17" s="102">
        <f t="shared" si="17"/>
        <v>0</v>
      </c>
      <c r="AN17" s="102">
        <f t="shared" si="18"/>
        <v>0</v>
      </c>
      <c r="AO17" s="102">
        <f t="shared" si="19"/>
        <v>0</v>
      </c>
      <c r="AP17" s="103">
        <f t="shared" si="20"/>
        <v>45140.333333333336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4.1666666666666664E-2</v>
      </c>
      <c r="AV17" s="239"/>
    </row>
    <row r="18" spans="1:48" x14ac:dyDescent="0.25">
      <c r="A18" s="96">
        <f t="shared" si="8"/>
        <v>45140.375</v>
      </c>
      <c r="B18" s="198">
        <v>0.375</v>
      </c>
      <c r="C18" s="199" t="s">
        <v>130</v>
      </c>
      <c r="D18" s="79">
        <v>72813</v>
      </c>
      <c r="E18" s="80">
        <f t="shared" ref="E18:E20" si="26">IF(D18&gt;0,D18-D16,"")</f>
        <v>0</v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0</v>
      </c>
      <c r="AL18" s="103">
        <f t="shared" si="16"/>
        <v>45140.333333333336</v>
      </c>
      <c r="AM18" s="102">
        <f t="shared" si="17"/>
        <v>0</v>
      </c>
      <c r="AN18" s="102">
        <f t="shared" si="18"/>
        <v>0</v>
      </c>
      <c r="AO18" s="102">
        <f t="shared" si="19"/>
        <v>0</v>
      </c>
      <c r="AP18" s="103">
        <f t="shared" si="20"/>
        <v>45140.375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4.1666666666666664E-2</v>
      </c>
      <c r="AV18" s="239"/>
    </row>
    <row r="19" spans="1:48" ht="15.75" customHeight="1" x14ac:dyDescent="0.25">
      <c r="A19" s="96">
        <f t="shared" si="8"/>
        <v>45140.416666666664</v>
      </c>
      <c r="B19" s="198">
        <v>0.41666666666666702</v>
      </c>
      <c r="C19" s="199" t="s">
        <v>130</v>
      </c>
      <c r="D19" s="79">
        <v>72813</v>
      </c>
      <c r="E19" s="80">
        <f t="shared" si="26"/>
        <v>0</v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0</v>
      </c>
      <c r="AL19" s="103">
        <f t="shared" si="16"/>
        <v>45140.375</v>
      </c>
      <c r="AM19" s="102">
        <f t="shared" si="17"/>
        <v>0</v>
      </c>
      <c r="AN19" s="102">
        <f t="shared" si="18"/>
        <v>0</v>
      </c>
      <c r="AO19" s="102">
        <f t="shared" si="19"/>
        <v>0</v>
      </c>
      <c r="AP19" s="103">
        <f t="shared" si="20"/>
        <v>45140.416666666664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4.1666666666666664E-2</v>
      </c>
      <c r="AV19" s="239"/>
    </row>
    <row r="20" spans="1:48" x14ac:dyDescent="0.25">
      <c r="A20" s="96">
        <f t="shared" si="8"/>
        <v>45140.458333333336</v>
      </c>
      <c r="B20" s="198">
        <v>0.45833333333333331</v>
      </c>
      <c r="C20" s="199" t="s">
        <v>130</v>
      </c>
      <c r="D20" s="79">
        <v>72813</v>
      </c>
      <c r="E20" s="80">
        <f t="shared" si="26"/>
        <v>0</v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0</v>
      </c>
      <c r="AL20" s="103">
        <f t="shared" si="16"/>
        <v>45140.416666666672</v>
      </c>
      <c r="AM20" s="102">
        <f t="shared" si="17"/>
        <v>0</v>
      </c>
      <c r="AN20" s="102">
        <f t="shared" si="18"/>
        <v>0</v>
      </c>
      <c r="AO20" s="102">
        <f t="shared" si="19"/>
        <v>0</v>
      </c>
      <c r="AP20" s="103">
        <f t="shared" si="20"/>
        <v>45140.458333333336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4.1666666666666664E-2</v>
      </c>
      <c r="AV20" s="239" t="s">
        <v>243</v>
      </c>
    </row>
    <row r="21" spans="1:48" x14ac:dyDescent="0.25">
      <c r="A21" s="96">
        <f t="shared" si="8"/>
        <v>45140.5</v>
      </c>
      <c r="B21" s="214">
        <v>0.5</v>
      </c>
      <c r="C21" s="199" t="s">
        <v>130</v>
      </c>
      <c r="D21" s="79">
        <v>72962</v>
      </c>
      <c r="E21" s="80">
        <f>IF(D21&gt;0,D21-D20,"")</f>
        <v>149</v>
      </c>
      <c r="F21" s="200">
        <f t="shared" si="9"/>
        <v>200</v>
      </c>
      <c r="G21" s="210">
        <v>30</v>
      </c>
      <c r="H21" s="209">
        <v>40</v>
      </c>
      <c r="I21" s="210">
        <v>15</v>
      </c>
      <c r="J21" s="211">
        <v>20</v>
      </c>
      <c r="K21" s="209" t="s">
        <v>136</v>
      </c>
      <c r="L21" s="209" t="s">
        <v>136</v>
      </c>
      <c r="M21" s="209"/>
      <c r="N21" s="209" t="s">
        <v>239</v>
      </c>
      <c r="O21" s="209" t="s">
        <v>209</v>
      </c>
      <c r="P21" s="79" t="s">
        <v>240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85</v>
      </c>
      <c r="W21" s="212">
        <v>42</v>
      </c>
      <c r="X21" s="209">
        <v>86</v>
      </c>
      <c r="Y21" s="209">
        <v>90</v>
      </c>
      <c r="Z21" s="209"/>
      <c r="AA21" s="212">
        <v>90</v>
      </c>
      <c r="AB21" s="212">
        <v>6</v>
      </c>
      <c r="AC21" s="213">
        <v>100</v>
      </c>
      <c r="AD21" s="213">
        <v>37</v>
      </c>
      <c r="AE21" s="209" t="s">
        <v>134</v>
      </c>
      <c r="AF21" s="209" t="s">
        <v>135</v>
      </c>
      <c r="AG21" s="209"/>
      <c r="AH21" s="209"/>
      <c r="AI21" s="101"/>
      <c r="AJ21" s="101">
        <v>0.47291666666666665</v>
      </c>
      <c r="AK21" s="102">
        <f t="shared" si="15"/>
        <v>1</v>
      </c>
      <c r="AL21" s="103">
        <f t="shared" si="16"/>
        <v>45140.458333333336</v>
      </c>
      <c r="AM21" s="102">
        <f t="shared" si="17"/>
        <v>0</v>
      </c>
      <c r="AN21" s="102">
        <f t="shared" si="18"/>
        <v>0</v>
      </c>
      <c r="AO21" s="102">
        <f t="shared" si="19"/>
        <v>1</v>
      </c>
      <c r="AP21" s="103">
        <f t="shared" si="20"/>
        <v>45140.472916666666</v>
      </c>
      <c r="AQ21" s="103">
        <f t="shared" si="21"/>
        <v>2.425316891763174E-12</v>
      </c>
      <c r="AR21" s="103">
        <f t="shared" si="25"/>
        <v>1.4583333329937886E-2</v>
      </c>
      <c r="AS21" s="103">
        <f t="shared" si="22"/>
        <v>2.7083333334303461E-2</v>
      </c>
      <c r="AT21" s="103">
        <f t="shared" ca="1" si="23"/>
        <v>2.7083333334303461E-2</v>
      </c>
      <c r="AU21" s="104">
        <f t="shared" ca="1" si="24"/>
        <v>1.4583333332363203E-2</v>
      </c>
      <c r="AV21" s="239"/>
    </row>
    <row r="22" spans="1:48" ht="13.5" customHeight="1" x14ac:dyDescent="0.25">
      <c r="A22" s="96">
        <f t="shared" si="8"/>
        <v>45140.541666666664</v>
      </c>
      <c r="B22" s="214">
        <v>0.54166666666666663</v>
      </c>
      <c r="C22" s="199" t="s">
        <v>130</v>
      </c>
      <c r="D22" s="79">
        <v>73063</v>
      </c>
      <c r="E22" s="80">
        <f t="shared" ref="E22:E23" si="27">IF(D22&gt;0,D22-D21,"")</f>
        <v>101</v>
      </c>
      <c r="F22" s="200">
        <f t="shared" si="9"/>
        <v>200</v>
      </c>
      <c r="G22" s="210">
        <v>31</v>
      </c>
      <c r="H22" s="209">
        <v>40</v>
      </c>
      <c r="I22" s="210">
        <v>15</v>
      </c>
      <c r="J22" s="211">
        <v>20</v>
      </c>
      <c r="K22" s="209" t="s">
        <v>136</v>
      </c>
      <c r="L22" s="209" t="s">
        <v>136</v>
      </c>
      <c r="M22" s="209"/>
      <c r="N22" s="209" t="s">
        <v>137</v>
      </c>
      <c r="O22" s="209" t="s">
        <v>189</v>
      </c>
      <c r="P22" s="79" t="s">
        <v>180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90</v>
      </c>
      <c r="W22" s="212">
        <v>28</v>
      </c>
      <c r="X22" s="209">
        <v>63</v>
      </c>
      <c r="Y22" s="209">
        <v>100</v>
      </c>
      <c r="Z22" s="209"/>
      <c r="AA22" s="212">
        <v>90</v>
      </c>
      <c r="AB22" s="212">
        <v>8</v>
      </c>
      <c r="AC22" s="213">
        <v>100</v>
      </c>
      <c r="AD22" s="213">
        <v>35</v>
      </c>
      <c r="AE22" s="209" t="s">
        <v>134</v>
      </c>
      <c r="AF22" s="209" t="s">
        <v>135</v>
      </c>
      <c r="AG22" s="209"/>
      <c r="AH22" s="209"/>
      <c r="AI22" s="101">
        <v>0.54027777777777775</v>
      </c>
      <c r="AJ22" s="101"/>
      <c r="AK22" s="102">
        <f t="shared" si="15"/>
        <v>0</v>
      </c>
      <c r="AL22" s="103">
        <f t="shared" si="16"/>
        <v>45140.540277777778</v>
      </c>
      <c r="AM22" s="102">
        <f t="shared" si="17"/>
        <v>1</v>
      </c>
      <c r="AN22" s="102">
        <f t="shared" si="18"/>
        <v>0</v>
      </c>
      <c r="AO22" s="102">
        <f t="shared" si="19"/>
        <v>0</v>
      </c>
      <c r="AP22" s="103">
        <f t="shared" si="20"/>
        <v>45140.541666666664</v>
      </c>
      <c r="AQ22" s="103">
        <f t="shared" si="21"/>
        <v>4.0277777780526471E-2</v>
      </c>
      <c r="AR22" s="103">
        <f t="shared" si="25"/>
        <v>1.3888888861401938E-3</v>
      </c>
      <c r="AS22" s="103">
        <f t="shared" si="22"/>
        <v>0</v>
      </c>
      <c r="AT22" s="103">
        <f t="shared" ca="1" si="23"/>
        <v>4.0277777780526471E-2</v>
      </c>
      <c r="AU22" s="104">
        <f t="shared" ca="1" si="24"/>
        <v>1.3888888861401938E-3</v>
      </c>
      <c r="AV22" s="239"/>
    </row>
    <row r="23" spans="1:48" x14ac:dyDescent="0.25">
      <c r="A23" s="96">
        <f t="shared" si="8"/>
        <v>45140.583333333336</v>
      </c>
      <c r="B23" s="215">
        <v>0.58333333333333337</v>
      </c>
      <c r="C23" s="199" t="s">
        <v>130</v>
      </c>
      <c r="D23" s="79">
        <v>73173</v>
      </c>
      <c r="E23" s="80">
        <f t="shared" si="27"/>
        <v>110</v>
      </c>
      <c r="F23" s="200">
        <f t="shared" si="9"/>
        <v>200</v>
      </c>
      <c r="G23" s="210">
        <v>30</v>
      </c>
      <c r="H23" s="209">
        <v>41</v>
      </c>
      <c r="I23" s="210">
        <v>15</v>
      </c>
      <c r="J23" s="211">
        <v>20</v>
      </c>
      <c r="K23" s="209" t="s">
        <v>136</v>
      </c>
      <c r="L23" s="209" t="s">
        <v>136</v>
      </c>
      <c r="M23" s="209"/>
      <c r="N23" s="209">
        <v>32.4</v>
      </c>
      <c r="O23" s="209">
        <v>37</v>
      </c>
      <c r="P23" s="79">
        <v>2.2000000000000002</v>
      </c>
      <c r="Q23" s="79">
        <v>20</v>
      </c>
      <c r="R23" s="79" t="s">
        <v>136</v>
      </c>
      <c r="S23" s="209"/>
      <c r="T23" s="85" t="s">
        <v>136</v>
      </c>
      <c r="U23" s="209"/>
      <c r="V23" s="212">
        <v>90</v>
      </c>
      <c r="W23" s="212">
        <v>3</v>
      </c>
      <c r="X23" s="209">
        <v>72</v>
      </c>
      <c r="Y23" s="209">
        <v>100</v>
      </c>
      <c r="Z23" s="209"/>
      <c r="AA23" s="212">
        <v>90</v>
      </c>
      <c r="AB23" s="212">
        <v>9</v>
      </c>
      <c r="AC23" s="213">
        <v>100</v>
      </c>
      <c r="AD23" s="213">
        <v>39</v>
      </c>
      <c r="AE23" s="209" t="s">
        <v>176</v>
      </c>
      <c r="AF23" s="209" t="s">
        <v>135</v>
      </c>
      <c r="AG23" s="209"/>
      <c r="AH23" s="209"/>
      <c r="AI23" s="101"/>
      <c r="AJ23" s="101">
        <v>0.54791666666666672</v>
      </c>
      <c r="AK23" s="102">
        <f t="shared" si="15"/>
        <v>1</v>
      </c>
      <c r="AL23" s="103">
        <f t="shared" si="16"/>
        <v>45140.541666666672</v>
      </c>
      <c r="AM23" s="102">
        <f t="shared" si="17"/>
        <v>0</v>
      </c>
      <c r="AN23" s="102">
        <f t="shared" si="18"/>
        <v>0</v>
      </c>
      <c r="AO23" s="102">
        <f t="shared" si="19"/>
        <v>1</v>
      </c>
      <c r="AP23" s="103">
        <f t="shared" si="20"/>
        <v>45140.54791666667</v>
      </c>
      <c r="AQ23" s="103">
        <f t="shared" si="21"/>
        <v>2.425316891763174E-12</v>
      </c>
      <c r="AR23" s="103">
        <f t="shared" si="25"/>
        <v>6.2499999985448085E-3</v>
      </c>
      <c r="AS23" s="103">
        <f t="shared" si="22"/>
        <v>3.5416666665696539E-2</v>
      </c>
      <c r="AT23" s="103">
        <f t="shared" ca="1" si="23"/>
        <v>3.5416666665696539E-2</v>
      </c>
      <c r="AU23" s="104">
        <f t="shared" ca="1" si="24"/>
        <v>6.2500000009701254E-3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360</v>
      </c>
      <c r="E24" s="121">
        <f ca="1">IFERROR(D24/24/AT24,"")</f>
        <v>145.94594593859878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8">IFERROR(AVERAGE(AE16:AE23),"")</f>
        <v/>
      </c>
      <c r="AF24" s="136" t="str">
        <f t="shared" si="28"/>
        <v/>
      </c>
      <c r="AG24" s="136" t="str">
        <f t="shared" si="28"/>
        <v/>
      </c>
      <c r="AH24" s="136" t="str">
        <f t="shared" si="28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0.10277777778295179</v>
      </c>
      <c r="AU24" s="143">
        <f ca="1">SUM(AU16:AU23)</f>
        <v>0.23055555555038149</v>
      </c>
      <c r="AV24" s="239"/>
    </row>
    <row r="25" spans="1:48" ht="13.15" customHeight="1" thickTop="1" x14ac:dyDescent="0.25">
      <c r="A25" s="96">
        <f t="shared" ref="A25:A32" si="29">B25+$B$1</f>
        <v>45140.625</v>
      </c>
      <c r="B25" s="198">
        <v>0.625</v>
      </c>
      <c r="C25" s="199" t="s">
        <v>130</v>
      </c>
      <c r="D25" s="79">
        <v>73222</v>
      </c>
      <c r="E25" s="80">
        <f>IF(D25&gt;0,D25-D23,"")</f>
        <v>49</v>
      </c>
      <c r="F25" s="200">
        <f t="shared" si="9"/>
        <v>200</v>
      </c>
      <c r="G25" s="210">
        <v>30</v>
      </c>
      <c r="H25" s="210">
        <v>40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38.799999999999997</v>
      </c>
      <c r="O25" s="209">
        <v>39.5</v>
      </c>
      <c r="P25" s="209">
        <v>1.7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90</v>
      </c>
      <c r="W25" s="212">
        <v>15</v>
      </c>
      <c r="X25" s="212">
        <v>77</v>
      </c>
      <c r="Y25" s="209">
        <v>100</v>
      </c>
      <c r="Z25" s="209"/>
      <c r="AA25" s="209">
        <v>90</v>
      </c>
      <c r="AB25" s="212">
        <v>10</v>
      </c>
      <c r="AC25" s="209">
        <v>100</v>
      </c>
      <c r="AD25" s="213">
        <v>39</v>
      </c>
      <c r="AE25" s="209" t="s">
        <v>135</v>
      </c>
      <c r="AF25" s="209" t="s">
        <v>135</v>
      </c>
      <c r="AG25" s="209"/>
      <c r="AH25" s="209"/>
      <c r="AI25" s="134">
        <v>0.58333333333333337</v>
      </c>
      <c r="AJ25" s="134">
        <v>0.625</v>
      </c>
      <c r="AK25" s="102">
        <f t="shared" ref="AK25:AK32" si="30">AO25</f>
        <v>1</v>
      </c>
      <c r="AL25" s="103">
        <f t="shared" ref="AL25:AL32" si="31">IF(AI25&lt;&gt;"",AI25+$B$1,B25+$B$1-1/24)</f>
        <v>45140.583333333336</v>
      </c>
      <c r="AM25" s="102">
        <f t="shared" ref="AM25:AM32" si="32">AK24</f>
        <v>1</v>
      </c>
      <c r="AN25" s="102">
        <f t="shared" ref="AN25:AN32" si="33">IF(AI25="",AM25,0)</f>
        <v>0</v>
      </c>
      <c r="AO25" s="102">
        <f t="shared" ref="AO25:AO32" si="34">IF(AJ25&lt;&gt;"",1,AN25)</f>
        <v>1</v>
      </c>
      <c r="AP25" s="103">
        <f>IF(AJ23&lt;&gt;"",AJ23+$B$1,B25+$B$1)</f>
        <v>45140.54791666667</v>
      </c>
      <c r="AQ25" s="103">
        <f t="shared" ref="AQ25:AQ32" si="35">AL25-A25+1/24</f>
        <v>2.425316891763174E-12</v>
      </c>
      <c r="AR25" s="103">
        <f t="shared" ref="AR25:AR32" si="36">AP25-AL25</f>
        <v>-3.5416666665696539E-2</v>
      </c>
      <c r="AS25" s="103">
        <f t="shared" ref="AS25:AS32" si="37">A25-AP25</f>
        <v>7.7083333329937886E-2</v>
      </c>
      <c r="AT25" s="103"/>
      <c r="AU25" s="104">
        <f t="shared" ref="AU25:AU32" ca="1" si="38">IF(A25&lt;$AU$1,1/24-AT25,0)</f>
        <v>4.1666666666666664E-2</v>
      </c>
      <c r="AV25" s="239" t="s">
        <v>244</v>
      </c>
    </row>
    <row r="26" spans="1:48" x14ac:dyDescent="0.25">
      <c r="A26" s="96">
        <f t="shared" si="29"/>
        <v>45140.666666666664</v>
      </c>
      <c r="B26" s="198">
        <v>0.66666666666666663</v>
      </c>
      <c r="C26" s="199" t="s">
        <v>130</v>
      </c>
      <c r="D26" s="79">
        <v>73340</v>
      </c>
      <c r="E26" s="80">
        <f t="shared" ref="E26:E35" si="39">IF(D26&gt;0,D26-D25,"")</f>
        <v>118</v>
      </c>
      <c r="F26" s="200">
        <f t="shared" si="9"/>
        <v>200</v>
      </c>
      <c r="G26" s="210">
        <v>31</v>
      </c>
      <c r="H26" s="210">
        <v>41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32</v>
      </c>
      <c r="O26" s="209">
        <v>37</v>
      </c>
      <c r="P26" s="209">
        <v>2.6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90</v>
      </c>
      <c r="W26" s="212">
        <v>14</v>
      </c>
      <c r="X26" s="212">
        <v>85</v>
      </c>
      <c r="Y26" s="209">
        <v>100</v>
      </c>
      <c r="Z26" s="209"/>
      <c r="AA26" s="209">
        <v>90</v>
      </c>
      <c r="AB26" s="212">
        <v>9</v>
      </c>
      <c r="AC26" s="209">
        <v>100</v>
      </c>
      <c r="AD26" s="213">
        <v>35</v>
      </c>
      <c r="AE26" s="209" t="s">
        <v>134</v>
      </c>
      <c r="AF26" s="209" t="s">
        <v>238</v>
      </c>
      <c r="AG26" s="209"/>
      <c r="AH26" s="209"/>
      <c r="AI26" s="134">
        <v>0.58333333333333337</v>
      </c>
      <c r="AJ26" s="134">
        <v>0.625</v>
      </c>
      <c r="AK26" s="102">
        <f t="shared" si="30"/>
        <v>1</v>
      </c>
      <c r="AL26" s="103">
        <f t="shared" si="31"/>
        <v>45140.583333333336</v>
      </c>
      <c r="AM26" s="102">
        <f t="shared" si="32"/>
        <v>1</v>
      </c>
      <c r="AN26" s="102">
        <f t="shared" si="33"/>
        <v>0</v>
      </c>
      <c r="AO26" s="102">
        <f t="shared" si="34"/>
        <v>1</v>
      </c>
      <c r="AP26" s="103">
        <f t="shared" ref="AP26:AP32" si="40">IF(AJ25&lt;&gt;"",AJ25+$B$1,B26+$B$1)</f>
        <v>45140.625</v>
      </c>
      <c r="AQ26" s="103">
        <f t="shared" si="35"/>
        <v>-4.1666666661816031E-2</v>
      </c>
      <c r="AR26" s="103">
        <f t="shared" si="36"/>
        <v>4.1666666664241347E-2</v>
      </c>
      <c r="AS26" s="103">
        <f t="shared" si="37"/>
        <v>4.1666666664241347E-2</v>
      </c>
      <c r="AT26" s="103">
        <f t="shared" ref="AT26:AT32" ca="1" si="41">IF(A26&lt;$AU$1,SUMPRODUCT(AM26:AO26,AQ26:AS26),0)</f>
        <v>2.425316891763174E-12</v>
      </c>
      <c r="AU26" s="104">
        <f t="shared" ca="1" si="38"/>
        <v>4.1666666664241347E-2</v>
      </c>
      <c r="AV26" s="239" t="s">
        <v>245</v>
      </c>
    </row>
    <row r="27" spans="1:48" x14ac:dyDescent="0.25">
      <c r="A27" s="96">
        <f t="shared" si="29"/>
        <v>45140.708333333336</v>
      </c>
      <c r="B27" s="198">
        <v>0.70833333333333337</v>
      </c>
      <c r="C27" s="199" t="s">
        <v>130</v>
      </c>
      <c r="D27" s="79">
        <v>73470</v>
      </c>
      <c r="E27" s="80">
        <f t="shared" si="39"/>
        <v>130</v>
      </c>
      <c r="F27" s="200">
        <f t="shared" si="9"/>
        <v>200</v>
      </c>
      <c r="G27" s="210">
        <v>30</v>
      </c>
      <c r="H27" s="210">
        <v>40</v>
      </c>
      <c r="I27" s="209">
        <v>15</v>
      </c>
      <c r="J27" s="211">
        <v>20</v>
      </c>
      <c r="K27" s="211" t="s">
        <v>136</v>
      </c>
      <c r="L27" s="209" t="s">
        <v>136</v>
      </c>
      <c r="M27" s="209"/>
      <c r="N27" s="209">
        <v>38.799999999999997</v>
      </c>
      <c r="O27" s="209">
        <v>39.5</v>
      </c>
      <c r="P27" s="209">
        <v>2.6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90</v>
      </c>
      <c r="W27" s="212">
        <v>15</v>
      </c>
      <c r="X27" s="212">
        <v>90</v>
      </c>
      <c r="Y27" s="209">
        <v>100</v>
      </c>
      <c r="Z27" s="209"/>
      <c r="AA27" s="209">
        <v>90</v>
      </c>
      <c r="AB27" s="212">
        <v>8</v>
      </c>
      <c r="AC27" s="209">
        <v>100</v>
      </c>
      <c r="AD27" s="213">
        <v>35</v>
      </c>
      <c r="AE27" s="209" t="s">
        <v>134</v>
      </c>
      <c r="AF27" s="209" t="s">
        <v>238</v>
      </c>
      <c r="AG27" s="209"/>
      <c r="AH27" s="209"/>
      <c r="AI27" s="134"/>
      <c r="AJ27" s="145"/>
      <c r="AK27" s="102">
        <f t="shared" si="30"/>
        <v>1</v>
      </c>
      <c r="AL27" s="103">
        <f t="shared" si="31"/>
        <v>45140.666666666672</v>
      </c>
      <c r="AM27" s="102">
        <f t="shared" si="32"/>
        <v>1</v>
      </c>
      <c r="AN27" s="102">
        <f t="shared" si="33"/>
        <v>1</v>
      </c>
      <c r="AO27" s="102">
        <f t="shared" si="34"/>
        <v>1</v>
      </c>
      <c r="AP27" s="103">
        <f t="shared" si="40"/>
        <v>45140.625</v>
      </c>
      <c r="AQ27" s="103">
        <f t="shared" si="35"/>
        <v>2.425316891763174E-12</v>
      </c>
      <c r="AR27" s="103">
        <f t="shared" si="36"/>
        <v>-4.1666666671517305E-2</v>
      </c>
      <c r="AS27" s="103">
        <f t="shared" si="37"/>
        <v>8.3333333335758653E-2</v>
      </c>
      <c r="AT27" s="103">
        <f t="shared" ca="1" si="41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9"/>
        <v>45140.75</v>
      </c>
      <c r="B28" s="198">
        <v>0.75</v>
      </c>
      <c r="C28" s="199" t="s">
        <v>130</v>
      </c>
      <c r="D28" s="79">
        <v>73571</v>
      </c>
      <c r="E28" s="80">
        <f t="shared" si="39"/>
        <v>101</v>
      </c>
      <c r="F28" s="200">
        <f t="shared" si="9"/>
        <v>200</v>
      </c>
      <c r="G28" s="210">
        <v>31</v>
      </c>
      <c r="H28" s="210">
        <v>41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>
        <v>32</v>
      </c>
      <c r="O28" s="209">
        <v>37.5</v>
      </c>
      <c r="P28" s="209">
        <v>2.7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90</v>
      </c>
      <c r="W28" s="212">
        <v>15</v>
      </c>
      <c r="X28" s="212">
        <v>85</v>
      </c>
      <c r="Y28" s="209">
        <v>100</v>
      </c>
      <c r="Z28" s="209"/>
      <c r="AA28" s="209">
        <v>90</v>
      </c>
      <c r="AB28" s="212">
        <v>9</v>
      </c>
      <c r="AC28" s="212">
        <v>100</v>
      </c>
      <c r="AD28" s="213">
        <v>35</v>
      </c>
      <c r="AE28" s="209" t="s">
        <v>134</v>
      </c>
      <c r="AF28" s="209" t="s">
        <v>238</v>
      </c>
      <c r="AG28" s="209"/>
      <c r="AH28" s="209"/>
      <c r="AI28" s="101"/>
      <c r="AJ28" s="101"/>
      <c r="AK28" s="102">
        <f t="shared" si="30"/>
        <v>1</v>
      </c>
      <c r="AL28" s="103">
        <f t="shared" si="31"/>
        <v>45140.708333333336</v>
      </c>
      <c r="AM28" s="102">
        <f t="shared" si="32"/>
        <v>1</v>
      </c>
      <c r="AN28" s="102">
        <f t="shared" si="33"/>
        <v>1</v>
      </c>
      <c r="AO28" s="102">
        <f t="shared" si="34"/>
        <v>1</v>
      </c>
      <c r="AP28" s="103">
        <f t="shared" si="40"/>
        <v>45140.75</v>
      </c>
      <c r="AQ28" s="103">
        <f t="shared" si="35"/>
        <v>2.425316891763174E-12</v>
      </c>
      <c r="AR28" s="103">
        <f t="shared" si="36"/>
        <v>4.1666666664241347E-2</v>
      </c>
      <c r="AS28" s="103">
        <f t="shared" si="37"/>
        <v>0</v>
      </c>
      <c r="AT28" s="103">
        <f t="shared" ca="1" si="41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9"/>
        <v>45140.791666666664</v>
      </c>
      <c r="B29" s="198">
        <v>0.79166666666666663</v>
      </c>
      <c r="C29" s="199" t="s">
        <v>130</v>
      </c>
      <c r="D29" s="79">
        <v>73639</v>
      </c>
      <c r="E29" s="80">
        <f t="shared" si="39"/>
        <v>68</v>
      </c>
      <c r="F29" s="200">
        <f t="shared" si="9"/>
        <v>200</v>
      </c>
      <c r="G29" s="210">
        <v>31</v>
      </c>
      <c r="H29" s="210">
        <v>41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>
        <v>38.799999999999997</v>
      </c>
      <c r="O29" s="209">
        <v>39.5</v>
      </c>
      <c r="P29" s="209">
        <v>2.6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90</v>
      </c>
      <c r="W29" s="212">
        <v>15</v>
      </c>
      <c r="X29" s="212">
        <v>70</v>
      </c>
      <c r="Y29" s="209">
        <v>100</v>
      </c>
      <c r="Z29" s="209"/>
      <c r="AA29" s="209">
        <v>90</v>
      </c>
      <c r="AB29" s="212">
        <v>8</v>
      </c>
      <c r="AC29" s="212">
        <v>100</v>
      </c>
      <c r="AD29" s="213">
        <v>39</v>
      </c>
      <c r="AE29" s="209" t="s">
        <v>135</v>
      </c>
      <c r="AF29" s="209" t="s">
        <v>176</v>
      </c>
      <c r="AG29" s="209"/>
      <c r="AH29" s="209"/>
      <c r="AI29" s="100"/>
      <c r="AJ29" s="101"/>
      <c r="AK29" s="102">
        <f t="shared" si="30"/>
        <v>1</v>
      </c>
      <c r="AL29" s="103">
        <f t="shared" si="31"/>
        <v>45140.75</v>
      </c>
      <c r="AM29" s="102">
        <f t="shared" si="32"/>
        <v>1</v>
      </c>
      <c r="AN29" s="102">
        <f t="shared" si="33"/>
        <v>1</v>
      </c>
      <c r="AO29" s="102">
        <f t="shared" si="34"/>
        <v>1</v>
      </c>
      <c r="AP29" s="103">
        <f t="shared" si="40"/>
        <v>45140.791666666664</v>
      </c>
      <c r="AQ29" s="103">
        <f t="shared" si="35"/>
        <v>2.425316891763174E-12</v>
      </c>
      <c r="AR29" s="103">
        <f t="shared" si="36"/>
        <v>4.1666666664241347E-2</v>
      </c>
      <c r="AS29" s="103">
        <f t="shared" si="37"/>
        <v>0</v>
      </c>
      <c r="AT29" s="103">
        <f t="shared" ca="1" si="41"/>
        <v>4.1666666666666664E-2</v>
      </c>
      <c r="AU29" s="104">
        <f t="shared" ca="1" si="38"/>
        <v>0</v>
      </c>
      <c r="AV29" s="239" t="s">
        <v>246</v>
      </c>
    </row>
    <row r="30" spans="1:48" x14ac:dyDescent="0.25">
      <c r="A30" s="96">
        <f t="shared" si="29"/>
        <v>45140.833333333336</v>
      </c>
      <c r="B30" s="198">
        <v>0.83333333333333337</v>
      </c>
      <c r="C30" s="199" t="s">
        <v>130</v>
      </c>
      <c r="D30" s="79">
        <v>73639</v>
      </c>
      <c r="E30" s="80">
        <f t="shared" si="39"/>
        <v>0</v>
      </c>
      <c r="F30" s="200">
        <f t="shared" si="9"/>
        <v>200</v>
      </c>
      <c r="G30" s="210">
        <v>30</v>
      </c>
      <c r="H30" s="210">
        <v>40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>
        <v>38.799999999999997</v>
      </c>
      <c r="O30" s="209">
        <v>37.5</v>
      </c>
      <c r="P30" s="209">
        <v>2.7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90</v>
      </c>
      <c r="W30" s="212">
        <v>15</v>
      </c>
      <c r="X30" s="212">
        <v>85</v>
      </c>
      <c r="Y30" s="209">
        <v>100</v>
      </c>
      <c r="Z30" s="209"/>
      <c r="AA30" s="209">
        <v>90</v>
      </c>
      <c r="AB30" s="212">
        <v>9</v>
      </c>
      <c r="AC30" s="212">
        <v>100</v>
      </c>
      <c r="AD30" s="213">
        <v>35</v>
      </c>
      <c r="AE30" s="209" t="s">
        <v>134</v>
      </c>
      <c r="AF30" s="209" t="s">
        <v>238</v>
      </c>
      <c r="AG30" s="209"/>
      <c r="AH30" s="209"/>
      <c r="AI30" s="101">
        <v>0.79166666666666663</v>
      </c>
      <c r="AJ30" s="101"/>
      <c r="AK30" s="102">
        <f t="shared" si="30"/>
        <v>0</v>
      </c>
      <c r="AL30" s="103">
        <f t="shared" si="31"/>
        <v>45140.791666666664</v>
      </c>
      <c r="AM30" s="102">
        <f t="shared" si="32"/>
        <v>1</v>
      </c>
      <c r="AN30" s="102">
        <f t="shared" si="33"/>
        <v>0</v>
      </c>
      <c r="AO30" s="102">
        <f t="shared" si="34"/>
        <v>0</v>
      </c>
      <c r="AP30" s="103">
        <f t="shared" si="40"/>
        <v>45140.833333333336</v>
      </c>
      <c r="AQ30" s="103">
        <f t="shared" si="35"/>
        <v>-4.8506407224202519E-12</v>
      </c>
      <c r="AR30" s="103">
        <f t="shared" si="36"/>
        <v>4.1666666671517305E-2</v>
      </c>
      <c r="AS30" s="103">
        <f t="shared" si="37"/>
        <v>0</v>
      </c>
      <c r="AT30" s="103">
        <f t="shared" ca="1" si="41"/>
        <v>-4.8506407224202519E-12</v>
      </c>
      <c r="AU30" s="104">
        <f t="shared" ca="1" si="38"/>
        <v>4.1666666671517305E-2</v>
      </c>
      <c r="AV30" s="239"/>
    </row>
    <row r="31" spans="1:48" ht="14.25" customHeight="1" x14ac:dyDescent="0.25">
      <c r="A31" s="96">
        <f t="shared" si="29"/>
        <v>45140.875</v>
      </c>
      <c r="B31" s="198">
        <v>0.875</v>
      </c>
      <c r="C31" s="199" t="s">
        <v>130</v>
      </c>
      <c r="D31" s="79">
        <v>73710</v>
      </c>
      <c r="E31" s="80">
        <f>IF(D31&gt;0,D31-D30,"")</f>
        <v>71</v>
      </c>
      <c r="F31" s="200">
        <f t="shared" si="9"/>
        <v>200</v>
      </c>
      <c r="G31" s="210">
        <v>31</v>
      </c>
      <c r="H31" s="210">
        <v>41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>
        <v>38.799999999999997</v>
      </c>
      <c r="O31" s="209">
        <v>39.5</v>
      </c>
      <c r="P31" s="209">
        <v>2.6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90</v>
      </c>
      <c r="W31" s="212">
        <v>15</v>
      </c>
      <c r="X31" s="212">
        <v>70</v>
      </c>
      <c r="Y31" s="209">
        <v>100</v>
      </c>
      <c r="Z31" s="209"/>
      <c r="AA31" s="209">
        <v>90</v>
      </c>
      <c r="AB31" s="212">
        <v>8</v>
      </c>
      <c r="AC31" s="212">
        <v>100</v>
      </c>
      <c r="AD31" s="213">
        <v>35</v>
      </c>
      <c r="AE31" s="209" t="s">
        <v>134</v>
      </c>
      <c r="AF31" s="209" t="s">
        <v>238</v>
      </c>
      <c r="AG31" s="209"/>
      <c r="AH31" s="209"/>
      <c r="AI31" s="101"/>
      <c r="AJ31" s="101">
        <v>0.84722222222222221</v>
      </c>
      <c r="AK31" s="102">
        <f t="shared" si="30"/>
        <v>1</v>
      </c>
      <c r="AL31" s="103">
        <f t="shared" si="31"/>
        <v>45140.833333333336</v>
      </c>
      <c r="AM31" s="102">
        <f t="shared" si="32"/>
        <v>0</v>
      </c>
      <c r="AN31" s="102">
        <f t="shared" si="33"/>
        <v>0</v>
      </c>
      <c r="AO31" s="102">
        <f t="shared" si="34"/>
        <v>1</v>
      </c>
      <c r="AP31" s="103">
        <f t="shared" si="40"/>
        <v>45140.875</v>
      </c>
      <c r="AQ31" s="103">
        <f t="shared" si="35"/>
        <v>2.425316891763174E-12</v>
      </c>
      <c r="AR31" s="103">
        <f t="shared" si="36"/>
        <v>4.1666666664241347E-2</v>
      </c>
      <c r="AS31" s="103">
        <f t="shared" si="37"/>
        <v>0</v>
      </c>
      <c r="AT31" s="103">
        <f t="shared" ca="1" si="41"/>
        <v>0</v>
      </c>
      <c r="AU31" s="104">
        <f t="shared" ca="1" si="38"/>
        <v>4.1666666666666664E-2</v>
      </c>
      <c r="AV31" s="239"/>
    </row>
    <row r="32" spans="1:48" x14ac:dyDescent="0.25">
      <c r="A32" s="96">
        <f t="shared" si="29"/>
        <v>45140.916666666664</v>
      </c>
      <c r="B32" s="198">
        <v>0.91666666666666663</v>
      </c>
      <c r="C32" s="199" t="s">
        <v>130</v>
      </c>
      <c r="D32" s="79">
        <v>73740</v>
      </c>
      <c r="E32" s="80">
        <f t="shared" si="39"/>
        <v>30</v>
      </c>
      <c r="F32" s="200">
        <f t="shared" si="9"/>
        <v>200</v>
      </c>
      <c r="G32" s="210">
        <v>30</v>
      </c>
      <c r="H32" s="210">
        <v>40</v>
      </c>
      <c r="I32" s="209">
        <v>15</v>
      </c>
      <c r="J32" s="211">
        <v>20</v>
      </c>
      <c r="K32" s="211" t="s">
        <v>136</v>
      </c>
      <c r="L32" s="209" t="s">
        <v>136</v>
      </c>
      <c r="M32" s="209"/>
      <c r="N32" s="209">
        <v>32</v>
      </c>
      <c r="O32" s="209">
        <v>37.5</v>
      </c>
      <c r="P32" s="209">
        <v>2.5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79</v>
      </c>
      <c r="W32" s="212">
        <v>15</v>
      </c>
      <c r="X32" s="212">
        <v>68</v>
      </c>
      <c r="Y32" s="209">
        <v>100</v>
      </c>
      <c r="Z32" s="209"/>
      <c r="AA32" s="209">
        <v>90</v>
      </c>
      <c r="AB32" s="212">
        <v>8.9</v>
      </c>
      <c r="AC32" s="212">
        <v>100</v>
      </c>
      <c r="AD32" s="213">
        <v>35</v>
      </c>
      <c r="AE32" s="209" t="s">
        <v>176</v>
      </c>
      <c r="AF32" s="209" t="s">
        <v>135</v>
      </c>
      <c r="AG32" s="209"/>
      <c r="AH32" s="209"/>
      <c r="AI32" s="101"/>
      <c r="AJ32" s="101"/>
      <c r="AK32" s="102">
        <f t="shared" si="30"/>
        <v>1</v>
      </c>
      <c r="AL32" s="103">
        <f t="shared" si="31"/>
        <v>45140.875</v>
      </c>
      <c r="AM32" s="102">
        <f t="shared" si="32"/>
        <v>1</v>
      </c>
      <c r="AN32" s="102">
        <f t="shared" si="33"/>
        <v>1</v>
      </c>
      <c r="AO32" s="102">
        <f t="shared" si="34"/>
        <v>1</v>
      </c>
      <c r="AP32" s="103">
        <f t="shared" si="40"/>
        <v>45140.847222222219</v>
      </c>
      <c r="AQ32" s="103">
        <f t="shared" si="35"/>
        <v>2.425316891763174E-12</v>
      </c>
      <c r="AR32" s="103">
        <f t="shared" si="36"/>
        <v>-2.7777777781011537E-2</v>
      </c>
      <c r="AS32" s="103">
        <f t="shared" si="37"/>
        <v>6.9444444445252884E-2</v>
      </c>
      <c r="AT32" s="103">
        <f t="shared" ca="1" si="41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567</v>
      </c>
      <c r="E33" s="80">
        <f ca="1">IFERROR(D33/24/AT33,"")</f>
        <v>141.75000000206276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2">IFERROR(AVERAGE(AE25:AE32),"")</f>
        <v/>
      </c>
      <c r="AF33" s="136" t="str">
        <f t="shared" si="42"/>
        <v/>
      </c>
      <c r="AG33" s="136" t="str">
        <f t="shared" si="42"/>
        <v/>
      </c>
      <c r="AH33" s="136" t="str">
        <f t="shared" si="42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0.16666666666424132</v>
      </c>
      <c r="AU33" s="143">
        <f ca="1">SUM(AU25:AU32)</f>
        <v>0.16666666666909197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ca="1">IF(D33/24/AT33,"")</f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927</v>
      </c>
      <c r="E35" s="80">
        <f t="shared" si="39"/>
        <v>927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0.60277777778052655</v>
      </c>
      <c r="AU35" s="162">
        <f ca="1">+AU33+AU24+AU15</f>
        <v>0.3972222222194734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45140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360</v>
      </c>
      <c r="J40" s="171">
        <f>D33</f>
        <v>567</v>
      </c>
      <c r="K40" s="79">
        <f>D35</f>
        <v>927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0.10277777778295179</v>
      </c>
      <c r="J41" s="235">
        <f ca="1">AT33</f>
        <v>0.16666666666424132</v>
      </c>
      <c r="K41" s="235">
        <f ca="1">IF(SUM(H41:J41)=1,"24 h",SUM(H41:J41))</f>
        <v>0.60277777778052655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145.94594593859878</v>
      </c>
      <c r="J42" s="171">
        <f ca="1">E33</f>
        <v>141.75000000206276</v>
      </c>
      <c r="K42" s="171">
        <f>E35</f>
        <v>927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72813</v>
      </c>
      <c r="H46" s="79">
        <f>+D32</f>
        <v>73740</v>
      </c>
      <c r="I46" s="79">
        <f>+D35</f>
        <v>927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0.60277777778052655</v>
      </c>
      <c r="N46" s="79">
        <f>+L46*24</f>
        <v>16</v>
      </c>
      <c r="O46" s="238">
        <f ca="1">+AU35</f>
        <v>0.3972222222194734</v>
      </c>
      <c r="P46" s="79">
        <v>160</v>
      </c>
      <c r="Q46" s="111">
        <f ca="1">+I46/M46/24</f>
        <v>64.078341013532679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3">D7</f>
        <v>72813</v>
      </c>
      <c r="H48" s="79" t="e">
        <f>#REF!</f>
        <v>#REF!</v>
      </c>
      <c r="I48" s="79">
        <f>O7</f>
        <v>0</v>
      </c>
      <c r="J48" s="111">
        <f t="shared" ref="J48:K55" si="44">AE7</f>
        <v>0</v>
      </c>
      <c r="K48" s="111">
        <f t="shared" si="44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3"/>
        <v>72813</v>
      </c>
      <c r="H49" s="79" t="e">
        <f>#REF!</f>
        <v>#REF!</v>
      </c>
      <c r="I49" s="79">
        <f t="shared" ref="I49:I55" si="45">O8</f>
        <v>0</v>
      </c>
      <c r="J49" s="111">
        <f t="shared" si="44"/>
        <v>0</v>
      </c>
      <c r="K49" s="111">
        <f t="shared" si="44"/>
        <v>0</v>
      </c>
      <c r="L49" s="162">
        <f t="shared" ref="L49:M55" ca="1" si="46">AU8</f>
        <v>0</v>
      </c>
      <c r="M49" s="175">
        <f t="shared" si="46"/>
        <v>0</v>
      </c>
    </row>
    <row r="50" spans="6:13" ht="12.75" hidden="1" customHeight="1" x14ac:dyDescent="0.25">
      <c r="F50" s="1">
        <v>3</v>
      </c>
      <c r="G50" s="79">
        <f t="shared" si="43"/>
        <v>72813</v>
      </c>
      <c r="H50" s="79" t="e">
        <f>#REF!</f>
        <v>#REF!</v>
      </c>
      <c r="I50" s="79">
        <f t="shared" si="45"/>
        <v>0</v>
      </c>
      <c r="J50" s="111">
        <f t="shared" si="44"/>
        <v>0</v>
      </c>
      <c r="K50" s="111">
        <f t="shared" si="44"/>
        <v>0</v>
      </c>
      <c r="L50" s="162">
        <f t="shared" ca="1" si="46"/>
        <v>0</v>
      </c>
      <c r="M50" s="175">
        <f t="shared" si="46"/>
        <v>0</v>
      </c>
    </row>
    <row r="51" spans="6:13" ht="12.75" hidden="1" customHeight="1" x14ac:dyDescent="0.25">
      <c r="F51" s="1">
        <v>4</v>
      </c>
      <c r="G51" s="79">
        <f t="shared" si="43"/>
        <v>72813</v>
      </c>
      <c r="H51" s="79" t="e">
        <f>#REF!</f>
        <v>#REF!</v>
      </c>
      <c r="I51" s="79">
        <f t="shared" si="45"/>
        <v>0</v>
      </c>
      <c r="J51" s="111">
        <f t="shared" si="44"/>
        <v>0</v>
      </c>
      <c r="K51" s="111">
        <f t="shared" si="44"/>
        <v>0</v>
      </c>
      <c r="L51" s="162">
        <f t="shared" ca="1" si="46"/>
        <v>0</v>
      </c>
      <c r="M51" s="175">
        <f t="shared" si="46"/>
        <v>0</v>
      </c>
    </row>
    <row r="52" spans="6:13" ht="12.75" hidden="1" customHeight="1" x14ac:dyDescent="0.25">
      <c r="F52" s="1">
        <v>5</v>
      </c>
      <c r="G52" s="79">
        <f t="shared" si="43"/>
        <v>72813</v>
      </c>
      <c r="H52" s="79" t="e">
        <f>#REF!</f>
        <v>#REF!</v>
      </c>
      <c r="I52" s="79">
        <f>O11</f>
        <v>0</v>
      </c>
      <c r="J52" s="111">
        <f t="shared" si="44"/>
        <v>0</v>
      </c>
      <c r="K52" s="111">
        <f t="shared" si="44"/>
        <v>0</v>
      </c>
      <c r="L52" s="162">
        <f t="shared" ca="1" si="46"/>
        <v>0</v>
      </c>
      <c r="M52" s="175">
        <f t="shared" si="46"/>
        <v>0</v>
      </c>
    </row>
    <row r="53" spans="6:13" ht="12.75" hidden="1" customHeight="1" x14ac:dyDescent="0.25">
      <c r="F53" s="1">
        <v>6</v>
      </c>
      <c r="G53" s="79">
        <f t="shared" si="43"/>
        <v>72813</v>
      </c>
      <c r="H53" s="79" t="e">
        <f>#REF!</f>
        <v>#REF!</v>
      </c>
      <c r="I53" s="79">
        <f t="shared" si="45"/>
        <v>0</v>
      </c>
      <c r="J53" s="111">
        <f t="shared" si="44"/>
        <v>0</v>
      </c>
      <c r="K53" s="111">
        <f t="shared" si="44"/>
        <v>0</v>
      </c>
      <c r="L53" s="162">
        <f t="shared" ca="1" si="46"/>
        <v>0</v>
      </c>
      <c r="M53" s="175">
        <f t="shared" si="46"/>
        <v>0</v>
      </c>
    </row>
    <row r="54" spans="6:13" ht="12.75" hidden="1" customHeight="1" x14ac:dyDescent="0.25">
      <c r="F54" s="1">
        <v>7</v>
      </c>
      <c r="G54" s="79">
        <f t="shared" si="43"/>
        <v>72813</v>
      </c>
      <c r="H54" s="79" t="e">
        <f>#REF!</f>
        <v>#REF!</v>
      </c>
      <c r="I54" s="79">
        <f t="shared" si="45"/>
        <v>0</v>
      </c>
      <c r="J54" s="111">
        <f t="shared" si="44"/>
        <v>0</v>
      </c>
      <c r="K54" s="111">
        <f t="shared" si="44"/>
        <v>0</v>
      </c>
      <c r="L54" s="162">
        <f t="shared" ca="1" si="46"/>
        <v>0</v>
      </c>
      <c r="M54" s="175">
        <f t="shared" ca="1" si="46"/>
        <v>0</v>
      </c>
    </row>
    <row r="55" spans="6:13" ht="12.75" hidden="1" customHeight="1" x14ac:dyDescent="0.25">
      <c r="F55" s="1">
        <v>8</v>
      </c>
      <c r="G55" s="79">
        <f t="shared" si="43"/>
        <v>72813</v>
      </c>
      <c r="H55" s="79" t="e">
        <f>#REF!</f>
        <v>#REF!</v>
      </c>
      <c r="I55" s="79">
        <f t="shared" si="45"/>
        <v>0</v>
      </c>
      <c r="J55" s="111">
        <f t="shared" si="44"/>
        <v>0</v>
      </c>
      <c r="K55" s="111">
        <f t="shared" si="44"/>
        <v>0</v>
      </c>
      <c r="L55" s="162">
        <f t="shared" ca="1" si="46"/>
        <v>0</v>
      </c>
      <c r="M55" s="175">
        <f t="shared" si="46"/>
        <v>0</v>
      </c>
    </row>
    <row r="56" spans="6:13" ht="12.75" hidden="1" customHeight="1" x14ac:dyDescent="0.25">
      <c r="F56" s="1">
        <v>9</v>
      </c>
      <c r="G56" s="79">
        <f t="shared" ref="G56:G63" si="47">D16</f>
        <v>72813</v>
      </c>
      <c r="H56" s="79" t="e">
        <f>#REF!</f>
        <v>#REF!</v>
      </c>
      <c r="I56" s="79">
        <f t="shared" ref="I56:I63" si="48">O16</f>
        <v>0</v>
      </c>
      <c r="J56" s="111">
        <f t="shared" ref="J56:K63" si="49">AE16</f>
        <v>0</v>
      </c>
      <c r="K56" s="111">
        <f t="shared" si="49"/>
        <v>0</v>
      </c>
      <c r="L56" s="162">
        <f t="shared" ref="L56:M63" ca="1" si="50">AU16</f>
        <v>4.1666666664241347E-2</v>
      </c>
      <c r="M56" s="175" t="str">
        <f t="shared" si="50"/>
        <v xml:space="preserve">  06:00-11:21&gt;Caucus ,maintenance ,Cleaning Secondary screen rubber panels and  conveyor tail  pulley</v>
      </c>
    </row>
    <row r="57" spans="6:13" ht="12.75" hidden="1" customHeight="1" x14ac:dyDescent="0.25">
      <c r="F57" s="1">
        <v>10</v>
      </c>
      <c r="G57" s="79" t="e">
        <f>#REF!</f>
        <v>#REF!</v>
      </c>
      <c r="H57" s="79" t="e">
        <f>#REF!</f>
        <v>#REF!</v>
      </c>
      <c r="I57" s="79">
        <f t="shared" si="48"/>
        <v>0</v>
      </c>
      <c r="J57" s="111">
        <f t="shared" si="49"/>
        <v>0</v>
      </c>
      <c r="K57" s="111">
        <f t="shared" si="49"/>
        <v>0</v>
      </c>
      <c r="L57" s="162">
        <f t="shared" ca="1" si="50"/>
        <v>4.1666666666666664E-2</v>
      </c>
      <c r="M57" s="175">
        <f t="shared" si="50"/>
        <v>0</v>
      </c>
    </row>
    <row r="58" spans="6:13" ht="12.75" hidden="1" customHeight="1" x14ac:dyDescent="0.25">
      <c r="F58" s="1">
        <v>11</v>
      </c>
      <c r="G58" s="79">
        <f t="shared" si="47"/>
        <v>72813</v>
      </c>
      <c r="H58" s="79" t="e">
        <f>#REF!</f>
        <v>#REF!</v>
      </c>
      <c r="I58" s="79">
        <f t="shared" si="48"/>
        <v>0</v>
      </c>
      <c r="J58" s="111">
        <f t="shared" si="49"/>
        <v>0</v>
      </c>
      <c r="K58" s="111">
        <f t="shared" si="49"/>
        <v>0</v>
      </c>
      <c r="L58" s="162">
        <f t="shared" ca="1" si="50"/>
        <v>4.1666666666666664E-2</v>
      </c>
      <c r="M58" s="175">
        <f t="shared" si="50"/>
        <v>0</v>
      </c>
    </row>
    <row r="59" spans="6:13" ht="12.75" hidden="1" customHeight="1" x14ac:dyDescent="0.25">
      <c r="F59" s="1">
        <v>12</v>
      </c>
      <c r="G59" s="79">
        <f t="shared" si="47"/>
        <v>72813</v>
      </c>
      <c r="H59" s="79" t="e">
        <f>#REF!</f>
        <v>#REF!</v>
      </c>
      <c r="I59" s="79">
        <f t="shared" si="48"/>
        <v>0</v>
      </c>
      <c r="J59" s="111">
        <f t="shared" si="49"/>
        <v>0</v>
      </c>
      <c r="K59" s="111">
        <f t="shared" si="49"/>
        <v>0</v>
      </c>
      <c r="L59" s="162">
        <f t="shared" ca="1" si="50"/>
        <v>4.1666666666666664E-2</v>
      </c>
      <c r="M59" s="175">
        <f t="shared" si="50"/>
        <v>0</v>
      </c>
    </row>
    <row r="60" spans="6:13" ht="12.75" hidden="1" customHeight="1" x14ac:dyDescent="0.25">
      <c r="F60" s="1">
        <v>13</v>
      </c>
      <c r="G60" s="79">
        <f t="shared" si="47"/>
        <v>72813</v>
      </c>
      <c r="H60" s="79" t="e">
        <f>#REF!</f>
        <v>#REF!</v>
      </c>
      <c r="I60" s="79">
        <f t="shared" si="48"/>
        <v>0</v>
      </c>
      <c r="J60" s="111">
        <f t="shared" si="49"/>
        <v>0</v>
      </c>
      <c r="K60" s="111">
        <f t="shared" si="49"/>
        <v>0</v>
      </c>
      <c r="L60" s="162">
        <f t="shared" ca="1" si="50"/>
        <v>4.1666666666666664E-2</v>
      </c>
      <c r="M60" s="175" t="str">
        <f t="shared" si="50"/>
        <v xml:space="preserve">  12:58-13:01&gt;Stop plant feeder FEO1 due to FEO3 bin full, busy cleaning build -up</v>
      </c>
    </row>
    <row r="61" spans="6:13" ht="12.75" hidden="1" customHeight="1" x14ac:dyDescent="0.25">
      <c r="F61" s="1">
        <v>14</v>
      </c>
      <c r="G61" s="79">
        <f t="shared" si="47"/>
        <v>72962</v>
      </c>
      <c r="H61" s="79" t="e">
        <f>#REF!</f>
        <v>#REF!</v>
      </c>
      <c r="I61" s="79" t="str">
        <f t="shared" si="48"/>
        <v>37.7</v>
      </c>
      <c r="J61" s="111" t="str">
        <f t="shared" si="49"/>
        <v>Clean</v>
      </c>
      <c r="K61" s="111" t="str">
        <f t="shared" si="49"/>
        <v>build-up</v>
      </c>
      <c r="L61" s="162">
        <f t="shared" ca="1" si="50"/>
        <v>1.4583333332363203E-2</v>
      </c>
      <c r="M61" s="175">
        <f t="shared" si="50"/>
        <v>0</v>
      </c>
    </row>
    <row r="62" spans="6:13" ht="12.75" hidden="1" customHeight="1" x14ac:dyDescent="0.25">
      <c r="F62" s="1">
        <v>15</v>
      </c>
      <c r="G62" s="79">
        <f t="shared" si="47"/>
        <v>73063</v>
      </c>
      <c r="H62" s="79" t="e">
        <f>#REF!</f>
        <v>#REF!</v>
      </c>
      <c r="I62" s="79" t="str">
        <f t="shared" si="48"/>
        <v>39.5</v>
      </c>
      <c r="J62" s="111" t="str">
        <f t="shared" si="49"/>
        <v>Clean</v>
      </c>
      <c r="K62" s="111" t="str">
        <f t="shared" si="49"/>
        <v>build-up</v>
      </c>
      <c r="L62" s="162">
        <f t="shared" ca="1" si="50"/>
        <v>1.3888888861401938E-3</v>
      </c>
      <c r="M62" s="175">
        <f t="shared" si="50"/>
        <v>0</v>
      </c>
    </row>
    <row r="63" spans="6:13" ht="12.75" hidden="1" customHeight="1" x14ac:dyDescent="0.25">
      <c r="F63" s="1">
        <v>16</v>
      </c>
      <c r="G63" s="79">
        <f t="shared" si="47"/>
        <v>73173</v>
      </c>
      <c r="H63" s="79" t="e">
        <f>#REF!</f>
        <v>#REF!</v>
      </c>
      <c r="I63" s="79">
        <f t="shared" si="48"/>
        <v>37</v>
      </c>
      <c r="J63" s="111" t="str">
        <f t="shared" si="49"/>
        <v>build -up</v>
      </c>
      <c r="K63" s="111" t="str">
        <f t="shared" si="49"/>
        <v>build-up</v>
      </c>
      <c r="L63" s="162">
        <f t="shared" ca="1" si="50"/>
        <v>6.2500000009701254E-3</v>
      </c>
      <c r="M63" s="175">
        <f t="shared" si="50"/>
        <v>0</v>
      </c>
    </row>
    <row r="64" spans="6:13" ht="12.75" hidden="1" customHeight="1" x14ac:dyDescent="0.25">
      <c r="F64" s="1">
        <v>17</v>
      </c>
      <c r="G64" s="79">
        <f t="shared" ref="G64:G71" si="51">D25</f>
        <v>73222</v>
      </c>
      <c r="H64" s="79" t="e">
        <f>#REF!</f>
        <v>#REF!</v>
      </c>
      <c r="I64" s="79">
        <f t="shared" ref="I64:I71" si="52">O25</f>
        <v>39.5</v>
      </c>
      <c r="J64" s="111" t="str">
        <f t="shared" ref="J64:K71" si="53">AE25</f>
        <v>build-up</v>
      </c>
      <c r="K64" s="111" t="str">
        <f t="shared" si="53"/>
        <v>build-up</v>
      </c>
      <c r="L64" s="162">
        <f t="shared" ref="L64:M71" ca="1" si="54">AU25</f>
        <v>4.1666666666666664E-2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51"/>
        <v>73340</v>
      </c>
      <c r="H65" s="79" t="e">
        <f>#REF!</f>
        <v>#REF!</v>
      </c>
      <c r="I65" s="79">
        <f t="shared" si="52"/>
        <v>37</v>
      </c>
      <c r="J65" s="111" t="str">
        <f t="shared" si="53"/>
        <v>Clean</v>
      </c>
      <c r="K65" s="111" t="str">
        <f t="shared" si="53"/>
        <v>clean</v>
      </c>
      <c r="L65" s="162">
        <f t="shared" ca="1" si="54"/>
        <v>4.1666666664241347E-2</v>
      </c>
      <c r="M65" s="175" t="str">
        <f t="shared" si="54"/>
        <v xml:space="preserve"> 15:35-15:45&gt;Estop was pressed by mistake on CV10 , stopped CC02 circuit and we restarted </v>
      </c>
    </row>
    <row r="66" spans="6:13" ht="12.75" hidden="1" customHeight="1" x14ac:dyDescent="0.25">
      <c r="F66" s="1">
        <v>19</v>
      </c>
      <c r="G66" s="79">
        <f t="shared" si="51"/>
        <v>73470</v>
      </c>
      <c r="H66" s="79" t="e">
        <f>#REF!</f>
        <v>#REF!</v>
      </c>
      <c r="I66" s="79">
        <f t="shared" si="52"/>
        <v>39.5</v>
      </c>
      <c r="J66" s="111" t="str">
        <f t="shared" si="53"/>
        <v>Clean</v>
      </c>
      <c r="K66" s="111" t="str">
        <f t="shared" si="53"/>
        <v>clean</v>
      </c>
      <c r="L66" s="162">
        <f t="shared" ca="1" si="54"/>
        <v>0</v>
      </c>
      <c r="M66" s="175">
        <f t="shared" si="54"/>
        <v>0</v>
      </c>
    </row>
    <row r="67" spans="6:13" ht="12.75" hidden="1" customHeight="1" x14ac:dyDescent="0.25">
      <c r="F67" s="1">
        <v>20</v>
      </c>
      <c r="G67" s="79">
        <f t="shared" si="51"/>
        <v>73571</v>
      </c>
      <c r="H67" s="79" t="e">
        <f>#REF!</f>
        <v>#REF!</v>
      </c>
      <c r="I67" s="79">
        <f t="shared" si="52"/>
        <v>37.5</v>
      </c>
      <c r="J67" s="111" t="str">
        <f t="shared" si="53"/>
        <v>Clean</v>
      </c>
      <c r="K67" s="111" t="str">
        <f t="shared" si="53"/>
        <v>clean</v>
      </c>
      <c r="L67" s="162">
        <f t="shared" ca="1" si="54"/>
        <v>0</v>
      </c>
      <c r="M67" s="175">
        <f t="shared" si="54"/>
        <v>0</v>
      </c>
    </row>
    <row r="68" spans="6:13" ht="12.75" hidden="1" customHeight="1" x14ac:dyDescent="0.25">
      <c r="F68" s="1">
        <v>21</v>
      </c>
      <c r="G68" s="79">
        <f t="shared" si="51"/>
        <v>73639</v>
      </c>
      <c r="H68" s="79" t="e">
        <f>#REF!</f>
        <v>#REF!</v>
      </c>
      <c r="I68" s="79">
        <f t="shared" si="52"/>
        <v>39.5</v>
      </c>
      <c r="J68" s="111" t="str">
        <f t="shared" si="53"/>
        <v>build-up</v>
      </c>
      <c r="K68" s="111" t="str">
        <f t="shared" si="53"/>
        <v>build -up</v>
      </c>
      <c r="L68" s="162">
        <f t="shared" ca="1" si="54"/>
        <v>0</v>
      </c>
      <c r="M68" s="175" t="str">
        <f t="shared" si="54"/>
        <v xml:space="preserve"> 19:00-20:20&gt; CV8 trapped because of overload, we had build up on CVO7 chute</v>
      </c>
    </row>
    <row r="69" spans="6:13" ht="12.75" hidden="1" customHeight="1" x14ac:dyDescent="0.25">
      <c r="F69" s="1">
        <v>22</v>
      </c>
      <c r="G69" s="79">
        <f t="shared" si="51"/>
        <v>73639</v>
      </c>
      <c r="H69" s="79" t="e">
        <f>#REF!</f>
        <v>#REF!</v>
      </c>
      <c r="I69" s="79">
        <f t="shared" si="52"/>
        <v>37.5</v>
      </c>
      <c r="J69" s="111" t="str">
        <f t="shared" si="53"/>
        <v>Clean</v>
      </c>
      <c r="K69" s="111" t="str">
        <f t="shared" si="53"/>
        <v>clean</v>
      </c>
      <c r="L69" s="162">
        <f t="shared" ca="1" si="54"/>
        <v>4.1666666671517305E-2</v>
      </c>
      <c r="M69" s="175">
        <f t="shared" si="54"/>
        <v>0</v>
      </c>
    </row>
    <row r="70" spans="6:13" ht="13.5" hidden="1" customHeight="1" x14ac:dyDescent="0.25">
      <c r="F70" s="1">
        <v>23</v>
      </c>
      <c r="G70" s="79">
        <f t="shared" si="51"/>
        <v>73710</v>
      </c>
      <c r="H70" s="79" t="e">
        <f>#REF!</f>
        <v>#REF!</v>
      </c>
      <c r="I70" s="79">
        <f t="shared" si="52"/>
        <v>39.5</v>
      </c>
      <c r="J70" s="111" t="str">
        <f t="shared" si="53"/>
        <v>Clean</v>
      </c>
      <c r="K70" s="111" t="str">
        <f t="shared" si="53"/>
        <v>clean</v>
      </c>
      <c r="L70" s="162">
        <f t="shared" ca="1" si="54"/>
        <v>4.1666666666666664E-2</v>
      </c>
      <c r="M70" s="175">
        <f t="shared" si="54"/>
        <v>0</v>
      </c>
    </row>
    <row r="71" spans="6:13" hidden="1" x14ac:dyDescent="0.25">
      <c r="F71" s="1">
        <v>24</v>
      </c>
      <c r="G71" s="79">
        <f t="shared" si="51"/>
        <v>73740</v>
      </c>
      <c r="H71" s="79" t="e">
        <f>#REF!</f>
        <v>#REF!</v>
      </c>
      <c r="I71" s="79">
        <f t="shared" si="52"/>
        <v>37.5</v>
      </c>
      <c r="J71" s="111" t="str">
        <f t="shared" si="53"/>
        <v>build -up</v>
      </c>
      <c r="K71" s="111" t="str">
        <f t="shared" si="53"/>
        <v>build-up</v>
      </c>
      <c r="L71" s="162">
        <f t="shared" ca="1" si="54"/>
        <v>0</v>
      </c>
      <c r="M71" s="175">
        <f t="shared" si="54"/>
        <v>0</v>
      </c>
    </row>
  </sheetData>
  <mergeCells count="21">
    <mergeCell ref="G38:L38"/>
    <mergeCell ref="G2:H2"/>
    <mergeCell ref="I2:I3"/>
    <mergeCell ref="N2:O2"/>
    <mergeCell ref="R2:R3"/>
    <mergeCell ref="AT5:AU5"/>
    <mergeCell ref="J2:J3"/>
    <mergeCell ref="K2:K3"/>
    <mergeCell ref="C1:F1"/>
    <mergeCell ref="L2:M2"/>
    <mergeCell ref="P2:P3"/>
    <mergeCell ref="AA1:AD1"/>
    <mergeCell ref="AE1:AF1"/>
    <mergeCell ref="AG1:AH1"/>
    <mergeCell ref="Q2:Q3"/>
    <mergeCell ref="T2:U2"/>
    <mergeCell ref="S2:S3"/>
    <mergeCell ref="G1:M1"/>
    <mergeCell ref="N1:U1"/>
    <mergeCell ref="V1:X1"/>
    <mergeCell ref="Y1:Z1"/>
  </mergeCells>
  <conditionalFormatting sqref="I6">
    <cfRule type="cellIs" dxfId="725" priority="40" operator="greaterThan">
      <formula>$I$4</formula>
    </cfRule>
    <cfRule type="cellIs" dxfId="724" priority="39" operator="lessThan">
      <formula>$I$4</formula>
    </cfRule>
  </conditionalFormatting>
  <conditionalFormatting sqref="N33">
    <cfRule type="cellIs" dxfId="723" priority="48" operator="lessThan">
      <formula>75</formula>
    </cfRule>
    <cfRule type="cellIs" dxfId="722" priority="49" operator="greaterThan">
      <formula>75</formula>
    </cfRule>
  </conditionalFormatting>
  <conditionalFormatting sqref="P15 P24 P33">
    <cfRule type="cellIs" dxfId="721" priority="38" operator="greaterThan">
      <formula>52.5</formula>
    </cfRule>
    <cfRule type="cellIs" dxfId="720" priority="37" operator="lessThan">
      <formula>52.5</formula>
    </cfRule>
  </conditionalFormatting>
  <conditionalFormatting sqref="S18:S23 U18:AB23">
    <cfRule type="cellIs" dxfId="719" priority="11" operator="equal">
      <formula>"N"</formula>
    </cfRule>
    <cfRule type="cellIs" dxfId="718" priority="12" operator="equal">
      <formula>"Y"</formula>
    </cfRule>
  </conditionalFormatting>
  <conditionalFormatting sqref="S18:S23">
    <cfRule type="cellIs" dxfId="717" priority="17" operator="equal">
      <formula>"N"</formula>
    </cfRule>
    <cfRule type="cellIs" dxfId="716" priority="18" operator="equal">
      <formula>"Y"</formula>
    </cfRule>
  </conditionalFormatting>
  <conditionalFormatting sqref="T15:Z15">
    <cfRule type="cellIs" dxfId="715" priority="44" operator="equal">
      <formula>"N"</formula>
    </cfRule>
    <cfRule type="cellIs" dxfId="714" priority="45" operator="equal">
      <formula>"Y"</formula>
    </cfRule>
  </conditionalFormatting>
  <conditionalFormatting sqref="T6:AA14">
    <cfRule type="cellIs" dxfId="713" priority="32" operator="equal">
      <formula>"Y"</formula>
    </cfRule>
    <cfRule type="cellIs" dxfId="712" priority="31" operator="equal">
      <formula>"N"</formula>
    </cfRule>
  </conditionalFormatting>
  <conditionalFormatting sqref="T16:AA16 U17:AA17 T17:T23">
    <cfRule type="cellIs" dxfId="711" priority="7" operator="equal">
      <formula>"N"</formula>
    </cfRule>
    <cfRule type="cellIs" dxfId="710" priority="8" operator="equal">
      <formula>"Y"</formula>
    </cfRule>
  </conditionalFormatting>
  <conditionalFormatting sqref="T24:AA24 T33:AA33">
    <cfRule type="cellIs" dxfId="709" priority="36" operator="equal">
      <formula>"Y"</formula>
    </cfRule>
    <cfRule type="cellIs" dxfId="708" priority="35" operator="equal">
      <formula>"N"</formula>
    </cfRule>
  </conditionalFormatting>
  <conditionalFormatting sqref="T6:AC16 U17:AC17 T17:T23">
    <cfRule type="cellIs" dxfId="707" priority="3" operator="equal">
      <formula>"N"</formula>
    </cfRule>
    <cfRule type="cellIs" dxfId="706" priority="4" operator="equal">
      <formula>"Y"</formula>
    </cfRule>
  </conditionalFormatting>
  <conditionalFormatting sqref="T24:AC24 T33:AC33">
    <cfRule type="cellIs" dxfId="705" priority="27" operator="equal">
      <formula>"N"</formula>
    </cfRule>
    <cfRule type="cellIs" dxfId="704" priority="28" operator="equal">
      <formula>"Y"</formula>
    </cfRule>
  </conditionalFormatting>
  <conditionalFormatting sqref="U6:U24">
    <cfRule type="cellIs" dxfId="703" priority="1" operator="equal">
      <formula>"S"</formula>
    </cfRule>
    <cfRule type="cellIs" dxfId="702" priority="2" operator="equal">
      <formula>"C"</formula>
    </cfRule>
  </conditionalFormatting>
  <conditionalFormatting sqref="U33">
    <cfRule type="cellIs" dxfId="701" priority="25" operator="equal">
      <formula>"S"</formula>
    </cfRule>
    <cfRule type="cellIs" dxfId="700" priority="26" operator="equal">
      <formula>"C"</formula>
    </cfRule>
  </conditionalFormatting>
  <conditionalFormatting sqref="U18:Z23">
    <cfRule type="cellIs" dxfId="699" priority="14" operator="equal">
      <formula>"Y"</formula>
    </cfRule>
    <cfRule type="cellIs" dxfId="698" priority="13" operator="equal">
      <formula>"N"</formula>
    </cfRule>
  </conditionalFormatting>
  <conditionalFormatting sqref="V15">
    <cfRule type="cellIs" dxfId="697" priority="42" operator="equal">
      <formula>"S"</formula>
    </cfRule>
    <cfRule type="cellIs" dxfId="696" priority="43" operator="equal">
      <formula>"C"</formula>
    </cfRule>
  </conditionalFormatting>
  <conditionalFormatting sqref="V18:W23">
    <cfRule type="cellIs" dxfId="695" priority="20" operator="equal">
      <formula>"C"</formula>
    </cfRule>
    <cfRule type="cellIs" dxfId="694" priority="19" operator="equal">
      <formula>"S"</formula>
    </cfRule>
  </conditionalFormatting>
  <conditionalFormatting sqref="V6:X14">
    <cfRule type="cellIs" dxfId="693" priority="30" operator="equal">
      <formula>"C"</formula>
    </cfRule>
    <cfRule type="cellIs" dxfId="692" priority="29" operator="equal">
      <formula>"S"</formula>
    </cfRule>
  </conditionalFormatting>
  <conditionalFormatting sqref="V16:X17">
    <cfRule type="cellIs" dxfId="691" priority="6" operator="equal">
      <formula>"C"</formula>
    </cfRule>
    <cfRule type="cellIs" dxfId="690" priority="5" operator="equal">
      <formula>"S"</formula>
    </cfRule>
  </conditionalFormatting>
  <conditionalFormatting sqref="AG6:AG14">
    <cfRule type="cellIs" dxfId="689" priority="33" operator="lessThan">
      <formula>1.19</formula>
    </cfRule>
    <cfRule type="cellIs" dxfId="688" priority="34" operator="greaterThan">
      <formula>1.19</formula>
    </cfRule>
  </conditionalFormatting>
  <conditionalFormatting sqref="AG16:AG23">
    <cfRule type="cellIs" dxfId="687" priority="46" operator="lessThan">
      <formula>1.19</formula>
    </cfRule>
    <cfRule type="cellIs" dxfId="686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222-0FC4-456C-BA97-942A111DFAA9}">
  <sheetPr>
    <pageSetUpPr fitToPage="1"/>
  </sheetPr>
  <dimension ref="A1:AV71"/>
  <sheetViews>
    <sheetView showGridLines="0" zoomScaleNormal="100" workbookViewId="0">
      <pane xSplit="2" ySplit="6" topLeftCell="C33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'02 Aug 23'!B1+1</f>
        <v>45141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73740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45140.958333333336</v>
      </c>
      <c r="B7" s="198">
        <v>0.95833333333333304</v>
      </c>
      <c r="C7" s="199" t="s">
        <v>130</v>
      </c>
      <c r="D7" s="79">
        <v>73740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45141.916666666672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45140.958333333336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45141</v>
      </c>
      <c r="B8" s="198">
        <v>0</v>
      </c>
      <c r="C8" s="199" t="s">
        <v>130</v>
      </c>
      <c r="D8" s="79">
        <v>73740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45140.958333333336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45141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45141.041666666664</v>
      </c>
      <c r="B9" s="198">
        <v>4.1666666666666664E-2</v>
      </c>
      <c r="C9" s="199" t="s">
        <v>130</v>
      </c>
      <c r="D9" s="79">
        <v>73740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45141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45141.041666666664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45141.083333333336</v>
      </c>
      <c r="B10" s="198">
        <v>8.3333333333333329E-2</v>
      </c>
      <c r="C10" s="199" t="s">
        <v>130</v>
      </c>
      <c r="D10" s="79">
        <v>73740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45141.041666666672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45141.083333333336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45141.125</v>
      </c>
      <c r="B11" s="198">
        <v>0.125</v>
      </c>
      <c r="C11" s="199" t="s">
        <v>130</v>
      </c>
      <c r="D11" s="79">
        <v>73740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45141.083333333336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45141.125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45141.166666666664</v>
      </c>
      <c r="B12" s="198">
        <v>0.16666666666666666</v>
      </c>
      <c r="C12" s="199" t="s">
        <v>130</v>
      </c>
      <c r="D12" s="79">
        <v>73740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45141.125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45141.166666666664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45141.208333333336</v>
      </c>
      <c r="B13" s="198">
        <v>0.20833333333333334</v>
      </c>
      <c r="C13" s="199" t="s">
        <v>130</v>
      </c>
      <c r="D13" s="79">
        <v>73740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45141.166666666672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45141.208333333336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45141.25</v>
      </c>
      <c r="B14" s="198">
        <v>0.25</v>
      </c>
      <c r="C14" s="199" t="s">
        <v>130</v>
      </c>
      <c r="D14" s="79">
        <v>73740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45141.208333333336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45141.25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45141.291666666664</v>
      </c>
      <c r="B16" s="198">
        <v>0.29166666666666669</v>
      </c>
      <c r="C16" s="199" t="s">
        <v>130</v>
      </c>
      <c r="D16" s="79">
        <v>73740</v>
      </c>
      <c r="E16" s="80">
        <f>IF(D16&gt;0,D16-D14,"")</f>
        <v>0</v>
      </c>
      <c r="F16" s="200">
        <f t="shared" si="9"/>
        <v>200</v>
      </c>
      <c r="G16" s="210">
        <v>32</v>
      </c>
      <c r="H16" s="210">
        <v>39</v>
      </c>
      <c r="I16" s="209">
        <v>15</v>
      </c>
      <c r="J16" s="211">
        <v>20</v>
      </c>
      <c r="K16" s="211" t="s">
        <v>136</v>
      </c>
      <c r="L16" s="209" t="s">
        <v>136</v>
      </c>
      <c r="M16" s="209"/>
      <c r="N16" s="79" t="s">
        <v>247</v>
      </c>
      <c r="O16" s="79" t="s">
        <v>197</v>
      </c>
      <c r="P16" s="79" t="s">
        <v>116</v>
      </c>
      <c r="Q16" s="79">
        <v>20</v>
      </c>
      <c r="R16" s="79" t="s">
        <v>136</v>
      </c>
      <c r="S16" s="85"/>
      <c r="T16" s="85" t="s">
        <v>136</v>
      </c>
      <c r="U16" s="86"/>
      <c r="V16" s="86">
        <v>79</v>
      </c>
      <c r="W16" s="86">
        <v>24</v>
      </c>
      <c r="X16" s="86">
        <v>68</v>
      </c>
      <c r="Y16" s="85">
        <v>100</v>
      </c>
      <c r="Z16" s="85"/>
      <c r="AA16" s="85">
        <v>90</v>
      </c>
      <c r="AB16" s="86">
        <v>3</v>
      </c>
      <c r="AC16" s="86">
        <v>100</v>
      </c>
      <c r="AD16" s="213">
        <v>100</v>
      </c>
      <c r="AE16" s="209" t="s">
        <v>134</v>
      </c>
      <c r="AF16" s="209" t="s">
        <v>135</v>
      </c>
      <c r="AG16" s="209"/>
      <c r="AH16" s="209"/>
      <c r="AI16" s="101">
        <v>0.25</v>
      </c>
      <c r="AJ16" s="101">
        <v>0.29166666666666669</v>
      </c>
      <c r="AK16" s="102">
        <f t="shared" ref="AK16:AK20" si="15">AO16</f>
        <v>1</v>
      </c>
      <c r="AL16" s="103">
        <f t="shared" ref="AL16:AL23" si="16">IF(AI16&lt;&gt;"",AI16+$B$1,B16+$B$1-1/24)</f>
        <v>45141.25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1</v>
      </c>
      <c r="AP16" s="103">
        <f t="shared" ref="AP16:AP23" si="20">IF(AJ16&lt;&gt;"",AJ16+$B$1,B16+$B$1)</f>
        <v>45141.291666666664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2.425316891763174E-12</v>
      </c>
      <c r="AU16" s="104">
        <f t="shared" ref="AU16:AU23" ca="1" si="24">IF(A16&lt;$AU$1,1/24-AT16,0)</f>
        <v>4.1666666664241347E-2</v>
      </c>
      <c r="AV16" s="239" t="s">
        <v>250</v>
      </c>
    </row>
    <row r="17" spans="1:48" x14ac:dyDescent="0.25">
      <c r="A17" s="96">
        <f t="shared" si="8"/>
        <v>45141.333333333336</v>
      </c>
      <c r="B17" s="198">
        <v>0.33333333333333331</v>
      </c>
      <c r="C17" s="199" t="s">
        <v>248</v>
      </c>
      <c r="D17" s="79">
        <v>73756</v>
      </c>
      <c r="E17" s="80">
        <f>IF(D17&gt;0,D17-D16,"")</f>
        <v>16</v>
      </c>
      <c r="F17" s="200">
        <f t="shared" si="9"/>
        <v>200</v>
      </c>
      <c r="G17" s="210">
        <v>32</v>
      </c>
      <c r="H17" s="210">
        <v>39</v>
      </c>
      <c r="I17" s="209">
        <v>15</v>
      </c>
      <c r="J17" s="211">
        <v>20</v>
      </c>
      <c r="K17" s="211" t="s">
        <v>136</v>
      </c>
      <c r="L17" s="209" t="s">
        <v>136</v>
      </c>
      <c r="M17" s="209"/>
      <c r="N17" s="79" t="s">
        <v>249</v>
      </c>
      <c r="O17" s="79" t="s">
        <v>123</v>
      </c>
      <c r="P17" s="79" t="s">
        <v>175</v>
      </c>
      <c r="Q17" s="79">
        <v>20</v>
      </c>
      <c r="R17" s="79" t="s">
        <v>136</v>
      </c>
      <c r="S17" s="85"/>
      <c r="T17" s="85" t="s">
        <v>136</v>
      </c>
      <c r="U17" s="86"/>
      <c r="V17" s="86">
        <v>82</v>
      </c>
      <c r="W17" s="86">
        <v>29</v>
      </c>
      <c r="X17" s="86">
        <v>88</v>
      </c>
      <c r="Y17" s="85">
        <v>70</v>
      </c>
      <c r="Z17" s="85"/>
      <c r="AA17" s="85">
        <v>70</v>
      </c>
      <c r="AB17" s="86">
        <v>7</v>
      </c>
      <c r="AC17" s="86">
        <v>100</v>
      </c>
      <c r="AD17" s="213">
        <v>0</v>
      </c>
      <c r="AE17" s="209" t="s">
        <v>134</v>
      </c>
      <c r="AF17" s="209" t="s">
        <v>135</v>
      </c>
      <c r="AG17" s="209"/>
      <c r="AH17" s="209"/>
      <c r="AI17" s="101">
        <v>0.30624999999999997</v>
      </c>
      <c r="AJ17" s="101">
        <v>0.3354166666666667</v>
      </c>
      <c r="AK17" s="102">
        <f t="shared" si="15"/>
        <v>1</v>
      </c>
      <c r="AL17" s="103">
        <f t="shared" si="16"/>
        <v>45141.306250000001</v>
      </c>
      <c r="AM17" s="102">
        <f t="shared" si="17"/>
        <v>1</v>
      </c>
      <c r="AN17" s="102">
        <f t="shared" si="18"/>
        <v>0</v>
      </c>
      <c r="AO17" s="102">
        <f t="shared" si="19"/>
        <v>1</v>
      </c>
      <c r="AP17" s="103">
        <f t="shared" si="20"/>
        <v>45141.335416666669</v>
      </c>
      <c r="AQ17" s="103">
        <f t="shared" si="21"/>
        <v>1.4583333332363203E-2</v>
      </c>
      <c r="AR17" s="103">
        <f t="shared" ref="AR17:AR23" si="25">AP17-AL17</f>
        <v>2.9166666667151731E-2</v>
      </c>
      <c r="AS17" s="103">
        <f t="shared" si="22"/>
        <v>-2.0833333328482695E-3</v>
      </c>
      <c r="AT17" s="103">
        <f t="shared" ca="1" si="23"/>
        <v>1.2499999999514934E-2</v>
      </c>
      <c r="AU17" s="104">
        <f t="shared" ca="1" si="24"/>
        <v>2.9166666667151731E-2</v>
      </c>
      <c r="AV17" s="239" t="s">
        <v>251</v>
      </c>
    </row>
    <row r="18" spans="1:48" x14ac:dyDescent="0.25">
      <c r="A18" s="96">
        <f t="shared" si="8"/>
        <v>45141.375</v>
      </c>
      <c r="B18" s="198">
        <v>0.375</v>
      </c>
      <c r="C18" s="199" t="s">
        <v>248</v>
      </c>
      <c r="D18" s="79">
        <v>73857</v>
      </c>
      <c r="E18" s="80">
        <f>IF(D18&gt;0,D18-D17,"")</f>
        <v>101</v>
      </c>
      <c r="F18" s="200">
        <f t="shared" si="9"/>
        <v>200</v>
      </c>
      <c r="G18" s="210">
        <v>32</v>
      </c>
      <c r="H18" s="209">
        <v>40</v>
      </c>
      <c r="I18" s="210">
        <v>14</v>
      </c>
      <c r="J18" s="211">
        <v>20</v>
      </c>
      <c r="K18" s="209" t="s">
        <v>136</v>
      </c>
      <c r="L18" s="209" t="s">
        <v>136</v>
      </c>
      <c r="M18" s="209"/>
      <c r="N18" s="209">
        <v>39</v>
      </c>
      <c r="O18" s="209" t="s">
        <v>254</v>
      </c>
      <c r="P18" s="79" t="s">
        <v>180</v>
      </c>
      <c r="Q18" s="79">
        <v>30</v>
      </c>
      <c r="R18" s="79" t="s">
        <v>136</v>
      </c>
      <c r="S18" s="209"/>
      <c r="T18" s="85" t="s">
        <v>136</v>
      </c>
      <c r="U18" s="209"/>
      <c r="V18" s="212">
        <v>87</v>
      </c>
      <c r="W18" s="212">
        <v>34</v>
      </c>
      <c r="X18" s="209">
        <v>68</v>
      </c>
      <c r="Y18" s="209">
        <v>100</v>
      </c>
      <c r="Z18" s="209"/>
      <c r="AA18" s="212">
        <v>70</v>
      </c>
      <c r="AB18" s="212">
        <v>10</v>
      </c>
      <c r="AC18" s="213">
        <v>100</v>
      </c>
      <c r="AD18" s="213">
        <v>0</v>
      </c>
      <c r="AE18" s="209" t="s">
        <v>134</v>
      </c>
      <c r="AF18" s="209" t="s">
        <v>135</v>
      </c>
      <c r="AG18" s="209"/>
      <c r="AH18" s="209"/>
      <c r="AI18" s="101">
        <v>0.3611111111111111</v>
      </c>
      <c r="AJ18" s="101">
        <v>0.375</v>
      </c>
      <c r="AK18" s="102">
        <f t="shared" si="15"/>
        <v>1</v>
      </c>
      <c r="AL18" s="103">
        <f t="shared" si="16"/>
        <v>45141.361111111109</v>
      </c>
      <c r="AM18" s="102">
        <f t="shared" si="17"/>
        <v>1</v>
      </c>
      <c r="AN18" s="102">
        <f t="shared" si="18"/>
        <v>0</v>
      </c>
      <c r="AO18" s="102">
        <f t="shared" si="19"/>
        <v>1</v>
      </c>
      <c r="AP18" s="103">
        <f t="shared" si="20"/>
        <v>45141.375</v>
      </c>
      <c r="AQ18" s="103">
        <f t="shared" si="21"/>
        <v>2.7777777776160896E-2</v>
      </c>
      <c r="AR18" s="103">
        <f t="shared" si="25"/>
        <v>1.3888888890505768E-2</v>
      </c>
      <c r="AS18" s="103">
        <f t="shared" si="22"/>
        <v>0</v>
      </c>
      <c r="AT18" s="103">
        <f t="shared" ca="1" si="23"/>
        <v>2.7777777776160896E-2</v>
      </c>
      <c r="AU18" s="104">
        <f t="shared" ca="1" si="24"/>
        <v>1.3888888890505768E-2</v>
      </c>
      <c r="AV18" s="239" t="s">
        <v>252</v>
      </c>
    </row>
    <row r="19" spans="1:48" ht="15.75" customHeight="1" x14ac:dyDescent="0.25">
      <c r="A19" s="96">
        <f t="shared" si="8"/>
        <v>45141.416666666664</v>
      </c>
      <c r="B19" s="198">
        <v>0.41666666666666702</v>
      </c>
      <c r="C19" s="199" t="s">
        <v>248</v>
      </c>
      <c r="D19" s="79">
        <v>73972</v>
      </c>
      <c r="E19" s="80">
        <f t="shared" ref="E19" si="26">IF(D19&gt;0,D19-D18,"")</f>
        <v>115</v>
      </c>
      <c r="F19" s="200">
        <f t="shared" si="9"/>
        <v>200</v>
      </c>
      <c r="G19" s="210">
        <v>36</v>
      </c>
      <c r="H19" s="209">
        <v>44</v>
      </c>
      <c r="I19" s="210">
        <v>15</v>
      </c>
      <c r="J19" s="211">
        <v>20</v>
      </c>
      <c r="K19" s="209" t="s">
        <v>136</v>
      </c>
      <c r="L19" s="209" t="s">
        <v>136</v>
      </c>
      <c r="M19" s="209"/>
      <c r="N19" s="209" t="s">
        <v>189</v>
      </c>
      <c r="O19" s="209" t="s">
        <v>256</v>
      </c>
      <c r="P19" s="79" t="s">
        <v>257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85</v>
      </c>
      <c r="W19" s="212">
        <v>18</v>
      </c>
      <c r="X19" s="209">
        <v>69</v>
      </c>
      <c r="Y19" s="209">
        <v>100</v>
      </c>
      <c r="Z19" s="209"/>
      <c r="AA19" s="212">
        <v>70</v>
      </c>
      <c r="AB19" s="212">
        <v>11</v>
      </c>
      <c r="AC19" s="213">
        <v>100</v>
      </c>
      <c r="AD19" s="213">
        <v>27</v>
      </c>
      <c r="AE19" s="209" t="s">
        <v>134</v>
      </c>
      <c r="AF19" s="209" t="s">
        <v>135</v>
      </c>
      <c r="AG19" s="209"/>
      <c r="AH19" s="209"/>
      <c r="AI19" s="101">
        <v>0.39583333333333331</v>
      </c>
      <c r="AJ19" s="101">
        <v>0.39930555555555558</v>
      </c>
      <c r="AK19" s="102">
        <f t="shared" si="15"/>
        <v>1</v>
      </c>
      <c r="AL19" s="103">
        <f t="shared" si="16"/>
        <v>45141.395833333336</v>
      </c>
      <c r="AM19" s="102">
        <f t="shared" si="17"/>
        <v>1</v>
      </c>
      <c r="AN19" s="102">
        <f t="shared" si="18"/>
        <v>0</v>
      </c>
      <c r="AO19" s="102">
        <f t="shared" si="19"/>
        <v>1</v>
      </c>
      <c r="AP19" s="103">
        <f t="shared" si="20"/>
        <v>45141.399305555555</v>
      </c>
      <c r="AQ19" s="103">
        <f t="shared" si="21"/>
        <v>2.0833333338183969E-2</v>
      </c>
      <c r="AR19" s="103">
        <f t="shared" si="25"/>
        <v>3.4722222189884633E-3</v>
      </c>
      <c r="AS19" s="103">
        <f t="shared" si="22"/>
        <v>1.7361111109494232E-2</v>
      </c>
      <c r="AT19" s="103">
        <f t="shared" ca="1" si="23"/>
        <v>3.8194444447678201E-2</v>
      </c>
      <c r="AU19" s="104">
        <f t="shared" ca="1" si="24"/>
        <v>3.4722222189884633E-3</v>
      </c>
      <c r="AV19" s="239" t="s">
        <v>253</v>
      </c>
    </row>
    <row r="20" spans="1:48" x14ac:dyDescent="0.25">
      <c r="A20" s="96">
        <f t="shared" si="8"/>
        <v>45141.458333333336</v>
      </c>
      <c r="B20" s="198">
        <v>0.45833333333333331</v>
      </c>
      <c r="C20" s="199" t="s">
        <v>248</v>
      </c>
      <c r="D20" s="79">
        <v>74100</v>
      </c>
      <c r="E20" s="80">
        <f>+D20-D19</f>
        <v>128</v>
      </c>
      <c r="F20" s="200">
        <f t="shared" si="9"/>
        <v>200</v>
      </c>
      <c r="G20" s="210">
        <v>36</v>
      </c>
      <c r="H20" s="209">
        <v>44</v>
      </c>
      <c r="I20" s="210">
        <v>15</v>
      </c>
      <c r="J20" s="211">
        <v>20</v>
      </c>
      <c r="K20" s="209" t="s">
        <v>136</v>
      </c>
      <c r="L20" s="209" t="s">
        <v>136</v>
      </c>
      <c r="M20" s="209"/>
      <c r="N20" s="209" t="s">
        <v>182</v>
      </c>
      <c r="O20" s="209" t="s">
        <v>259</v>
      </c>
      <c r="P20" s="79" t="s">
        <v>119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75</v>
      </c>
      <c r="W20" s="212">
        <v>0</v>
      </c>
      <c r="X20" s="209">
        <v>68</v>
      </c>
      <c r="Y20" s="209">
        <v>100</v>
      </c>
      <c r="Z20" s="209"/>
      <c r="AA20" s="212">
        <v>70</v>
      </c>
      <c r="AB20" s="212">
        <v>3</v>
      </c>
      <c r="AC20" s="213">
        <v>100</v>
      </c>
      <c r="AD20" s="213">
        <v>41</v>
      </c>
      <c r="AE20" s="209" t="s">
        <v>134</v>
      </c>
      <c r="AF20" s="209" t="s">
        <v>135</v>
      </c>
      <c r="AG20" s="209"/>
      <c r="AH20" s="209"/>
      <c r="AI20" s="101">
        <v>0.41805555555555557</v>
      </c>
      <c r="AJ20" s="101">
        <v>0.42499999999999999</v>
      </c>
      <c r="AK20" s="102">
        <f t="shared" si="15"/>
        <v>1</v>
      </c>
      <c r="AL20" s="103">
        <f t="shared" si="16"/>
        <v>45141.418055555558</v>
      </c>
      <c r="AM20" s="102">
        <f t="shared" si="17"/>
        <v>1</v>
      </c>
      <c r="AN20" s="102">
        <f t="shared" si="18"/>
        <v>0</v>
      </c>
      <c r="AO20" s="102">
        <f t="shared" si="19"/>
        <v>1</v>
      </c>
      <c r="AP20" s="103">
        <f t="shared" si="20"/>
        <v>45141.425000000003</v>
      </c>
      <c r="AQ20" s="103">
        <f t="shared" si="21"/>
        <v>1.3888888885655107E-3</v>
      </c>
      <c r="AR20" s="103">
        <f t="shared" si="25"/>
        <v>6.9444444452528842E-3</v>
      </c>
      <c r="AS20" s="103">
        <f t="shared" si="22"/>
        <v>3.3333333332848269E-2</v>
      </c>
      <c r="AT20" s="103">
        <f t="shared" ca="1" si="23"/>
        <v>3.472222222141378E-2</v>
      </c>
      <c r="AU20" s="104">
        <f t="shared" ca="1" si="24"/>
        <v>6.9444444452528842E-3</v>
      </c>
      <c r="AV20" s="239" t="s">
        <v>255</v>
      </c>
    </row>
    <row r="21" spans="1:48" x14ac:dyDescent="0.25">
      <c r="A21" s="96">
        <f t="shared" si="8"/>
        <v>45141.5</v>
      </c>
      <c r="B21" s="214">
        <v>0.5</v>
      </c>
      <c r="C21" s="199" t="s">
        <v>248</v>
      </c>
      <c r="D21" s="79">
        <v>74330</v>
      </c>
      <c r="E21" s="80">
        <f t="shared" ref="E21:E23" si="27">+D21-D20</f>
        <v>230</v>
      </c>
      <c r="F21" s="200">
        <f t="shared" si="9"/>
        <v>200</v>
      </c>
      <c r="G21" s="210">
        <v>34</v>
      </c>
      <c r="H21" s="209">
        <v>42</v>
      </c>
      <c r="I21" s="210">
        <v>14</v>
      </c>
      <c r="J21" s="211">
        <v>20</v>
      </c>
      <c r="K21" s="209" t="s">
        <v>136</v>
      </c>
      <c r="L21" s="209" t="s">
        <v>136</v>
      </c>
      <c r="M21" s="209"/>
      <c r="N21" s="209" t="s">
        <v>261</v>
      </c>
      <c r="O21" s="209" t="s">
        <v>262</v>
      </c>
      <c r="P21" s="79" t="s">
        <v>180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81</v>
      </c>
      <c r="W21" s="212">
        <v>20</v>
      </c>
      <c r="X21" s="209">
        <v>67</v>
      </c>
      <c r="Y21" s="209">
        <v>100</v>
      </c>
      <c r="Z21" s="209"/>
      <c r="AA21" s="212">
        <v>70</v>
      </c>
      <c r="AB21" s="212">
        <v>7</v>
      </c>
      <c r="AC21" s="213">
        <v>100</v>
      </c>
      <c r="AD21" s="213">
        <v>39</v>
      </c>
      <c r="AE21" s="209" t="s">
        <v>134</v>
      </c>
      <c r="AF21" s="209" t="s">
        <v>134</v>
      </c>
      <c r="AG21" s="209"/>
      <c r="AH21" s="209"/>
      <c r="AI21" s="101"/>
      <c r="AJ21" s="101"/>
      <c r="AK21" s="102">
        <f>AO21</f>
        <v>1</v>
      </c>
      <c r="AL21" s="103">
        <f t="shared" si="16"/>
        <v>45141.458333333336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45141.5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 t="s">
        <v>258</v>
      </c>
    </row>
    <row r="22" spans="1:48" ht="13.5" customHeight="1" x14ac:dyDescent="0.25">
      <c r="A22" s="96">
        <f t="shared" si="8"/>
        <v>45141.541666666664</v>
      </c>
      <c r="B22" s="214">
        <v>0.54166666666666663</v>
      </c>
      <c r="C22" s="199" t="s">
        <v>248</v>
      </c>
      <c r="D22" s="79">
        <v>74542</v>
      </c>
      <c r="E22" s="80">
        <f t="shared" si="27"/>
        <v>212</v>
      </c>
      <c r="F22" s="200">
        <f t="shared" si="9"/>
        <v>200</v>
      </c>
      <c r="G22" s="210">
        <v>35</v>
      </c>
      <c r="H22" s="209">
        <v>43</v>
      </c>
      <c r="I22" s="210">
        <v>15</v>
      </c>
      <c r="J22" s="211">
        <v>20</v>
      </c>
      <c r="K22" s="209" t="s">
        <v>136</v>
      </c>
      <c r="L22" s="209" t="s">
        <v>136</v>
      </c>
      <c r="M22" s="209"/>
      <c r="N22" s="209" t="s">
        <v>182</v>
      </c>
      <c r="O22" s="209" t="s">
        <v>120</v>
      </c>
      <c r="P22" s="79" t="s">
        <v>171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83</v>
      </c>
      <c r="W22" s="212">
        <v>34</v>
      </c>
      <c r="X22" s="209">
        <v>63</v>
      </c>
      <c r="Y22" s="209">
        <v>100</v>
      </c>
      <c r="Z22" s="209"/>
      <c r="AA22" s="212">
        <v>70</v>
      </c>
      <c r="AB22" s="212">
        <v>7</v>
      </c>
      <c r="AC22" s="213">
        <v>100</v>
      </c>
      <c r="AD22" s="213">
        <v>34</v>
      </c>
      <c r="AE22" s="209" t="s">
        <v>134</v>
      </c>
      <c r="AF22" s="209" t="s">
        <v>176</v>
      </c>
      <c r="AG22" s="209"/>
      <c r="AH22" s="209"/>
      <c r="AI22" s="101"/>
      <c r="AJ22" s="101"/>
      <c r="AK22" s="102">
        <f>AO22</f>
        <v>1</v>
      </c>
      <c r="AL22" s="103">
        <f t="shared" si="16"/>
        <v>45141.5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45141.541666666664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 t="s">
        <v>260</v>
      </c>
    </row>
    <row r="23" spans="1:48" x14ac:dyDescent="0.25">
      <c r="A23" s="96">
        <f t="shared" si="8"/>
        <v>45141.583333333336</v>
      </c>
      <c r="B23" s="215">
        <v>0.58333333333333337</v>
      </c>
      <c r="C23" s="199" t="s">
        <v>248</v>
      </c>
      <c r="D23" s="79">
        <v>74634</v>
      </c>
      <c r="E23" s="80">
        <f t="shared" si="27"/>
        <v>92</v>
      </c>
      <c r="F23" s="200">
        <f t="shared" si="9"/>
        <v>200</v>
      </c>
      <c r="G23" s="210">
        <v>35</v>
      </c>
      <c r="H23" s="209">
        <v>43</v>
      </c>
      <c r="I23" s="210">
        <v>15</v>
      </c>
      <c r="J23" s="211">
        <v>20</v>
      </c>
      <c r="K23" s="209" t="s">
        <v>136</v>
      </c>
      <c r="L23" s="209" t="s">
        <v>136</v>
      </c>
      <c r="M23" s="209"/>
      <c r="N23" s="209">
        <v>40.1</v>
      </c>
      <c r="O23" s="209">
        <v>41.8</v>
      </c>
      <c r="P23" s="79">
        <v>1.9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81</v>
      </c>
      <c r="W23" s="212">
        <v>32</v>
      </c>
      <c r="X23" s="209">
        <v>61</v>
      </c>
      <c r="Y23" s="209">
        <v>100</v>
      </c>
      <c r="Z23" s="209"/>
      <c r="AA23" s="212">
        <v>70</v>
      </c>
      <c r="AB23" s="212">
        <v>7</v>
      </c>
      <c r="AC23" s="213">
        <v>100</v>
      </c>
      <c r="AD23" s="213">
        <v>60</v>
      </c>
      <c r="AE23" s="209" t="s">
        <v>134</v>
      </c>
      <c r="AF23" s="209" t="s">
        <v>134</v>
      </c>
      <c r="AG23" s="209"/>
      <c r="AH23" s="209"/>
      <c r="AI23" s="101"/>
      <c r="AJ23" s="101"/>
      <c r="AK23" s="102">
        <f>AO23</f>
        <v>1</v>
      </c>
      <c r="AL23" s="103">
        <f t="shared" si="16"/>
        <v>45141.541666666672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45141.583333333336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 t="s">
        <v>263</v>
      </c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894</v>
      </c>
      <c r="E24" s="121">
        <f ca="1">IFERROR(D24/24/AT24,"")</f>
        <v>156.38483964834117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8">IFERROR(AVERAGE(AE16:AE23),"")</f>
        <v/>
      </c>
      <c r="AF24" s="136" t="str">
        <f t="shared" si="28"/>
        <v/>
      </c>
      <c r="AG24" s="136" t="str">
        <f t="shared" si="28"/>
        <v/>
      </c>
      <c r="AH24" s="136" t="str">
        <f t="shared" si="28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0.23819444444719309</v>
      </c>
      <c r="AU24" s="143">
        <f ca="1">SUM(AU16:AU23)</f>
        <v>9.5138888886140194E-2</v>
      </c>
      <c r="AV24" s="239" t="s">
        <v>264</v>
      </c>
    </row>
    <row r="25" spans="1:48" ht="13.15" customHeight="1" thickTop="1" x14ac:dyDescent="0.25">
      <c r="A25" s="96">
        <f t="shared" ref="A25:A32" si="29">B25+$B$1</f>
        <v>45141.625</v>
      </c>
      <c r="B25" s="198">
        <v>0.625</v>
      </c>
      <c r="C25" s="199" t="s">
        <v>130</v>
      </c>
      <c r="D25" s="79">
        <v>74785</v>
      </c>
      <c r="E25" s="80">
        <f>IF(D25&gt;0,D25-D23,"")</f>
        <v>151</v>
      </c>
      <c r="F25" s="200">
        <f t="shared" si="9"/>
        <v>200</v>
      </c>
      <c r="G25" s="210">
        <v>36</v>
      </c>
      <c r="H25" s="210">
        <v>43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33.1</v>
      </c>
      <c r="O25" s="209">
        <v>40.6</v>
      </c>
      <c r="P25" s="209">
        <v>2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81</v>
      </c>
      <c r="W25" s="212">
        <v>30</v>
      </c>
      <c r="X25" s="212">
        <v>60</v>
      </c>
      <c r="Y25" s="209">
        <v>100</v>
      </c>
      <c r="Z25" s="209"/>
      <c r="AA25" s="209">
        <v>70</v>
      </c>
      <c r="AB25" s="212">
        <v>8</v>
      </c>
      <c r="AC25" s="209">
        <v>100</v>
      </c>
      <c r="AD25" s="213">
        <v>59</v>
      </c>
      <c r="AE25" s="209" t="s">
        <v>134</v>
      </c>
      <c r="AF25" s="209" t="s">
        <v>134</v>
      </c>
      <c r="AG25" s="209"/>
      <c r="AH25" s="209"/>
      <c r="AI25" s="134">
        <v>0.59097222222222223</v>
      </c>
      <c r="AJ25" s="145">
        <v>0.59791666666666665</v>
      </c>
      <c r="AK25" s="120">
        <f t="shared" ref="AK25:AK31" si="30">AK24</f>
        <v>1</v>
      </c>
      <c r="AL25" s="103">
        <f t="shared" ref="AL25:AL32" si="31">IF(AI25&lt;&gt;"",AI25+$B$1,B25+$B$1-1/24)</f>
        <v>45141.59097222222</v>
      </c>
      <c r="AM25" s="102">
        <f t="shared" ref="AM25:AM32" si="32">AK24</f>
        <v>1</v>
      </c>
      <c r="AN25" s="102">
        <f t="shared" ref="AN25:AN32" si="33">IF(AI25="",AM25,0)</f>
        <v>0</v>
      </c>
      <c r="AO25" s="102" t="e">
        <f>IF(#REF!&lt;&gt;"",1,AN25)</f>
        <v>#REF!</v>
      </c>
      <c r="AP25" s="103">
        <f>IF(AJ23&lt;&gt;"",AJ23+$B$1,B25+$B$1)</f>
        <v>45141.625</v>
      </c>
      <c r="AQ25" s="103">
        <f t="shared" ref="AQ25:AQ32" si="34">AL25-A25+1/24</f>
        <v>7.6388888871103192E-3</v>
      </c>
      <c r="AR25" s="103">
        <f t="shared" ref="AR25:AR32" si="35">AP25-AL25</f>
        <v>3.4027777779556345E-2</v>
      </c>
      <c r="AS25" s="103">
        <f t="shared" ref="AS25:AS32" si="36">A25-AP25</f>
        <v>0</v>
      </c>
      <c r="AT25" s="103">
        <v>0</v>
      </c>
      <c r="AU25" s="104">
        <v>0.59791666666666665</v>
      </c>
      <c r="AV25" s="239" t="s">
        <v>265</v>
      </c>
    </row>
    <row r="26" spans="1:48" x14ac:dyDescent="0.25">
      <c r="A26" s="96">
        <f t="shared" si="29"/>
        <v>45141.666666666664</v>
      </c>
      <c r="B26" s="198">
        <v>0.66666666666666663</v>
      </c>
      <c r="C26" s="199" t="s">
        <v>130</v>
      </c>
      <c r="D26" s="79">
        <v>74931</v>
      </c>
      <c r="E26" s="80">
        <f t="shared" ref="E26:E35" si="37">IF(D26&gt;0,D26-D25,"")</f>
        <v>146</v>
      </c>
      <c r="F26" s="200">
        <f t="shared" si="9"/>
        <v>200</v>
      </c>
      <c r="G26" s="210">
        <v>35</v>
      </c>
      <c r="H26" s="210">
        <v>42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39</v>
      </c>
      <c r="O26" s="209">
        <v>40.4</v>
      </c>
      <c r="P26" s="209">
        <v>1.8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85</v>
      </c>
      <c r="W26" s="212">
        <v>29</v>
      </c>
      <c r="X26" s="212">
        <v>58</v>
      </c>
      <c r="Y26" s="209">
        <v>100</v>
      </c>
      <c r="Z26" s="209"/>
      <c r="AA26" s="209">
        <v>80</v>
      </c>
      <c r="AB26" s="212">
        <v>1</v>
      </c>
      <c r="AC26" s="209">
        <v>100</v>
      </c>
      <c r="AD26" s="213">
        <v>79</v>
      </c>
      <c r="AE26" s="209" t="s">
        <v>134</v>
      </c>
      <c r="AF26" s="209" t="s">
        <v>134</v>
      </c>
      <c r="AG26" s="209"/>
      <c r="AH26" s="209"/>
      <c r="AI26" s="134">
        <v>0.64652777777777781</v>
      </c>
      <c r="AJ26" s="175">
        <v>0.65277777777777779</v>
      </c>
      <c r="AK26" s="120">
        <f t="shared" si="30"/>
        <v>1</v>
      </c>
      <c r="AL26" s="103">
        <f t="shared" si="31"/>
        <v>45141.646527777775</v>
      </c>
      <c r="AM26" s="102">
        <f t="shared" si="32"/>
        <v>1</v>
      </c>
      <c r="AN26" s="102">
        <f t="shared" si="33"/>
        <v>0</v>
      </c>
      <c r="AO26" s="102">
        <f>IF(AJ25&lt;&gt;"",1,AN26)</f>
        <v>1</v>
      </c>
      <c r="AP26" s="103" t="e">
        <f>IF(#REF!&lt;&gt;"",#REF!+$B$1,B26+$B$1)</f>
        <v>#REF!</v>
      </c>
      <c r="AQ26" s="103">
        <f t="shared" si="34"/>
        <v>2.1527777777616088E-2</v>
      </c>
      <c r="AR26" s="103" t="e">
        <f t="shared" si="35"/>
        <v>#REF!</v>
      </c>
      <c r="AS26" s="103" t="e">
        <f t="shared" si="36"/>
        <v>#REF!</v>
      </c>
      <c r="AT26" s="103">
        <v>0</v>
      </c>
      <c r="AU26" s="104">
        <v>0.65277777777777779</v>
      </c>
      <c r="AV26" s="239" t="s">
        <v>269</v>
      </c>
    </row>
    <row r="27" spans="1:48" x14ac:dyDescent="0.25">
      <c r="A27" s="96">
        <f t="shared" si="29"/>
        <v>45141.708333333336</v>
      </c>
      <c r="B27" s="198">
        <v>0.70833333333333337</v>
      </c>
      <c r="C27" s="199" t="s">
        <v>130</v>
      </c>
      <c r="D27" s="79">
        <v>75012</v>
      </c>
      <c r="E27" s="80">
        <f t="shared" si="37"/>
        <v>81</v>
      </c>
      <c r="F27" s="200">
        <f t="shared" si="9"/>
        <v>200</v>
      </c>
      <c r="G27" s="210">
        <v>36</v>
      </c>
      <c r="H27" s="210">
        <v>42</v>
      </c>
      <c r="I27" s="209">
        <v>14</v>
      </c>
      <c r="J27" s="211">
        <v>20</v>
      </c>
      <c r="K27" s="211" t="s">
        <v>136</v>
      </c>
      <c r="L27" s="209" t="s">
        <v>136</v>
      </c>
      <c r="M27" s="209"/>
      <c r="N27" s="209">
        <v>39.700000000000003</v>
      </c>
      <c r="O27" s="209">
        <v>41.3</v>
      </c>
      <c r="P27" s="209">
        <v>2.4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78</v>
      </c>
      <c r="W27" s="212">
        <v>30</v>
      </c>
      <c r="X27" s="212">
        <v>76</v>
      </c>
      <c r="Y27" s="209">
        <v>100</v>
      </c>
      <c r="Z27" s="209"/>
      <c r="AA27" s="209">
        <v>90</v>
      </c>
      <c r="AB27" s="212">
        <v>6</v>
      </c>
      <c r="AC27" s="209">
        <v>80</v>
      </c>
      <c r="AD27" s="213">
        <v>76</v>
      </c>
      <c r="AE27" s="209" t="s">
        <v>135</v>
      </c>
      <c r="AF27" s="209" t="s">
        <v>224</v>
      </c>
      <c r="AG27" s="209"/>
      <c r="AH27" s="209"/>
      <c r="AI27" s="134">
        <v>0.69513888888888886</v>
      </c>
      <c r="AJ27" s="145">
        <v>0.70763888888888893</v>
      </c>
      <c r="AK27" s="120">
        <f t="shared" si="30"/>
        <v>1</v>
      </c>
      <c r="AL27" s="103">
        <f t="shared" si="31"/>
        <v>45141.695138888892</v>
      </c>
      <c r="AM27" s="102">
        <f t="shared" si="32"/>
        <v>1</v>
      </c>
      <c r="AN27" s="102">
        <f t="shared" si="33"/>
        <v>0</v>
      </c>
      <c r="AO27" s="102">
        <f t="shared" ref="AO27:AO32" si="38">IF(AJ27&lt;&gt;"",1,AN27)</f>
        <v>1</v>
      </c>
      <c r="AP27" s="103">
        <f>IF(AJ25&lt;&gt;"",AJ25+$B$1,B27+$B$1)</f>
        <v>45141.597916666666</v>
      </c>
      <c r="AQ27" s="103">
        <f t="shared" si="34"/>
        <v>2.8472222222868972E-2</v>
      </c>
      <c r="AR27" s="103">
        <f t="shared" si="35"/>
        <v>-9.7222222226264421E-2</v>
      </c>
      <c r="AS27" s="103">
        <f t="shared" si="36"/>
        <v>0.11041666667006211</v>
      </c>
      <c r="AT27" s="103">
        <v>0</v>
      </c>
      <c r="AU27" s="104">
        <v>0</v>
      </c>
      <c r="AV27" s="239" t="s">
        <v>270</v>
      </c>
    </row>
    <row r="28" spans="1:48" ht="14.25" customHeight="1" x14ac:dyDescent="0.25">
      <c r="A28" s="96">
        <f t="shared" si="29"/>
        <v>45141.75</v>
      </c>
      <c r="B28" s="198">
        <v>0.75</v>
      </c>
      <c r="C28" s="199" t="s">
        <v>130</v>
      </c>
      <c r="D28" s="79">
        <v>75151</v>
      </c>
      <c r="E28" s="80">
        <f t="shared" si="37"/>
        <v>139</v>
      </c>
      <c r="F28" s="200">
        <f t="shared" si="9"/>
        <v>200</v>
      </c>
      <c r="G28" s="210">
        <v>35</v>
      </c>
      <c r="H28" s="210">
        <v>41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>
        <v>39.700000000000003</v>
      </c>
      <c r="O28" s="209">
        <v>40.799999999999997</v>
      </c>
      <c r="P28" s="209">
        <v>1.8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80</v>
      </c>
      <c r="W28" s="212">
        <v>24</v>
      </c>
      <c r="X28" s="212">
        <v>70</v>
      </c>
      <c r="Y28" s="209">
        <v>100</v>
      </c>
      <c r="Z28" s="209"/>
      <c r="AA28" s="209">
        <v>90</v>
      </c>
      <c r="AB28" s="212">
        <v>7</v>
      </c>
      <c r="AC28" s="212">
        <v>90</v>
      </c>
      <c r="AD28" s="213">
        <v>56</v>
      </c>
      <c r="AE28" s="209" t="s">
        <v>134</v>
      </c>
      <c r="AF28" s="209" t="s">
        <v>134</v>
      </c>
      <c r="AG28" s="209"/>
      <c r="AH28" s="209"/>
      <c r="AI28" s="101"/>
      <c r="AJ28" s="101"/>
      <c r="AK28" s="120">
        <f t="shared" si="30"/>
        <v>1</v>
      </c>
      <c r="AL28" s="103">
        <f t="shared" si="31"/>
        <v>45141.708333333336</v>
      </c>
      <c r="AM28" s="102">
        <f t="shared" si="32"/>
        <v>1</v>
      </c>
      <c r="AN28" s="102">
        <f t="shared" si="33"/>
        <v>1</v>
      </c>
      <c r="AO28" s="102">
        <f t="shared" si="38"/>
        <v>1</v>
      </c>
      <c r="AP28" s="103">
        <f t="shared" ref="AP28:AP32" si="39">IF(AJ27&lt;&gt;"",AJ27+$B$1,B28+$B$1)</f>
        <v>45141.707638888889</v>
      </c>
      <c r="AQ28" s="103">
        <f t="shared" si="34"/>
        <v>2.425316891763174E-12</v>
      </c>
      <c r="AR28" s="103">
        <f t="shared" si="35"/>
        <v>-6.944444467080757E-4</v>
      </c>
      <c r="AS28" s="103">
        <f t="shared" si="36"/>
        <v>4.2361111110949423E-2</v>
      </c>
      <c r="AT28" s="103">
        <f t="shared" ref="AT28:AT35" ca="1" si="40">IF(A28&lt;$AU$1,SUMPRODUCT(AM28:AO28,AQ28:AS28),0)</f>
        <v>4.1666666666666664E-2</v>
      </c>
      <c r="AU28" s="104">
        <f t="shared" ref="AU28:AU32" ca="1" si="41">IF(A28&lt;$AU$1,1/24-AT28,0)</f>
        <v>0</v>
      </c>
      <c r="AV28" s="239"/>
    </row>
    <row r="29" spans="1:48" ht="15" customHeight="1" x14ac:dyDescent="0.25">
      <c r="A29" s="96">
        <f t="shared" si="29"/>
        <v>45141.791666666664</v>
      </c>
      <c r="B29" s="198">
        <v>0.79166666666666663</v>
      </c>
      <c r="C29" s="199" t="s">
        <v>130</v>
      </c>
      <c r="D29" s="79">
        <v>75203</v>
      </c>
      <c r="E29" s="80">
        <f t="shared" si="37"/>
        <v>52</v>
      </c>
      <c r="F29" s="200">
        <f t="shared" si="9"/>
        <v>200</v>
      </c>
      <c r="G29" s="210">
        <v>36</v>
      </c>
      <c r="H29" s="210">
        <v>40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>
        <v>39.5</v>
      </c>
      <c r="O29" s="209">
        <v>41.3</v>
      </c>
      <c r="P29" s="209">
        <v>2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81</v>
      </c>
      <c r="W29" s="212">
        <v>26</v>
      </c>
      <c r="X29" s="212">
        <v>72</v>
      </c>
      <c r="Y29" s="209">
        <v>100</v>
      </c>
      <c r="Z29" s="209"/>
      <c r="AA29" s="209">
        <v>90</v>
      </c>
      <c r="AB29" s="212">
        <v>9</v>
      </c>
      <c r="AC29" s="212">
        <v>100</v>
      </c>
      <c r="AD29" s="213">
        <v>70</v>
      </c>
      <c r="AE29" s="209" t="s">
        <v>134</v>
      </c>
      <c r="AF29" s="209" t="s">
        <v>134</v>
      </c>
      <c r="AG29" s="209"/>
      <c r="AH29" s="209"/>
      <c r="AI29" s="100">
        <v>0.75763888888888886</v>
      </c>
      <c r="AJ29" s="101">
        <v>0.77361111111111114</v>
      </c>
      <c r="AK29" s="120">
        <f t="shared" si="30"/>
        <v>1</v>
      </c>
      <c r="AL29" s="103">
        <f t="shared" si="31"/>
        <v>45141.757638888892</v>
      </c>
      <c r="AM29" s="102">
        <f t="shared" si="32"/>
        <v>1</v>
      </c>
      <c r="AN29" s="102">
        <f t="shared" si="33"/>
        <v>0</v>
      </c>
      <c r="AO29" s="102">
        <f t="shared" si="38"/>
        <v>1</v>
      </c>
      <c r="AP29" s="103">
        <f t="shared" si="39"/>
        <v>45141.791666666664</v>
      </c>
      <c r="AQ29" s="103">
        <f t="shared" si="34"/>
        <v>7.6388888943862768E-3</v>
      </c>
      <c r="AR29" s="103">
        <f t="shared" si="35"/>
        <v>3.4027777772280388E-2</v>
      </c>
      <c r="AS29" s="103">
        <f t="shared" si="36"/>
        <v>0</v>
      </c>
      <c r="AT29" s="103">
        <f t="shared" ca="1" si="40"/>
        <v>7.6388888943862768E-3</v>
      </c>
      <c r="AU29" s="104">
        <f t="shared" ca="1" si="41"/>
        <v>3.4027777772280388E-2</v>
      </c>
      <c r="AV29" s="239" t="s">
        <v>266</v>
      </c>
    </row>
    <row r="30" spans="1:48" x14ac:dyDescent="0.25">
      <c r="A30" s="96">
        <f t="shared" si="29"/>
        <v>45141.833333333336</v>
      </c>
      <c r="B30" s="198">
        <v>0.83333333333333337</v>
      </c>
      <c r="C30" s="199" t="s">
        <v>130</v>
      </c>
      <c r="D30" s="79">
        <v>75310</v>
      </c>
      <c r="E30" s="80">
        <f t="shared" si="37"/>
        <v>107</v>
      </c>
      <c r="F30" s="200">
        <f t="shared" si="9"/>
        <v>200</v>
      </c>
      <c r="G30" s="210">
        <v>36</v>
      </c>
      <c r="H30" s="210">
        <v>41</v>
      </c>
      <c r="I30" s="209">
        <v>14</v>
      </c>
      <c r="J30" s="211">
        <v>20</v>
      </c>
      <c r="K30" s="211" t="s">
        <v>136</v>
      </c>
      <c r="L30" s="209" t="s">
        <v>136</v>
      </c>
      <c r="M30" s="209"/>
      <c r="N30" s="209">
        <v>38</v>
      </c>
      <c r="O30" s="209">
        <v>41.5</v>
      </c>
      <c r="P30" s="209">
        <v>1.7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78</v>
      </c>
      <c r="W30" s="212">
        <v>30</v>
      </c>
      <c r="X30" s="212">
        <v>69</v>
      </c>
      <c r="Y30" s="209">
        <v>100</v>
      </c>
      <c r="Z30" s="209"/>
      <c r="AA30" s="209">
        <v>90</v>
      </c>
      <c r="AB30" s="212">
        <v>7</v>
      </c>
      <c r="AC30" s="212">
        <v>100</v>
      </c>
      <c r="AD30" s="213">
        <v>67</v>
      </c>
      <c r="AE30" s="209" t="s">
        <v>134</v>
      </c>
      <c r="AF30" s="209" t="s">
        <v>134</v>
      </c>
      <c r="AG30" s="209"/>
      <c r="AH30" s="209"/>
      <c r="AI30" s="101">
        <v>0.79722222222222217</v>
      </c>
      <c r="AJ30" s="101">
        <v>0.80486111111111114</v>
      </c>
      <c r="AK30" s="120">
        <f t="shared" si="30"/>
        <v>1</v>
      </c>
      <c r="AL30" s="103">
        <f t="shared" si="31"/>
        <v>45141.797222222223</v>
      </c>
      <c r="AM30" s="102">
        <f t="shared" si="32"/>
        <v>1</v>
      </c>
      <c r="AN30" s="102">
        <f t="shared" si="33"/>
        <v>0</v>
      </c>
      <c r="AO30" s="102">
        <f t="shared" si="38"/>
        <v>1</v>
      </c>
      <c r="AP30" s="103">
        <f t="shared" si="39"/>
        <v>45141.773611111108</v>
      </c>
      <c r="AQ30" s="103">
        <f t="shared" si="34"/>
        <v>5.5555555542620497E-3</v>
      </c>
      <c r="AR30" s="103">
        <f t="shared" si="35"/>
        <v>-2.3611111115314998E-2</v>
      </c>
      <c r="AS30" s="103">
        <f t="shared" si="36"/>
        <v>5.9722222227719612E-2</v>
      </c>
      <c r="AT30" s="103">
        <f t="shared" ca="1" si="40"/>
        <v>6.5277777781981655E-2</v>
      </c>
      <c r="AU30" s="104">
        <f t="shared" ca="1" si="41"/>
        <v>-2.3611111115314991E-2</v>
      </c>
      <c r="AV30" s="239" t="s">
        <v>267</v>
      </c>
    </row>
    <row r="31" spans="1:48" ht="14.25" customHeight="1" x14ac:dyDescent="0.25">
      <c r="A31" s="96">
        <f t="shared" si="29"/>
        <v>45141.875</v>
      </c>
      <c r="B31" s="198">
        <v>0.875</v>
      </c>
      <c r="C31" s="199" t="s">
        <v>130</v>
      </c>
      <c r="D31" s="79">
        <v>75478</v>
      </c>
      <c r="E31" s="80">
        <f t="shared" si="37"/>
        <v>168</v>
      </c>
      <c r="F31" s="200">
        <f t="shared" si="9"/>
        <v>200</v>
      </c>
      <c r="G31" s="210">
        <v>35</v>
      </c>
      <c r="H31" s="210">
        <v>40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>
        <v>39.5</v>
      </c>
      <c r="O31" s="209">
        <v>41.9</v>
      </c>
      <c r="P31" s="209">
        <v>1.9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81</v>
      </c>
      <c r="W31" s="212">
        <v>32</v>
      </c>
      <c r="X31" s="212">
        <v>68</v>
      </c>
      <c r="Y31" s="209">
        <v>100</v>
      </c>
      <c r="Z31" s="209"/>
      <c r="AA31" s="209">
        <v>90</v>
      </c>
      <c r="AB31" s="212">
        <v>7</v>
      </c>
      <c r="AC31" s="212">
        <v>100</v>
      </c>
      <c r="AD31" s="213">
        <v>63</v>
      </c>
      <c r="AE31" s="209" t="s">
        <v>224</v>
      </c>
      <c r="AF31" s="209" t="s">
        <v>224</v>
      </c>
      <c r="AG31" s="209"/>
      <c r="AH31" s="209"/>
      <c r="AI31" s="101"/>
      <c r="AJ31" s="101"/>
      <c r="AK31" s="120">
        <f t="shared" si="30"/>
        <v>1</v>
      </c>
      <c r="AL31" s="103">
        <f t="shared" si="31"/>
        <v>45141.833333333336</v>
      </c>
      <c r="AM31" s="102">
        <f t="shared" si="32"/>
        <v>1</v>
      </c>
      <c r="AN31" s="102">
        <f t="shared" si="33"/>
        <v>1</v>
      </c>
      <c r="AO31" s="102">
        <f t="shared" si="38"/>
        <v>1</v>
      </c>
      <c r="AP31" s="103">
        <f t="shared" si="39"/>
        <v>45141.804861111108</v>
      </c>
      <c r="AQ31" s="103">
        <f t="shared" si="34"/>
        <v>2.425316891763174E-12</v>
      </c>
      <c r="AR31" s="103">
        <f t="shared" si="35"/>
        <v>-2.8472222227719612E-2</v>
      </c>
      <c r="AS31" s="103">
        <f t="shared" si="36"/>
        <v>7.013888889196096E-2</v>
      </c>
      <c r="AT31" s="103">
        <f t="shared" ca="1" si="40"/>
        <v>4.1666666666666664E-2</v>
      </c>
      <c r="AU31" s="104">
        <f t="shared" ca="1" si="41"/>
        <v>0</v>
      </c>
      <c r="AV31" s="239"/>
    </row>
    <row r="32" spans="1:48" x14ac:dyDescent="0.25">
      <c r="A32" s="96">
        <f t="shared" si="29"/>
        <v>45141.916666666664</v>
      </c>
      <c r="B32" s="198">
        <v>0.91666666666666663</v>
      </c>
      <c r="C32" s="199" t="s">
        <v>130</v>
      </c>
      <c r="D32" s="79">
        <v>75501</v>
      </c>
      <c r="E32" s="80">
        <f t="shared" si="37"/>
        <v>23</v>
      </c>
      <c r="F32" s="200">
        <f t="shared" si="9"/>
        <v>200</v>
      </c>
      <c r="G32" s="210">
        <v>35</v>
      </c>
      <c r="H32" s="210">
        <v>40</v>
      </c>
      <c r="I32" s="209">
        <v>15</v>
      </c>
      <c r="J32" s="211">
        <v>20</v>
      </c>
      <c r="K32" s="211" t="s">
        <v>136</v>
      </c>
      <c r="L32" s="209" t="s">
        <v>136</v>
      </c>
      <c r="M32" s="209"/>
      <c r="N32" s="209">
        <v>38.9</v>
      </c>
      <c r="O32" s="209">
        <v>41.9</v>
      </c>
      <c r="P32" s="209">
        <v>1.7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66</v>
      </c>
      <c r="W32" s="212">
        <v>1</v>
      </c>
      <c r="X32" s="212">
        <v>77</v>
      </c>
      <c r="Y32" s="209">
        <v>100</v>
      </c>
      <c r="Z32" s="209"/>
      <c r="AA32" s="209">
        <v>90</v>
      </c>
      <c r="AB32" s="212">
        <v>7</v>
      </c>
      <c r="AC32" s="212">
        <v>100</v>
      </c>
      <c r="AD32" s="213">
        <v>67</v>
      </c>
      <c r="AE32" s="209" t="s">
        <v>135</v>
      </c>
      <c r="AF32" s="209" t="s">
        <v>135</v>
      </c>
      <c r="AG32" s="209"/>
      <c r="AH32" s="209"/>
      <c r="AI32" s="101">
        <v>0.875</v>
      </c>
      <c r="AJ32" s="101">
        <v>0.91666666666666663</v>
      </c>
      <c r="AK32" s="102">
        <f t="shared" ref="AK32" si="42">AO32</f>
        <v>1</v>
      </c>
      <c r="AL32" s="103">
        <f t="shared" si="31"/>
        <v>45141.875</v>
      </c>
      <c r="AM32" s="102">
        <f t="shared" si="32"/>
        <v>1</v>
      </c>
      <c r="AN32" s="102">
        <f t="shared" si="33"/>
        <v>0</v>
      </c>
      <c r="AO32" s="102">
        <f t="shared" si="38"/>
        <v>1</v>
      </c>
      <c r="AP32" s="103">
        <f t="shared" si="39"/>
        <v>45141.916666666664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40"/>
        <v>2.425316891763174E-12</v>
      </c>
      <c r="AU32" s="104">
        <f t="shared" ca="1" si="41"/>
        <v>4.1666666664241347E-2</v>
      </c>
      <c r="AV32" s="239" t="s">
        <v>268</v>
      </c>
    </row>
    <row r="33" spans="1:48" ht="13.5" thickBot="1" x14ac:dyDescent="0.3">
      <c r="A33" s="96"/>
      <c r="B33" s="7" t="s">
        <v>60</v>
      </c>
      <c r="C33" s="7"/>
      <c r="D33" s="7">
        <f>IF(D32=0,SUM(E25:E32),D32-D23)</f>
        <v>867</v>
      </c>
      <c r="E33" s="121" t="str">
        <f ca="1">IFERROR(D33/24/AT33,"")</f>
        <v/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3">IFERROR(AVERAGE(AE25:AE32),"")</f>
        <v/>
      </c>
      <c r="AF33" s="136" t="str">
        <f t="shared" si="43"/>
        <v/>
      </c>
      <c r="AG33" s="136" t="str">
        <f t="shared" si="43"/>
        <v/>
      </c>
      <c r="AH33" s="136" t="str">
        <f t="shared" si="43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03">
        <f t="shared" ca="1" si="40"/>
        <v>0</v>
      </c>
      <c r="AU33" s="143">
        <f ca="1">SUM(AU25:AU32)</f>
        <v>1.3027777777656513</v>
      </c>
      <c r="AV33" s="105" t="s">
        <v>271</v>
      </c>
    </row>
    <row r="34" spans="1:48" ht="1.9" customHeight="1" thickTop="1" x14ac:dyDescent="0.25">
      <c r="A34" s="96"/>
      <c r="B34" s="155"/>
      <c r="C34" s="155"/>
      <c r="D34" s="155"/>
      <c r="E34" s="80" t="str">
        <f t="shared" si="37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03">
        <f t="shared" ca="1" si="40"/>
        <v>0</v>
      </c>
      <c r="AU34" s="159"/>
    </row>
    <row r="35" spans="1:48" ht="13.5" thickBot="1" x14ac:dyDescent="0.3">
      <c r="B35" s="161" t="s">
        <v>61</v>
      </c>
      <c r="C35" s="161"/>
      <c r="D35" s="161">
        <f>D24+D33+D15</f>
        <v>1761</v>
      </c>
      <c r="E35" s="80">
        <f t="shared" si="37"/>
        <v>1761</v>
      </c>
      <c r="F35" s="161"/>
      <c r="G35" s="161"/>
      <c r="H35" s="229" t="str">
        <f>IFERROR(#REF!/D35,"")</f>
        <v/>
      </c>
      <c r="I35" s="230"/>
      <c r="J35" s="231"/>
      <c r="K35" s="231"/>
      <c r="AT35" s="103">
        <f t="shared" ca="1" si="40"/>
        <v>0</v>
      </c>
      <c r="AU35" s="162">
        <f ca="1">+AU33+AU24+AU15</f>
        <v>1.3979166666517915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45141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894</v>
      </c>
      <c r="J40" s="171">
        <f>D33</f>
        <v>867</v>
      </c>
      <c r="K40" s="79">
        <f>D35</f>
        <v>1761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0.23819444444719309</v>
      </c>
      <c r="J41" s="235">
        <f ca="1">AT33</f>
        <v>0</v>
      </c>
      <c r="K41" s="235">
        <f ca="1">IF(SUM(H41:J41)=1,"24 h",SUM(H41:J41))</f>
        <v>0.57152777778052655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156.38483964834117</v>
      </c>
      <c r="J42" s="171" t="str">
        <f ca="1">E33</f>
        <v/>
      </c>
      <c r="K42" s="171">
        <f>E35</f>
        <v>1761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73740</v>
      </c>
      <c r="H46" s="79">
        <f>+D32</f>
        <v>75501</v>
      </c>
      <c r="I46" s="79">
        <f>+D35</f>
        <v>1761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</v>
      </c>
      <c r="N46" s="79">
        <f>+L46*24</f>
        <v>16</v>
      </c>
      <c r="O46" s="238">
        <f ca="1">+AU35</f>
        <v>1.3979166666517915</v>
      </c>
      <c r="P46" s="79">
        <v>160</v>
      </c>
      <c r="Q46" s="111" t="e">
        <f ca="1">+I46/M46/24</f>
        <v>#DIV/0!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4">D7</f>
        <v>73740</v>
      </c>
      <c r="H48" s="79" t="e">
        <f>#REF!</f>
        <v>#REF!</v>
      </c>
      <c r="I48" s="79">
        <f>O7</f>
        <v>0</v>
      </c>
      <c r="J48" s="111">
        <f t="shared" ref="J48:K55" si="45">AE7</f>
        <v>0</v>
      </c>
      <c r="K48" s="111">
        <f t="shared" si="45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4"/>
        <v>73740</v>
      </c>
      <c r="H49" s="79" t="e">
        <f>#REF!</f>
        <v>#REF!</v>
      </c>
      <c r="I49" s="79">
        <f t="shared" ref="I49:I55" si="46">O8</f>
        <v>0</v>
      </c>
      <c r="J49" s="111">
        <f t="shared" si="45"/>
        <v>0</v>
      </c>
      <c r="K49" s="111">
        <f t="shared" si="45"/>
        <v>0</v>
      </c>
      <c r="L49" s="162">
        <f t="shared" ref="L49:M55" ca="1" si="47">AU8</f>
        <v>0</v>
      </c>
      <c r="M49" s="175">
        <f t="shared" si="47"/>
        <v>0</v>
      </c>
    </row>
    <row r="50" spans="6:13" ht="12.75" hidden="1" customHeight="1" x14ac:dyDescent="0.25">
      <c r="F50" s="1">
        <v>3</v>
      </c>
      <c r="G50" s="79">
        <f t="shared" si="44"/>
        <v>73740</v>
      </c>
      <c r="H50" s="79" t="e">
        <f>#REF!</f>
        <v>#REF!</v>
      </c>
      <c r="I50" s="79">
        <f t="shared" si="46"/>
        <v>0</v>
      </c>
      <c r="J50" s="111">
        <f t="shared" si="45"/>
        <v>0</v>
      </c>
      <c r="K50" s="111">
        <f t="shared" si="45"/>
        <v>0</v>
      </c>
      <c r="L50" s="162">
        <f t="shared" ca="1" si="47"/>
        <v>0</v>
      </c>
      <c r="M50" s="175">
        <f t="shared" si="47"/>
        <v>0</v>
      </c>
    </row>
    <row r="51" spans="6:13" ht="12.75" hidden="1" customHeight="1" x14ac:dyDescent="0.25">
      <c r="F51" s="1">
        <v>4</v>
      </c>
      <c r="G51" s="79">
        <f t="shared" si="44"/>
        <v>73740</v>
      </c>
      <c r="H51" s="79" t="e">
        <f>#REF!</f>
        <v>#REF!</v>
      </c>
      <c r="I51" s="79">
        <f t="shared" si="46"/>
        <v>0</v>
      </c>
      <c r="J51" s="111">
        <f t="shared" si="45"/>
        <v>0</v>
      </c>
      <c r="K51" s="111">
        <f t="shared" si="45"/>
        <v>0</v>
      </c>
      <c r="L51" s="162">
        <f t="shared" ca="1" si="47"/>
        <v>0</v>
      </c>
      <c r="M51" s="175">
        <f t="shared" si="47"/>
        <v>0</v>
      </c>
    </row>
    <row r="52" spans="6:13" ht="12.75" hidden="1" customHeight="1" x14ac:dyDescent="0.25">
      <c r="F52" s="1">
        <v>5</v>
      </c>
      <c r="G52" s="79">
        <f t="shared" si="44"/>
        <v>73740</v>
      </c>
      <c r="H52" s="79" t="e">
        <f>#REF!</f>
        <v>#REF!</v>
      </c>
      <c r="I52" s="79">
        <f>O11</f>
        <v>0</v>
      </c>
      <c r="J52" s="111">
        <f t="shared" si="45"/>
        <v>0</v>
      </c>
      <c r="K52" s="111">
        <f t="shared" si="45"/>
        <v>0</v>
      </c>
      <c r="L52" s="162">
        <f t="shared" ca="1" si="47"/>
        <v>0</v>
      </c>
      <c r="M52" s="175">
        <f t="shared" si="47"/>
        <v>0</v>
      </c>
    </row>
    <row r="53" spans="6:13" ht="12.75" hidden="1" customHeight="1" x14ac:dyDescent="0.25">
      <c r="F53" s="1">
        <v>6</v>
      </c>
      <c r="G53" s="79">
        <f t="shared" si="44"/>
        <v>73740</v>
      </c>
      <c r="H53" s="79" t="e">
        <f>#REF!</f>
        <v>#REF!</v>
      </c>
      <c r="I53" s="79">
        <f t="shared" si="46"/>
        <v>0</v>
      </c>
      <c r="J53" s="111">
        <f t="shared" si="45"/>
        <v>0</v>
      </c>
      <c r="K53" s="111">
        <f t="shared" si="45"/>
        <v>0</v>
      </c>
      <c r="L53" s="162">
        <f t="shared" ca="1" si="47"/>
        <v>0</v>
      </c>
      <c r="M53" s="175">
        <f t="shared" si="47"/>
        <v>0</v>
      </c>
    </row>
    <row r="54" spans="6:13" ht="12.75" hidden="1" customHeight="1" x14ac:dyDescent="0.25">
      <c r="F54" s="1">
        <v>7</v>
      </c>
      <c r="G54" s="79">
        <f t="shared" si="44"/>
        <v>73740</v>
      </c>
      <c r="H54" s="79" t="e">
        <f>#REF!</f>
        <v>#REF!</v>
      </c>
      <c r="I54" s="79">
        <f t="shared" si="46"/>
        <v>0</v>
      </c>
      <c r="J54" s="111">
        <f t="shared" si="45"/>
        <v>0</v>
      </c>
      <c r="K54" s="111">
        <f t="shared" si="45"/>
        <v>0</v>
      </c>
      <c r="L54" s="162">
        <f t="shared" ca="1" si="47"/>
        <v>0</v>
      </c>
      <c r="M54" s="175">
        <f t="shared" si="47"/>
        <v>0</v>
      </c>
    </row>
    <row r="55" spans="6:13" ht="12.75" hidden="1" customHeight="1" x14ac:dyDescent="0.25">
      <c r="F55" s="1">
        <v>8</v>
      </c>
      <c r="G55" s="79">
        <f t="shared" si="44"/>
        <v>73740</v>
      </c>
      <c r="H55" s="79" t="e">
        <f>#REF!</f>
        <v>#REF!</v>
      </c>
      <c r="I55" s="79">
        <f t="shared" si="46"/>
        <v>0</v>
      </c>
      <c r="J55" s="111">
        <f t="shared" si="45"/>
        <v>0</v>
      </c>
      <c r="K55" s="111">
        <f t="shared" si="45"/>
        <v>0</v>
      </c>
      <c r="L55" s="162">
        <f t="shared" ca="1" si="47"/>
        <v>0</v>
      </c>
      <c r="M55" s="175">
        <f t="shared" si="47"/>
        <v>0</v>
      </c>
    </row>
    <row r="56" spans="6:13" ht="12.75" hidden="1" customHeight="1" x14ac:dyDescent="0.25">
      <c r="F56" s="1">
        <v>9</v>
      </c>
      <c r="G56" s="79">
        <f t="shared" ref="G56:G63" si="48">D16</f>
        <v>73740</v>
      </c>
      <c r="H56" s="79" t="e">
        <f>#REF!</f>
        <v>#REF!</v>
      </c>
      <c r="I56" s="79" t="str">
        <f t="shared" ref="I56:I63" si="49">O16</f>
        <v>37.2</v>
      </c>
      <c r="J56" s="111" t="str">
        <f t="shared" ref="J56:K63" si="50">AE16</f>
        <v>Clean</v>
      </c>
      <c r="K56" s="111" t="str">
        <f t="shared" si="50"/>
        <v>build-up</v>
      </c>
      <c r="L56" s="162">
        <f t="shared" ref="L56:M63" ca="1" si="51">AU16</f>
        <v>4.1666666664241347E-2</v>
      </c>
      <c r="M56" s="175" t="str">
        <f t="shared" si="51"/>
        <v xml:space="preserve">Doing inspection ,caucus ,plant start -up FEO1 and FEO2 Crusher tripped </v>
      </c>
    </row>
    <row r="57" spans="6:13" ht="12.75" hidden="1" customHeight="1" x14ac:dyDescent="0.25">
      <c r="F57" s="1">
        <v>10</v>
      </c>
      <c r="G57" s="79">
        <f t="shared" si="48"/>
        <v>73756</v>
      </c>
      <c r="H57" s="79" t="e">
        <f>#REF!</f>
        <v>#REF!</v>
      </c>
      <c r="I57" s="79" t="str">
        <f t="shared" si="49"/>
        <v>39.0</v>
      </c>
      <c r="J57" s="111" t="str">
        <f t="shared" si="50"/>
        <v>Clean</v>
      </c>
      <c r="K57" s="111" t="str">
        <f t="shared" si="50"/>
        <v>build-up</v>
      </c>
      <c r="L57" s="162">
        <f t="shared" ca="1" si="51"/>
        <v>2.9166666667151731E-2</v>
      </c>
      <c r="M57" s="175" t="str">
        <f t="shared" si="51"/>
        <v>07:09&gt;Stop FEO1 due to FEO2 still tripped ,busy working on it</v>
      </c>
    </row>
    <row r="58" spans="6:13" ht="12.75" hidden="1" customHeight="1" x14ac:dyDescent="0.25">
      <c r="F58" s="1">
        <v>11</v>
      </c>
      <c r="G58" s="79">
        <f t="shared" si="48"/>
        <v>73857</v>
      </c>
      <c r="H58" s="79" t="e">
        <f>#REF!</f>
        <v>#REF!</v>
      </c>
      <c r="I58" s="79" t="str">
        <f t="shared" si="49"/>
        <v>39.9</v>
      </c>
      <c r="J58" s="111" t="str">
        <f t="shared" si="50"/>
        <v>Clean</v>
      </c>
      <c r="K58" s="111" t="str">
        <f t="shared" si="50"/>
        <v>build-up</v>
      </c>
      <c r="L58" s="162">
        <f t="shared" ca="1" si="51"/>
        <v>1.3888888890505768E-2</v>
      </c>
      <c r="M58" s="175" t="str">
        <f t="shared" si="51"/>
        <v>07:21&gt;Power dipped ,restart at 08:03</v>
      </c>
    </row>
    <row r="59" spans="6:13" ht="12.75" hidden="1" customHeight="1" x14ac:dyDescent="0.25">
      <c r="F59" s="1">
        <v>12</v>
      </c>
      <c r="G59" s="79">
        <f t="shared" si="48"/>
        <v>73972</v>
      </c>
      <c r="H59" s="79" t="e">
        <f>#REF!</f>
        <v>#REF!</v>
      </c>
      <c r="I59" s="79" t="str">
        <f t="shared" si="49"/>
        <v>41.1</v>
      </c>
      <c r="J59" s="111" t="str">
        <f t="shared" si="50"/>
        <v>Clean</v>
      </c>
      <c r="K59" s="111" t="str">
        <f t="shared" si="50"/>
        <v>build-up</v>
      </c>
      <c r="L59" s="162">
        <f t="shared" ca="1" si="51"/>
        <v>3.4722222189884633E-3</v>
      </c>
      <c r="M59" s="175" t="str">
        <f t="shared" si="51"/>
        <v>08:40&gt; Stop FEO1 due to clean build -up at FEO3</v>
      </c>
    </row>
    <row r="60" spans="6:13" ht="12.75" hidden="1" customHeight="1" x14ac:dyDescent="0.25">
      <c r="F60" s="1">
        <v>13</v>
      </c>
      <c r="G60" s="79">
        <f t="shared" si="48"/>
        <v>74100</v>
      </c>
      <c r="H60" s="79" t="e">
        <f>#REF!</f>
        <v>#REF!</v>
      </c>
      <c r="I60" s="79" t="str">
        <f t="shared" si="49"/>
        <v>42.5</v>
      </c>
      <c r="J60" s="111" t="str">
        <f t="shared" si="50"/>
        <v>Clean</v>
      </c>
      <c r="K60" s="111" t="str">
        <f t="shared" si="50"/>
        <v>build-up</v>
      </c>
      <c r="L60" s="162">
        <f t="shared" ca="1" si="51"/>
        <v>6.9444444452528842E-3</v>
      </c>
      <c r="M60" s="175" t="str">
        <f t="shared" si="51"/>
        <v>09:30&gt;Plant tripped due  to FEO3 bin full full . Delay time 5 minutes</v>
      </c>
    </row>
    <row r="61" spans="6:13" ht="12.75" hidden="1" customHeight="1" x14ac:dyDescent="0.25">
      <c r="F61" s="1">
        <v>14</v>
      </c>
      <c r="G61" s="79">
        <f t="shared" si="48"/>
        <v>74330</v>
      </c>
      <c r="H61" s="79" t="e">
        <f>#REF!</f>
        <v>#REF!</v>
      </c>
      <c r="I61" s="79" t="str">
        <f t="shared" si="49"/>
        <v>41.8</v>
      </c>
      <c r="J61" s="111" t="str">
        <f t="shared" si="50"/>
        <v>Clean</v>
      </c>
      <c r="K61" s="111" t="str">
        <f t="shared" si="50"/>
        <v>Clean</v>
      </c>
      <c r="L61" s="162">
        <f t="shared" ca="1" si="51"/>
        <v>0</v>
      </c>
      <c r="M61" s="175" t="str">
        <f t="shared" si="51"/>
        <v>10:02&gt;FEO1 bin block ,delay time to unblock is 10 minutes</v>
      </c>
    </row>
    <row r="62" spans="6:13" ht="12.75" hidden="1" customHeight="1" x14ac:dyDescent="0.25">
      <c r="F62" s="1">
        <v>15</v>
      </c>
      <c r="G62" s="79">
        <f t="shared" si="48"/>
        <v>74542</v>
      </c>
      <c r="H62" s="79" t="e">
        <f>#REF!</f>
        <v>#REF!</v>
      </c>
      <c r="I62" s="79" t="str">
        <f t="shared" si="49"/>
        <v>40.9</v>
      </c>
      <c r="J62" s="111" t="str">
        <f t="shared" si="50"/>
        <v>Clean</v>
      </c>
      <c r="K62" s="111" t="str">
        <f t="shared" si="50"/>
        <v>build -up</v>
      </c>
      <c r="L62" s="162">
        <f t="shared" ca="1" si="51"/>
        <v>0</v>
      </c>
      <c r="M62" s="175" t="str">
        <f t="shared" si="51"/>
        <v>10:15&gt;Plant running ok no problem,PTH is 278 per hour</v>
      </c>
    </row>
    <row r="63" spans="6:13" ht="12.75" hidden="1" customHeight="1" x14ac:dyDescent="0.25">
      <c r="F63" s="1">
        <v>16</v>
      </c>
      <c r="G63" s="79">
        <f t="shared" si="48"/>
        <v>74634</v>
      </c>
      <c r="H63" s="79" t="e">
        <f>#REF!</f>
        <v>#REF!</v>
      </c>
      <c r="I63" s="79">
        <f t="shared" si="49"/>
        <v>41.8</v>
      </c>
      <c r="J63" s="111" t="str">
        <f t="shared" si="50"/>
        <v>Clean</v>
      </c>
      <c r="K63" s="111" t="str">
        <f t="shared" si="50"/>
        <v>Clean</v>
      </c>
      <c r="L63" s="162">
        <f t="shared" ca="1" si="51"/>
        <v>0</v>
      </c>
      <c r="M63" s="175" t="str">
        <f t="shared" si="51"/>
        <v>11:00 TO 12:00&gt; Plant running no problem</v>
      </c>
    </row>
    <row r="64" spans="6:13" ht="12.75" hidden="1" customHeight="1" x14ac:dyDescent="0.25">
      <c r="F64" s="1">
        <v>17</v>
      </c>
      <c r="G64" s="79">
        <f t="shared" ref="G64:G71" si="52">D25</f>
        <v>74785</v>
      </c>
      <c r="H64" s="79" t="e">
        <f>#REF!</f>
        <v>#REF!</v>
      </c>
      <c r="I64" s="79">
        <f t="shared" ref="I64:I71" si="53">O25</f>
        <v>40.6</v>
      </c>
      <c r="J64" s="111" t="str">
        <f t="shared" ref="J64:K71" si="54">AE25</f>
        <v>Clean</v>
      </c>
      <c r="K64" s="111" t="str">
        <f t="shared" si="54"/>
        <v>Clean</v>
      </c>
      <c r="L64" s="162">
        <f t="shared" ref="L64:M71" si="55">AU25</f>
        <v>0.59791666666666665</v>
      </c>
      <c r="M64" s="175" t="str">
        <f>AV24</f>
        <v>Feedback from Wed A/N shift, top CC01 shows trip on HMI- Sello&amp; Nkosi</v>
      </c>
    </row>
    <row r="65" spans="6:13" ht="12.75" hidden="1" customHeight="1" x14ac:dyDescent="0.25">
      <c r="F65" s="1">
        <v>18</v>
      </c>
      <c r="G65" s="79">
        <f t="shared" si="52"/>
        <v>74931</v>
      </c>
      <c r="H65" s="79" t="e">
        <f>#REF!</f>
        <v>#REF!</v>
      </c>
      <c r="I65" s="79">
        <f t="shared" si="53"/>
        <v>40.4</v>
      </c>
      <c r="J65" s="111" t="str">
        <f t="shared" si="54"/>
        <v>Clean</v>
      </c>
      <c r="K65" s="111" t="str">
        <f t="shared" si="54"/>
        <v>Clean</v>
      </c>
      <c r="L65" s="162">
        <f t="shared" si="55"/>
        <v>0.65277777777777779</v>
      </c>
      <c r="M65" s="175" t="str">
        <f t="shared" si="55"/>
        <v xml:space="preserve">15:31-15:40&gt; Stopped FE01&amp;FEO2 due to the big rock stuck on the CV02 discharge chute </v>
      </c>
    </row>
    <row r="66" spans="6:13" ht="12.75" hidden="1" customHeight="1" x14ac:dyDescent="0.25">
      <c r="F66" s="1">
        <v>19</v>
      </c>
      <c r="G66" s="79">
        <f t="shared" si="52"/>
        <v>75012</v>
      </c>
      <c r="H66" s="79" t="e">
        <f>#REF!</f>
        <v>#REF!</v>
      </c>
      <c r="I66" s="79">
        <f t="shared" si="53"/>
        <v>41.3</v>
      </c>
      <c r="J66" s="111" t="str">
        <f t="shared" si="54"/>
        <v>build-up</v>
      </c>
      <c r="K66" s="111" t="str">
        <f t="shared" si="54"/>
        <v>Build-up</v>
      </c>
      <c r="L66" s="162">
        <f t="shared" si="55"/>
        <v>0</v>
      </c>
      <c r="M66" s="175" t="str">
        <f t="shared" si="55"/>
        <v>16:41-17:01&gt;Stopped FE01,cleaning build-up on the secondary bottom deck</v>
      </c>
    </row>
    <row r="67" spans="6:13" ht="12.75" hidden="1" customHeight="1" x14ac:dyDescent="0.25">
      <c r="F67" s="1">
        <v>20</v>
      </c>
      <c r="G67" s="79">
        <f t="shared" si="52"/>
        <v>75151</v>
      </c>
      <c r="H67" s="79" t="e">
        <f>#REF!</f>
        <v>#REF!</v>
      </c>
      <c r="I67" s="79">
        <f t="shared" si="53"/>
        <v>40.799999999999997</v>
      </c>
      <c r="J67" s="111" t="str">
        <f t="shared" si="54"/>
        <v>Clean</v>
      </c>
      <c r="K67" s="111" t="str">
        <f t="shared" si="54"/>
        <v>Clean</v>
      </c>
      <c r="L67" s="162">
        <f t="shared" ca="1" si="55"/>
        <v>0</v>
      </c>
      <c r="M67" s="175">
        <f t="shared" si="55"/>
        <v>0</v>
      </c>
    </row>
    <row r="68" spans="6:13" ht="12.75" hidden="1" customHeight="1" x14ac:dyDescent="0.25">
      <c r="F68" s="1">
        <v>21</v>
      </c>
      <c r="G68" s="79">
        <f t="shared" si="52"/>
        <v>75203</v>
      </c>
      <c r="H68" s="79" t="e">
        <f>#REF!</f>
        <v>#REF!</v>
      </c>
      <c r="I68" s="79">
        <f t="shared" si="53"/>
        <v>41.3</v>
      </c>
      <c r="J68" s="111" t="str">
        <f t="shared" si="54"/>
        <v>Clean</v>
      </c>
      <c r="K68" s="111" t="str">
        <f t="shared" si="54"/>
        <v>Clean</v>
      </c>
      <c r="L68" s="162">
        <f t="shared" ca="1" si="55"/>
        <v>3.4027777772280388E-2</v>
      </c>
      <c r="M68" s="175" t="str">
        <f t="shared" si="55"/>
        <v>18:11-18:34&gt;Stopped the plant to clean Tertiary Screen bottom deck(Blocked)</v>
      </c>
    </row>
    <row r="69" spans="6:13" ht="12.75" hidden="1" customHeight="1" x14ac:dyDescent="0.25">
      <c r="F69" s="1">
        <v>22</v>
      </c>
      <c r="G69" s="79">
        <f t="shared" si="52"/>
        <v>75310</v>
      </c>
      <c r="H69" s="79" t="e">
        <f>#REF!</f>
        <v>#REF!</v>
      </c>
      <c r="I69" s="79">
        <f t="shared" si="53"/>
        <v>41.5</v>
      </c>
      <c r="J69" s="111" t="str">
        <f t="shared" si="54"/>
        <v>Clean</v>
      </c>
      <c r="K69" s="111" t="str">
        <f t="shared" si="54"/>
        <v>Clean</v>
      </c>
      <c r="L69" s="162">
        <f t="shared" ca="1" si="55"/>
        <v>-2.3611111115314991E-2</v>
      </c>
      <c r="M69" s="175" t="str">
        <f t="shared" si="55"/>
        <v xml:space="preserve">19:08-19:19&gt;Stopped the feed,cleaning Secondary Screen bottom deck </v>
      </c>
    </row>
    <row r="70" spans="6:13" ht="13.5" hidden="1" customHeight="1" x14ac:dyDescent="0.25">
      <c r="F70" s="1">
        <v>23</v>
      </c>
      <c r="G70" s="79">
        <f t="shared" si="52"/>
        <v>75478</v>
      </c>
      <c r="H70" s="79" t="e">
        <f>#REF!</f>
        <v>#REF!</v>
      </c>
      <c r="I70" s="79">
        <f t="shared" si="53"/>
        <v>41.9</v>
      </c>
      <c r="J70" s="111" t="str">
        <f t="shared" si="54"/>
        <v>Build-up</v>
      </c>
      <c r="K70" s="111" t="str">
        <f t="shared" si="54"/>
        <v>Build-up</v>
      </c>
      <c r="L70" s="162">
        <f t="shared" ca="1" si="55"/>
        <v>0</v>
      </c>
      <c r="M70" s="175">
        <f t="shared" si="55"/>
        <v>0</v>
      </c>
    </row>
    <row r="71" spans="6:13" hidden="1" x14ac:dyDescent="0.25">
      <c r="F71" s="1">
        <v>24</v>
      </c>
      <c r="G71" s="79">
        <f t="shared" si="52"/>
        <v>75501</v>
      </c>
      <c r="H71" s="79" t="e">
        <f>#REF!</f>
        <v>#REF!</v>
      </c>
      <c r="I71" s="79">
        <f t="shared" si="53"/>
        <v>41.9</v>
      </c>
      <c r="J71" s="111" t="str">
        <f t="shared" si="54"/>
        <v>build-up</v>
      </c>
      <c r="K71" s="111" t="str">
        <f t="shared" si="54"/>
        <v>build-up</v>
      </c>
      <c r="L71" s="162">
        <f t="shared" ca="1" si="55"/>
        <v>4.1666666664241347E-2</v>
      </c>
      <c r="M71" s="175" t="str">
        <f t="shared" si="55"/>
        <v>21:00-22:00kwagga stockpile depleted, Running the bins empty,cleaning the secondary screen,FE01</v>
      </c>
    </row>
  </sheetData>
  <mergeCells count="21">
    <mergeCell ref="G38:L38"/>
    <mergeCell ref="AG1:AH1"/>
    <mergeCell ref="L2:M2"/>
    <mergeCell ref="P2:P3"/>
    <mergeCell ref="T2:U2"/>
    <mergeCell ref="G1:M1"/>
    <mergeCell ref="N1:U1"/>
    <mergeCell ref="V1:X1"/>
    <mergeCell ref="Y1:Z1"/>
    <mergeCell ref="AA1:AD1"/>
    <mergeCell ref="C1:F1"/>
    <mergeCell ref="AE1:AF1"/>
    <mergeCell ref="AT5:AU5"/>
    <mergeCell ref="G2:H2"/>
    <mergeCell ref="I2:I3"/>
    <mergeCell ref="N2:O2"/>
    <mergeCell ref="R2:R3"/>
    <mergeCell ref="S2:S3"/>
    <mergeCell ref="Q2:Q3"/>
    <mergeCell ref="J2:J3"/>
    <mergeCell ref="K2:K3"/>
  </mergeCells>
  <conditionalFormatting sqref="I6">
    <cfRule type="cellIs" dxfId="685" priority="40" operator="greaterThan">
      <formula>$I$4</formula>
    </cfRule>
    <cfRule type="cellIs" dxfId="684" priority="39" operator="lessThan">
      <formula>$I$4</formula>
    </cfRule>
  </conditionalFormatting>
  <conditionalFormatting sqref="N33">
    <cfRule type="cellIs" dxfId="683" priority="49" operator="greaterThan">
      <formula>75</formula>
    </cfRule>
    <cfRule type="cellIs" dxfId="682" priority="48" operator="lessThan">
      <formula>75</formula>
    </cfRule>
  </conditionalFormatting>
  <conditionalFormatting sqref="P15 P24 P33">
    <cfRule type="cellIs" dxfId="681" priority="38" operator="greaterThan">
      <formula>52.5</formula>
    </cfRule>
    <cfRule type="cellIs" dxfId="680" priority="37" operator="lessThan">
      <formula>52.5</formula>
    </cfRule>
  </conditionalFormatting>
  <conditionalFormatting sqref="S18:S22 U18:U22 S23:U23">
    <cfRule type="cellIs" dxfId="679" priority="17" operator="equal">
      <formula>"N"</formula>
    </cfRule>
    <cfRule type="cellIs" dxfId="678" priority="18" operator="equal">
      <formula>"Y"</formula>
    </cfRule>
  </conditionalFormatting>
  <conditionalFormatting sqref="S18:S22 U18:AB22 S23:AB23">
    <cfRule type="cellIs" dxfId="677" priority="11" operator="equal">
      <formula>"N"</formula>
    </cfRule>
    <cfRule type="cellIs" dxfId="676" priority="12" operator="equal">
      <formula>"Y"</formula>
    </cfRule>
  </conditionalFormatting>
  <conditionalFormatting sqref="T23">
    <cfRule type="cellIs" dxfId="675" priority="9" operator="equal">
      <formula>"S"</formula>
    </cfRule>
    <cfRule type="cellIs" dxfId="674" priority="10" operator="equal">
      <formula>"C"</formula>
    </cfRule>
    <cfRule type="cellIs" dxfId="673" priority="21" operator="equal">
      <formula>"N"</formula>
    </cfRule>
    <cfRule type="cellIs" dxfId="672" priority="22" operator="equal">
      <formula>"Y"</formula>
    </cfRule>
    <cfRule type="cellIs" dxfId="671" priority="23" operator="equal">
      <formula>"N"</formula>
    </cfRule>
    <cfRule type="cellIs" dxfId="670" priority="24" operator="equal">
      <formula>"Y"</formula>
    </cfRule>
  </conditionalFormatting>
  <conditionalFormatting sqref="T15:Z15">
    <cfRule type="cellIs" dxfId="669" priority="44" operator="equal">
      <formula>"N"</formula>
    </cfRule>
    <cfRule type="cellIs" dxfId="668" priority="45" operator="equal">
      <formula>"Y"</formula>
    </cfRule>
  </conditionalFormatting>
  <conditionalFormatting sqref="T6:AA14">
    <cfRule type="cellIs" dxfId="667" priority="32" operator="equal">
      <formula>"Y"</formula>
    </cfRule>
    <cfRule type="cellIs" dxfId="666" priority="31" operator="equal">
      <formula>"N"</formula>
    </cfRule>
  </conditionalFormatting>
  <conditionalFormatting sqref="T16:AA16 U17:AA17 T17:T22">
    <cfRule type="cellIs" dxfId="665" priority="7" operator="equal">
      <formula>"N"</formula>
    </cfRule>
    <cfRule type="cellIs" dxfId="664" priority="8" operator="equal">
      <formula>"Y"</formula>
    </cfRule>
  </conditionalFormatting>
  <conditionalFormatting sqref="T24:AA24 T33:AA33">
    <cfRule type="cellIs" dxfId="663" priority="35" operator="equal">
      <formula>"N"</formula>
    </cfRule>
    <cfRule type="cellIs" dxfId="662" priority="36" operator="equal">
      <formula>"Y"</formula>
    </cfRule>
  </conditionalFormatting>
  <conditionalFormatting sqref="T6:AC16 U17:AC17 T17:T22">
    <cfRule type="cellIs" dxfId="661" priority="3" operator="equal">
      <formula>"N"</formula>
    </cfRule>
    <cfRule type="cellIs" dxfId="660" priority="4" operator="equal">
      <formula>"Y"</formula>
    </cfRule>
  </conditionalFormatting>
  <conditionalFormatting sqref="T24:AC24 T33:AC33">
    <cfRule type="cellIs" dxfId="659" priority="28" operator="equal">
      <formula>"Y"</formula>
    </cfRule>
    <cfRule type="cellIs" dxfId="658" priority="27" operator="equal">
      <formula>"N"</formula>
    </cfRule>
  </conditionalFormatting>
  <conditionalFormatting sqref="U6:U24">
    <cfRule type="cellIs" dxfId="657" priority="1" operator="equal">
      <formula>"S"</formula>
    </cfRule>
    <cfRule type="cellIs" dxfId="656" priority="2" operator="equal">
      <formula>"C"</formula>
    </cfRule>
  </conditionalFormatting>
  <conditionalFormatting sqref="U33">
    <cfRule type="cellIs" dxfId="655" priority="26" operator="equal">
      <formula>"C"</formula>
    </cfRule>
    <cfRule type="cellIs" dxfId="654" priority="25" operator="equal">
      <formula>"S"</formula>
    </cfRule>
  </conditionalFormatting>
  <conditionalFormatting sqref="V15">
    <cfRule type="cellIs" dxfId="653" priority="42" operator="equal">
      <formula>"S"</formula>
    </cfRule>
    <cfRule type="cellIs" dxfId="652" priority="43" operator="equal">
      <formula>"C"</formula>
    </cfRule>
  </conditionalFormatting>
  <conditionalFormatting sqref="V18:W23">
    <cfRule type="cellIs" dxfId="651" priority="20" operator="equal">
      <formula>"C"</formula>
    </cfRule>
    <cfRule type="cellIs" dxfId="650" priority="19" operator="equal">
      <formula>"S"</formula>
    </cfRule>
  </conditionalFormatting>
  <conditionalFormatting sqref="V6:X14">
    <cfRule type="cellIs" dxfId="649" priority="29" operator="equal">
      <formula>"S"</formula>
    </cfRule>
    <cfRule type="cellIs" dxfId="648" priority="30" operator="equal">
      <formula>"C"</formula>
    </cfRule>
  </conditionalFormatting>
  <conditionalFormatting sqref="V16:X17">
    <cfRule type="cellIs" dxfId="647" priority="6" operator="equal">
      <formula>"C"</formula>
    </cfRule>
    <cfRule type="cellIs" dxfId="646" priority="5" operator="equal">
      <formula>"S"</formula>
    </cfRule>
  </conditionalFormatting>
  <conditionalFormatting sqref="V18:Z23">
    <cfRule type="cellIs" dxfId="645" priority="14" operator="equal">
      <formula>"Y"</formula>
    </cfRule>
    <cfRule type="cellIs" dxfId="644" priority="13" operator="equal">
      <formula>"N"</formula>
    </cfRule>
  </conditionalFormatting>
  <conditionalFormatting sqref="AG6:AG14">
    <cfRule type="cellIs" dxfId="643" priority="33" operator="lessThan">
      <formula>1.19</formula>
    </cfRule>
    <cfRule type="cellIs" dxfId="642" priority="34" operator="greaterThan">
      <formula>1.19</formula>
    </cfRule>
  </conditionalFormatting>
  <conditionalFormatting sqref="AG16:AG23">
    <cfRule type="cellIs" dxfId="641" priority="46" operator="lessThan">
      <formula>1.19</formula>
    </cfRule>
    <cfRule type="cellIs" dxfId="640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:AK31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26FF-D83D-4C29-A71B-8072CC4A78D0}">
  <sheetPr>
    <pageSetUpPr fitToPage="1"/>
  </sheetPr>
  <dimension ref="A1:AV71"/>
  <sheetViews>
    <sheetView showGridLines="0" zoomScaleNormal="100" workbookViewId="0">
      <pane xSplit="2" ySplit="6" topLeftCell="C32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'03 Aug 23'!B1+1</f>
        <v>45142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75501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45141.958333333336</v>
      </c>
      <c r="B7" s="198">
        <v>0.95833333333333304</v>
      </c>
      <c r="C7" s="199" t="s">
        <v>130</v>
      </c>
      <c r="D7" s="79">
        <v>75501</v>
      </c>
      <c r="E7" s="80">
        <f t="shared" ref="E7:E14" si="0">IF(D7&gt;0,D7-D6,"")</f>
        <v>0</v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45142.916666666672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45141.958333333336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45142</v>
      </c>
      <c r="B8" s="198">
        <v>0</v>
      </c>
      <c r="C8" s="199" t="s">
        <v>130</v>
      </c>
      <c r="D8" s="79">
        <v>75501</v>
      </c>
      <c r="E8" s="80">
        <f t="shared" si="0"/>
        <v>0</v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45141.958333333336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45142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45142.041666666664</v>
      </c>
      <c r="B9" s="198">
        <v>4.1666666666666664E-2</v>
      </c>
      <c r="C9" s="199" t="s">
        <v>130</v>
      </c>
      <c r="D9" s="79">
        <v>75501</v>
      </c>
      <c r="E9" s="80">
        <f t="shared" si="0"/>
        <v>0</v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45142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45142.041666666664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45142.083333333336</v>
      </c>
      <c r="B10" s="198">
        <v>8.3333333333333329E-2</v>
      </c>
      <c r="C10" s="199" t="s">
        <v>130</v>
      </c>
      <c r="D10" s="79">
        <v>75501</v>
      </c>
      <c r="E10" s="80">
        <f t="shared" si="0"/>
        <v>0</v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45142.041666666672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45142.083333333336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45142.125</v>
      </c>
      <c r="B11" s="198">
        <v>0.125</v>
      </c>
      <c r="C11" s="199" t="s">
        <v>130</v>
      </c>
      <c r="D11" s="79">
        <v>75501</v>
      </c>
      <c r="E11" s="80">
        <f t="shared" si="0"/>
        <v>0</v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45142.083333333336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45142.125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45142.166666666664</v>
      </c>
      <c r="B12" s="198">
        <v>0.16666666666666666</v>
      </c>
      <c r="C12" s="199" t="s">
        <v>130</v>
      </c>
      <c r="D12" s="79">
        <v>75501</v>
      </c>
      <c r="E12" s="80">
        <f t="shared" si="0"/>
        <v>0</v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45142.125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45142.166666666664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45142.208333333336</v>
      </c>
      <c r="B13" s="198">
        <v>0.20833333333333334</v>
      </c>
      <c r="C13" s="199" t="s">
        <v>130</v>
      </c>
      <c r="D13" s="79">
        <v>75501</v>
      </c>
      <c r="E13" s="80">
        <f t="shared" si="0"/>
        <v>0</v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45142.166666666672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45142.208333333336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45142.25</v>
      </c>
      <c r="B14" s="198">
        <v>0.25</v>
      </c>
      <c r="C14" s="199" t="s">
        <v>130</v>
      </c>
      <c r="D14" s="79">
        <v>75501</v>
      </c>
      <c r="E14" s="80">
        <f t="shared" si="0"/>
        <v>0</v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45142.208333333336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45142.25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45142.291666666664</v>
      </c>
      <c r="B16" s="198">
        <v>0.29166666666666669</v>
      </c>
      <c r="C16" s="199" t="s">
        <v>130</v>
      </c>
      <c r="D16" s="79">
        <v>75501</v>
      </c>
      <c r="E16" s="80">
        <f>IF(D16&gt;0,D16-D14,"")</f>
        <v>0</v>
      </c>
      <c r="F16" s="200">
        <f t="shared" si="9"/>
        <v>200</v>
      </c>
      <c r="G16" s="210">
        <v>30</v>
      </c>
      <c r="H16" s="210">
        <v>40</v>
      </c>
      <c r="I16" s="209">
        <v>15</v>
      </c>
      <c r="J16" s="211">
        <v>20</v>
      </c>
      <c r="K16" s="211" t="s">
        <v>136</v>
      </c>
      <c r="L16" s="209" t="s">
        <v>136</v>
      </c>
      <c r="M16" s="209"/>
      <c r="N16" s="79" t="s">
        <v>110</v>
      </c>
      <c r="O16" s="79" t="s">
        <v>123</v>
      </c>
      <c r="P16" s="79" t="s">
        <v>119</v>
      </c>
      <c r="Q16" s="79">
        <v>20</v>
      </c>
      <c r="R16" s="79" t="s">
        <v>136</v>
      </c>
      <c r="S16" s="85"/>
      <c r="T16" s="85" t="s">
        <v>136</v>
      </c>
      <c r="U16" s="86"/>
      <c r="V16" s="86">
        <v>67</v>
      </c>
      <c r="W16" s="86">
        <v>39</v>
      </c>
      <c r="X16" s="86">
        <v>68</v>
      </c>
      <c r="Y16" s="85">
        <v>100</v>
      </c>
      <c r="Z16" s="85"/>
      <c r="AA16" s="85">
        <v>90</v>
      </c>
      <c r="AB16" s="86">
        <v>54</v>
      </c>
      <c r="AC16" s="86">
        <v>100</v>
      </c>
      <c r="AD16" s="213">
        <v>100</v>
      </c>
      <c r="AE16" s="209" t="s">
        <v>134</v>
      </c>
      <c r="AF16" s="209" t="s">
        <v>135</v>
      </c>
      <c r="AG16" s="209"/>
      <c r="AH16" s="209"/>
      <c r="AI16" s="101">
        <v>0.25</v>
      </c>
      <c r="AJ16" s="101">
        <v>0.3215277777777778</v>
      </c>
      <c r="AK16" s="102">
        <f t="shared" ref="AK16:AK23" si="15">AO16</f>
        <v>1</v>
      </c>
      <c r="AL16" s="103">
        <f t="shared" ref="AL16:AL23" si="16">IF(AI16&lt;&gt;"",AI16+$B$1,B16+$B$1-1/24)</f>
        <v>45142.25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1</v>
      </c>
      <c r="AP16" s="103">
        <f t="shared" ref="AP16:AP23" si="20">IF(AJ16&lt;&gt;"",AJ16+$B$1,B16+$B$1)</f>
        <v>45142.321527777778</v>
      </c>
      <c r="AQ16" s="103">
        <f t="shared" ref="AQ16:AQ23" si="21">AL16-A16+1/24</f>
        <v>2.425316891763174E-12</v>
      </c>
      <c r="AR16" s="103">
        <f>AP16-AL16</f>
        <v>7.1527777778101154E-2</v>
      </c>
      <c r="AS16" s="103">
        <f t="shared" ref="AS16:AS23" si="22">A16-AP16</f>
        <v>-2.9861111113859806E-2</v>
      </c>
      <c r="AT16" s="103">
        <f t="shared" ref="AT16:AT23" ca="1" si="23">IF(A16&lt;$AU$1,SUMPRODUCT(AM16:AO16,AQ16:AS16),0)</f>
        <v>-2.9861111111434489E-2</v>
      </c>
      <c r="AU16" s="104">
        <f t="shared" ref="AU16:AU23" ca="1" si="24">IF(A16&lt;$AU$1,1/24-AT16,0)</f>
        <v>7.1527777778101154E-2</v>
      </c>
      <c r="AV16" s="239" t="s">
        <v>272</v>
      </c>
    </row>
    <row r="17" spans="1:48" x14ac:dyDescent="0.25">
      <c r="A17" s="96">
        <f t="shared" si="8"/>
        <v>45142.333333333336</v>
      </c>
      <c r="B17" s="198">
        <v>0.33333333333333331</v>
      </c>
      <c r="C17" s="199" t="s">
        <v>130</v>
      </c>
      <c r="D17" s="79">
        <v>75595</v>
      </c>
      <c r="E17" s="80">
        <f>IF(D17&gt;0,D17-D16,"")</f>
        <v>94</v>
      </c>
      <c r="F17" s="200">
        <f t="shared" si="9"/>
        <v>200</v>
      </c>
      <c r="G17" s="210">
        <v>33</v>
      </c>
      <c r="H17" s="210">
        <v>44</v>
      </c>
      <c r="I17" s="209">
        <v>15</v>
      </c>
      <c r="J17" s="211">
        <v>20</v>
      </c>
      <c r="K17" s="211" t="s">
        <v>136</v>
      </c>
      <c r="L17" s="209" t="s">
        <v>136</v>
      </c>
      <c r="M17" s="209"/>
      <c r="N17" s="79" t="s">
        <v>182</v>
      </c>
      <c r="O17" s="79" t="s">
        <v>216</v>
      </c>
      <c r="P17" s="79" t="s">
        <v>180</v>
      </c>
      <c r="Q17" s="79">
        <v>20</v>
      </c>
      <c r="R17" s="79" t="s">
        <v>136</v>
      </c>
      <c r="S17" s="85"/>
      <c r="T17" s="85" t="s">
        <v>136</v>
      </c>
      <c r="U17" s="86"/>
      <c r="V17" s="86">
        <v>79</v>
      </c>
      <c r="W17" s="86">
        <v>11</v>
      </c>
      <c r="X17" s="86">
        <v>71</v>
      </c>
      <c r="Y17" s="85">
        <v>100</v>
      </c>
      <c r="Z17" s="85"/>
      <c r="AA17" s="85">
        <v>90</v>
      </c>
      <c r="AB17" s="86">
        <v>54</v>
      </c>
      <c r="AC17" s="86">
        <v>100</v>
      </c>
      <c r="AD17" s="213">
        <v>42</v>
      </c>
      <c r="AE17" s="209" t="s">
        <v>134</v>
      </c>
      <c r="AF17" s="209" t="s">
        <v>135</v>
      </c>
      <c r="AG17" s="209"/>
      <c r="AH17" s="209"/>
      <c r="AI17" s="101">
        <v>0.40277777777777773</v>
      </c>
      <c r="AJ17" s="101">
        <v>0.4152777777777778</v>
      </c>
      <c r="AK17" s="102">
        <f t="shared" si="15"/>
        <v>1</v>
      </c>
      <c r="AL17" s="103">
        <f t="shared" si="16"/>
        <v>45142.402777777781</v>
      </c>
      <c r="AM17" s="102">
        <f t="shared" si="17"/>
        <v>1</v>
      </c>
      <c r="AN17" s="102">
        <f t="shared" si="18"/>
        <v>0</v>
      </c>
      <c r="AO17" s="102">
        <f t="shared" si="19"/>
        <v>1</v>
      </c>
      <c r="AP17" s="103">
        <f t="shared" si="20"/>
        <v>45142.415277777778</v>
      </c>
      <c r="AQ17" s="103">
        <f t="shared" si="21"/>
        <v>0.11111111111191954</v>
      </c>
      <c r="AR17" s="103">
        <f t="shared" ref="AR17:AR23" si="25">AP17-AL17</f>
        <v>1.2499999997089617E-2</v>
      </c>
      <c r="AS17" s="103">
        <f t="shared" si="22"/>
        <v>-8.1944444442342501E-2</v>
      </c>
      <c r="AT17" s="103">
        <f t="shared" ca="1" si="23"/>
        <v>2.916666666957704E-2</v>
      </c>
      <c r="AU17" s="104">
        <f t="shared" ca="1" si="24"/>
        <v>1.2499999997089624E-2</v>
      </c>
      <c r="AV17" s="239" t="s">
        <v>273</v>
      </c>
    </row>
    <row r="18" spans="1:48" x14ac:dyDescent="0.25">
      <c r="A18" s="96">
        <f t="shared" si="8"/>
        <v>45142.375</v>
      </c>
      <c r="B18" s="198">
        <v>0.375</v>
      </c>
      <c r="C18" s="199" t="s">
        <v>130</v>
      </c>
      <c r="D18" s="79">
        <v>75725</v>
      </c>
      <c r="E18" s="80">
        <f>IF(D18&gt;0,D18-D17,"")</f>
        <v>130</v>
      </c>
      <c r="F18" s="200">
        <f t="shared" si="9"/>
        <v>200</v>
      </c>
      <c r="G18" s="210">
        <v>32</v>
      </c>
      <c r="H18" s="209">
        <v>42</v>
      </c>
      <c r="I18" s="210">
        <v>15</v>
      </c>
      <c r="J18" s="211">
        <v>20</v>
      </c>
      <c r="K18" s="209" t="s">
        <v>136</v>
      </c>
      <c r="L18" s="209" t="s">
        <v>136</v>
      </c>
      <c r="M18" s="209"/>
      <c r="N18" s="209" t="s">
        <v>254</v>
      </c>
      <c r="O18" s="209" t="s">
        <v>179</v>
      </c>
      <c r="P18" s="79" t="s">
        <v>188</v>
      </c>
      <c r="Q18" s="79">
        <v>20</v>
      </c>
      <c r="R18" s="79" t="s">
        <v>136</v>
      </c>
      <c r="S18" s="209"/>
      <c r="T18" s="85" t="s">
        <v>136</v>
      </c>
      <c r="U18" s="209"/>
      <c r="V18" s="212">
        <v>82</v>
      </c>
      <c r="W18" s="212">
        <v>10</v>
      </c>
      <c r="X18" s="209">
        <v>70</v>
      </c>
      <c r="Y18" s="209">
        <v>80</v>
      </c>
      <c r="Z18" s="209"/>
      <c r="AA18" s="212">
        <v>90</v>
      </c>
      <c r="AB18" s="212">
        <v>54</v>
      </c>
      <c r="AC18" s="213">
        <v>100</v>
      </c>
      <c r="AD18" s="213">
        <v>45</v>
      </c>
      <c r="AE18" s="209" t="s">
        <v>134</v>
      </c>
      <c r="AF18" s="209" t="s">
        <v>135</v>
      </c>
      <c r="AG18" s="209"/>
      <c r="AH18" s="209"/>
      <c r="AI18" s="101"/>
      <c r="AJ18" s="101"/>
      <c r="AK18" s="102">
        <f t="shared" si="15"/>
        <v>1</v>
      </c>
      <c r="AL18" s="103">
        <f t="shared" si="16"/>
        <v>45142.333333333336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45142.375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 t="s">
        <v>275</v>
      </c>
    </row>
    <row r="19" spans="1:48" ht="15.75" customHeight="1" x14ac:dyDescent="0.25">
      <c r="A19" s="96">
        <f t="shared" si="8"/>
        <v>45142.416666666664</v>
      </c>
      <c r="B19" s="198">
        <v>0.41666666666666702</v>
      </c>
      <c r="C19" s="199" t="s">
        <v>130</v>
      </c>
      <c r="D19" s="79">
        <v>75784</v>
      </c>
      <c r="E19" s="80">
        <f t="shared" ref="E19:E35" si="26">IF(D19&gt;0,D19-D18,"")</f>
        <v>59</v>
      </c>
      <c r="F19" s="200">
        <f t="shared" si="9"/>
        <v>200</v>
      </c>
      <c r="G19" s="210">
        <v>31</v>
      </c>
      <c r="H19" s="209">
        <v>43</v>
      </c>
      <c r="I19" s="210">
        <v>15</v>
      </c>
      <c r="J19" s="211">
        <v>20</v>
      </c>
      <c r="K19" s="209" t="s">
        <v>136</v>
      </c>
      <c r="L19" s="209" t="s">
        <v>136</v>
      </c>
      <c r="M19" s="209"/>
      <c r="N19" s="209" t="s">
        <v>274</v>
      </c>
      <c r="O19" s="209" t="s">
        <v>190</v>
      </c>
      <c r="P19" s="79" t="s">
        <v>118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77</v>
      </c>
      <c r="W19" s="212">
        <v>28</v>
      </c>
      <c r="X19" s="209">
        <v>62</v>
      </c>
      <c r="Y19" s="209">
        <v>100</v>
      </c>
      <c r="Z19" s="209"/>
      <c r="AA19" s="212">
        <v>90</v>
      </c>
      <c r="AB19" s="212">
        <v>54</v>
      </c>
      <c r="AC19" s="213">
        <v>100</v>
      </c>
      <c r="AD19" s="213">
        <v>39</v>
      </c>
      <c r="AE19" s="209" t="s">
        <v>134</v>
      </c>
      <c r="AF19" s="209" t="s">
        <v>135</v>
      </c>
      <c r="AG19" s="209"/>
      <c r="AH19" s="209"/>
      <c r="AI19" s="101"/>
      <c r="AJ19" s="101"/>
      <c r="AK19" s="102">
        <f t="shared" si="15"/>
        <v>1</v>
      </c>
      <c r="AL19" s="103">
        <f t="shared" si="16"/>
        <v>45142.375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45142.416666666664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 t="s">
        <v>277</v>
      </c>
    </row>
    <row r="20" spans="1:48" x14ac:dyDescent="0.25">
      <c r="A20" s="96">
        <f t="shared" si="8"/>
        <v>45142.458333333336</v>
      </c>
      <c r="B20" s="198">
        <v>0.45833333333333331</v>
      </c>
      <c r="C20" s="199" t="s">
        <v>130</v>
      </c>
      <c r="D20" s="79">
        <v>75902</v>
      </c>
      <c r="E20" s="80">
        <f t="shared" si="26"/>
        <v>118</v>
      </c>
      <c r="F20" s="200">
        <f t="shared" si="9"/>
        <v>200</v>
      </c>
      <c r="G20" s="210">
        <v>32</v>
      </c>
      <c r="H20" s="209">
        <v>43</v>
      </c>
      <c r="I20" s="210">
        <v>15</v>
      </c>
      <c r="J20" s="211">
        <v>20</v>
      </c>
      <c r="K20" s="209" t="s">
        <v>136</v>
      </c>
      <c r="L20" s="209" t="s">
        <v>136</v>
      </c>
      <c r="M20" s="209"/>
      <c r="N20" s="209" t="s">
        <v>187</v>
      </c>
      <c r="O20" s="209" t="s">
        <v>185</v>
      </c>
      <c r="P20" s="79" t="s">
        <v>276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78</v>
      </c>
      <c r="W20" s="212">
        <v>16</v>
      </c>
      <c r="X20" s="209">
        <v>64</v>
      </c>
      <c r="Y20" s="209">
        <v>100</v>
      </c>
      <c r="Z20" s="209"/>
      <c r="AA20" s="212">
        <v>90</v>
      </c>
      <c r="AB20" s="212">
        <v>54</v>
      </c>
      <c r="AC20" s="213">
        <v>100</v>
      </c>
      <c r="AD20" s="213">
        <v>34</v>
      </c>
      <c r="AE20" s="209" t="s">
        <v>134</v>
      </c>
      <c r="AF20" s="209" t="s">
        <v>135</v>
      </c>
      <c r="AG20" s="209"/>
      <c r="AH20" s="209"/>
      <c r="AI20" s="101"/>
      <c r="AJ20" s="101"/>
      <c r="AK20" s="102">
        <f t="shared" si="15"/>
        <v>1</v>
      </c>
      <c r="AL20" s="103">
        <f t="shared" si="16"/>
        <v>45142.416666666672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45142.458333333336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45142.5</v>
      </c>
      <c r="B21" s="214">
        <v>0.5</v>
      </c>
      <c r="C21" s="199" t="s">
        <v>130</v>
      </c>
      <c r="D21" s="79">
        <v>76033</v>
      </c>
      <c r="E21" s="80">
        <f t="shared" si="26"/>
        <v>131</v>
      </c>
      <c r="F21" s="200">
        <f t="shared" si="9"/>
        <v>200</v>
      </c>
      <c r="G21" s="210">
        <v>34</v>
      </c>
      <c r="H21" s="209">
        <v>43</v>
      </c>
      <c r="I21" s="210">
        <v>15</v>
      </c>
      <c r="J21" s="211">
        <v>20</v>
      </c>
      <c r="K21" s="209" t="s">
        <v>136</v>
      </c>
      <c r="L21" s="209" t="s">
        <v>136</v>
      </c>
      <c r="M21" s="209"/>
      <c r="N21" s="209" t="s">
        <v>182</v>
      </c>
      <c r="O21" s="209" t="s">
        <v>278</v>
      </c>
      <c r="P21" s="79" t="s">
        <v>191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82</v>
      </c>
      <c r="W21" s="212">
        <v>25</v>
      </c>
      <c r="X21" s="209">
        <v>65</v>
      </c>
      <c r="Y21" s="209">
        <v>100</v>
      </c>
      <c r="Z21" s="209"/>
      <c r="AA21" s="212">
        <v>90</v>
      </c>
      <c r="AB21" s="212">
        <v>54</v>
      </c>
      <c r="AC21" s="213">
        <v>100</v>
      </c>
      <c r="AD21" s="213">
        <v>36</v>
      </c>
      <c r="AE21" s="209" t="s">
        <v>134</v>
      </c>
      <c r="AF21" s="209" t="s">
        <v>135</v>
      </c>
      <c r="AG21" s="209"/>
      <c r="AH21" s="209"/>
      <c r="AI21" s="101"/>
      <c r="AJ21" s="101"/>
      <c r="AK21" s="102">
        <f t="shared" si="15"/>
        <v>1</v>
      </c>
      <c r="AL21" s="103">
        <f t="shared" si="16"/>
        <v>45142.458333333336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45142.5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 t="s">
        <v>275</v>
      </c>
    </row>
    <row r="22" spans="1:48" ht="13.5" customHeight="1" x14ac:dyDescent="0.25">
      <c r="A22" s="96">
        <f t="shared" si="8"/>
        <v>45142.541666666664</v>
      </c>
      <c r="B22" s="214">
        <v>0.54166666666666663</v>
      </c>
      <c r="C22" s="199" t="s">
        <v>130</v>
      </c>
      <c r="D22" s="79">
        <v>76091</v>
      </c>
      <c r="E22" s="80">
        <f t="shared" si="26"/>
        <v>58</v>
      </c>
      <c r="F22" s="200">
        <f t="shared" si="9"/>
        <v>200</v>
      </c>
      <c r="G22" s="210">
        <v>34</v>
      </c>
      <c r="H22" s="209">
        <v>42</v>
      </c>
      <c r="I22" s="210">
        <v>14</v>
      </c>
      <c r="J22" s="211">
        <v>20</v>
      </c>
      <c r="K22" s="209" t="s">
        <v>136</v>
      </c>
      <c r="L22" s="209" t="s">
        <v>136</v>
      </c>
      <c r="M22" s="209"/>
      <c r="N22" s="209" t="s">
        <v>182</v>
      </c>
      <c r="O22" s="209" t="s">
        <v>120</v>
      </c>
      <c r="P22" s="79" t="s">
        <v>171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83</v>
      </c>
      <c r="W22" s="212">
        <v>19</v>
      </c>
      <c r="X22" s="209">
        <v>66</v>
      </c>
      <c r="Y22" s="209">
        <v>100</v>
      </c>
      <c r="Z22" s="209"/>
      <c r="AA22" s="212">
        <v>90</v>
      </c>
      <c r="AB22" s="212">
        <v>54</v>
      </c>
      <c r="AC22" s="213">
        <v>100</v>
      </c>
      <c r="AD22" s="213">
        <v>47</v>
      </c>
      <c r="AE22" s="209" t="s">
        <v>134</v>
      </c>
      <c r="AF22" s="209" t="s">
        <v>135</v>
      </c>
      <c r="AG22" s="209"/>
      <c r="AH22" s="209"/>
      <c r="AI22" s="101">
        <v>0.50972222222222219</v>
      </c>
      <c r="AJ22" s="101"/>
      <c r="AK22" s="102">
        <f t="shared" si="15"/>
        <v>0</v>
      </c>
      <c r="AL22" s="103">
        <f t="shared" si="16"/>
        <v>45142.509722222225</v>
      </c>
      <c r="AM22" s="102">
        <f t="shared" si="17"/>
        <v>1</v>
      </c>
      <c r="AN22" s="102">
        <f t="shared" si="18"/>
        <v>0</v>
      </c>
      <c r="AO22" s="102">
        <f t="shared" si="19"/>
        <v>0</v>
      </c>
      <c r="AP22" s="103">
        <f t="shared" si="20"/>
        <v>45142.541666666664</v>
      </c>
      <c r="AQ22" s="103">
        <f t="shared" si="21"/>
        <v>9.7222222272345463E-3</v>
      </c>
      <c r="AR22" s="103">
        <f t="shared" si="25"/>
        <v>3.1944444439432118E-2</v>
      </c>
      <c r="AS22" s="103">
        <f t="shared" si="22"/>
        <v>0</v>
      </c>
      <c r="AT22" s="103">
        <f t="shared" ca="1" si="23"/>
        <v>9.7222222272345463E-3</v>
      </c>
      <c r="AU22" s="104">
        <f t="shared" ca="1" si="24"/>
        <v>3.1944444439432118E-2</v>
      </c>
      <c r="AV22" s="239" t="s">
        <v>279</v>
      </c>
    </row>
    <row r="23" spans="1:48" x14ac:dyDescent="0.25">
      <c r="A23" s="96">
        <f t="shared" si="8"/>
        <v>45142.583333333336</v>
      </c>
      <c r="B23" s="215">
        <v>0.58333333333333337</v>
      </c>
      <c r="C23" s="199" t="s">
        <v>130</v>
      </c>
      <c r="D23" s="79">
        <v>76158</v>
      </c>
      <c r="E23" s="80">
        <f t="shared" si="26"/>
        <v>67</v>
      </c>
      <c r="F23" s="200">
        <f t="shared" si="9"/>
        <v>200</v>
      </c>
      <c r="G23" s="210">
        <v>34</v>
      </c>
      <c r="H23" s="209">
        <v>43</v>
      </c>
      <c r="I23" s="210">
        <v>14</v>
      </c>
      <c r="J23" s="211">
        <v>20</v>
      </c>
      <c r="K23" s="209" t="s">
        <v>281</v>
      </c>
      <c r="L23" s="209" t="s">
        <v>136</v>
      </c>
      <c r="M23" s="209"/>
      <c r="N23" s="209">
        <v>39</v>
      </c>
      <c r="O23" s="209">
        <v>42</v>
      </c>
      <c r="P23" s="79">
        <v>2.1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83</v>
      </c>
      <c r="W23" s="212">
        <v>30</v>
      </c>
      <c r="X23" s="209">
        <v>76</v>
      </c>
      <c r="Y23" s="209">
        <v>100</v>
      </c>
      <c r="Z23" s="209"/>
      <c r="AA23" s="212">
        <v>90</v>
      </c>
      <c r="AB23" s="212">
        <v>45</v>
      </c>
      <c r="AC23" s="213">
        <v>100</v>
      </c>
      <c r="AD23" s="213">
        <v>36</v>
      </c>
      <c r="AE23" s="209" t="s">
        <v>134</v>
      </c>
      <c r="AF23" s="209" t="s">
        <v>135</v>
      </c>
      <c r="AG23" s="209"/>
      <c r="AH23" s="209"/>
      <c r="AI23" s="101"/>
      <c r="AJ23" s="101">
        <v>0.54861111111111105</v>
      </c>
      <c r="AK23" s="102">
        <f t="shared" si="15"/>
        <v>1</v>
      </c>
      <c r="AL23" s="103">
        <f t="shared" si="16"/>
        <v>45142.541666666672</v>
      </c>
      <c r="AM23" s="102">
        <f t="shared" si="17"/>
        <v>0</v>
      </c>
      <c r="AN23" s="102">
        <f t="shared" si="18"/>
        <v>0</v>
      </c>
      <c r="AO23" s="102">
        <f t="shared" si="19"/>
        <v>1</v>
      </c>
      <c r="AP23" s="103">
        <f t="shared" si="20"/>
        <v>45142.548611111109</v>
      </c>
      <c r="AQ23" s="103">
        <f t="shared" si="21"/>
        <v>2.425316891763174E-12</v>
      </c>
      <c r="AR23" s="103">
        <f t="shared" si="25"/>
        <v>6.9444444379769266E-3</v>
      </c>
      <c r="AS23" s="103">
        <f t="shared" si="22"/>
        <v>3.4722222226264421E-2</v>
      </c>
      <c r="AT23" s="103">
        <f t="shared" ca="1" si="23"/>
        <v>3.4722222226264421E-2</v>
      </c>
      <c r="AU23" s="104">
        <f t="shared" ca="1" si="24"/>
        <v>6.9444444404022435E-3</v>
      </c>
      <c r="AV23" s="239" t="s">
        <v>280</v>
      </c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657</v>
      </c>
      <c r="E24" s="121">
        <f ca="1">IFERROR(D24/24/AT24,"")</f>
        <v>130.09900989379224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0.21041666667830816</v>
      </c>
      <c r="AU24" s="143">
        <f ca="1">SUM(AU16:AU23)</f>
        <v>0.12291666665502513</v>
      </c>
      <c r="AV24" s="239"/>
    </row>
    <row r="25" spans="1:48" ht="13.15" customHeight="1" thickTop="1" x14ac:dyDescent="0.25">
      <c r="A25" s="96">
        <f t="shared" ref="A25:A32" si="28">B25+$B$1</f>
        <v>45142.625</v>
      </c>
      <c r="B25" s="198">
        <v>0.625</v>
      </c>
      <c r="C25" s="199" t="s">
        <v>130</v>
      </c>
      <c r="D25" s="79">
        <v>76204</v>
      </c>
      <c r="E25" s="80">
        <f>IF(D25&gt;0,D25-D23,"")</f>
        <v>46</v>
      </c>
      <c r="F25" s="200">
        <f t="shared" si="9"/>
        <v>200</v>
      </c>
      <c r="G25" s="210">
        <v>32</v>
      </c>
      <c r="H25" s="210">
        <v>42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39</v>
      </c>
      <c r="O25" s="209">
        <v>40</v>
      </c>
      <c r="P25" s="209">
        <v>2.1</v>
      </c>
      <c r="Q25" s="209">
        <v>20</v>
      </c>
      <c r="R25" s="209" t="s">
        <v>136</v>
      </c>
      <c r="S25" s="209"/>
      <c r="T25" s="209" t="s">
        <v>281</v>
      </c>
      <c r="U25" s="212"/>
      <c r="V25" s="212">
        <v>81</v>
      </c>
      <c r="W25" s="212">
        <v>15</v>
      </c>
      <c r="X25" s="212">
        <v>66</v>
      </c>
      <c r="Y25" s="209">
        <v>100</v>
      </c>
      <c r="Z25" s="209"/>
      <c r="AA25" s="209">
        <v>100</v>
      </c>
      <c r="AB25" s="212">
        <v>54</v>
      </c>
      <c r="AC25" s="209">
        <v>100</v>
      </c>
      <c r="AD25" s="213">
        <v>39</v>
      </c>
      <c r="AE25" s="209" t="s">
        <v>134</v>
      </c>
      <c r="AF25" s="209" t="s">
        <v>135</v>
      </c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45142.583333333336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45142.548611111109</v>
      </c>
      <c r="AQ25" s="103">
        <f t="shared" ref="AQ25:AQ32" si="34">AL25-A25+1/24</f>
        <v>2.425316891763174E-12</v>
      </c>
      <c r="AR25" s="103">
        <f t="shared" ref="AR25:AR32" si="35">AP25-AL25</f>
        <v>-3.4722222226264421E-2</v>
      </c>
      <c r="AS25" s="103">
        <f t="shared" ref="AS25:AS32" si="36">A25-AP25</f>
        <v>7.6388888890505768E-2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 t="s">
        <v>282</v>
      </c>
    </row>
    <row r="26" spans="1:48" x14ac:dyDescent="0.25">
      <c r="A26" s="96">
        <f t="shared" si="28"/>
        <v>45142.666666666664</v>
      </c>
      <c r="B26" s="198">
        <v>0.66666666666666663</v>
      </c>
      <c r="C26" s="199" t="s">
        <v>130</v>
      </c>
      <c r="D26" s="79">
        <v>76316</v>
      </c>
      <c r="E26" s="80">
        <f t="shared" si="26"/>
        <v>112</v>
      </c>
      <c r="F26" s="200">
        <f t="shared" si="9"/>
        <v>200</v>
      </c>
      <c r="G26" s="210">
        <v>32</v>
      </c>
      <c r="H26" s="210">
        <v>42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32</v>
      </c>
      <c r="O26" s="209">
        <v>37</v>
      </c>
      <c r="P26" s="209">
        <v>2.1</v>
      </c>
      <c r="Q26" s="209">
        <v>20</v>
      </c>
      <c r="R26" s="209" t="s">
        <v>136</v>
      </c>
      <c r="S26" s="209"/>
      <c r="T26" s="209" t="s">
        <v>281</v>
      </c>
      <c r="U26" s="212"/>
      <c r="V26" s="212">
        <v>82</v>
      </c>
      <c r="W26" s="212">
        <v>13</v>
      </c>
      <c r="X26" s="212">
        <v>66</v>
      </c>
      <c r="Y26" s="209">
        <v>100</v>
      </c>
      <c r="Z26" s="209"/>
      <c r="AA26" s="209">
        <v>100</v>
      </c>
      <c r="AB26" s="212">
        <v>54</v>
      </c>
      <c r="AC26" s="209">
        <v>80</v>
      </c>
      <c r="AD26" s="213">
        <v>38</v>
      </c>
      <c r="AE26" s="209" t="s">
        <v>134</v>
      </c>
      <c r="AF26" s="209" t="s">
        <v>135</v>
      </c>
      <c r="AG26" s="209"/>
      <c r="AH26" s="209"/>
      <c r="AI26" s="134"/>
      <c r="AJ26" s="145"/>
      <c r="AK26" s="102">
        <f t="shared" si="29"/>
        <v>1</v>
      </c>
      <c r="AL26" s="103">
        <f t="shared" si="30"/>
        <v>45142.625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45142.666666666664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 t="s">
        <v>283</v>
      </c>
    </row>
    <row r="27" spans="1:48" x14ac:dyDescent="0.25">
      <c r="A27" s="96">
        <f t="shared" si="28"/>
        <v>45142.708333333336</v>
      </c>
      <c r="B27" s="198">
        <v>0.70833333333333337</v>
      </c>
      <c r="C27" s="199" t="s">
        <v>130</v>
      </c>
      <c r="D27" s="79">
        <v>76393</v>
      </c>
      <c r="E27" s="80">
        <f t="shared" si="26"/>
        <v>77</v>
      </c>
      <c r="F27" s="200">
        <f t="shared" si="9"/>
        <v>200</v>
      </c>
      <c r="G27" s="210">
        <v>34</v>
      </c>
      <c r="H27" s="210">
        <v>43</v>
      </c>
      <c r="I27" s="209">
        <v>14</v>
      </c>
      <c r="J27" s="211">
        <v>20</v>
      </c>
      <c r="K27" s="211" t="s">
        <v>136</v>
      </c>
      <c r="L27" s="209" t="s">
        <v>136</v>
      </c>
      <c r="M27" s="209"/>
      <c r="N27" s="209">
        <v>32</v>
      </c>
      <c r="O27" s="209">
        <v>37</v>
      </c>
      <c r="P27" s="209">
        <v>2.1</v>
      </c>
      <c r="Q27" s="209">
        <v>20</v>
      </c>
      <c r="R27" s="209" t="s">
        <v>136</v>
      </c>
      <c r="S27" s="209"/>
      <c r="T27" s="209" t="s">
        <v>281</v>
      </c>
      <c r="U27" s="212"/>
      <c r="V27" s="212">
        <v>82</v>
      </c>
      <c r="W27" s="212">
        <v>13</v>
      </c>
      <c r="X27" s="212">
        <v>66</v>
      </c>
      <c r="Y27" s="209">
        <v>100</v>
      </c>
      <c r="Z27" s="209"/>
      <c r="AA27" s="209">
        <v>100</v>
      </c>
      <c r="AB27" s="212">
        <v>54</v>
      </c>
      <c r="AC27" s="209">
        <v>80</v>
      </c>
      <c r="AD27" s="213">
        <v>38</v>
      </c>
      <c r="AE27" s="209" t="s">
        <v>134</v>
      </c>
      <c r="AF27" s="209" t="s">
        <v>135</v>
      </c>
      <c r="AG27" s="209"/>
      <c r="AH27" s="209"/>
      <c r="AI27" s="134">
        <v>0.68611111111111101</v>
      </c>
      <c r="AJ27" s="145"/>
      <c r="AK27" s="102">
        <f t="shared" si="29"/>
        <v>0</v>
      </c>
      <c r="AL27" s="103">
        <f t="shared" si="30"/>
        <v>45142.686111111114</v>
      </c>
      <c r="AM27" s="102">
        <f t="shared" si="31"/>
        <v>1</v>
      </c>
      <c r="AN27" s="102">
        <f t="shared" si="32"/>
        <v>0</v>
      </c>
      <c r="AO27" s="102">
        <f t="shared" si="33"/>
        <v>0</v>
      </c>
      <c r="AP27" s="103">
        <f t="shared" si="39"/>
        <v>45142.708333333336</v>
      </c>
      <c r="AQ27" s="103">
        <f t="shared" si="34"/>
        <v>1.9444444444767818E-2</v>
      </c>
      <c r="AR27" s="103">
        <f t="shared" si="35"/>
        <v>2.2222222221898846E-2</v>
      </c>
      <c r="AS27" s="103">
        <f t="shared" si="36"/>
        <v>0</v>
      </c>
      <c r="AT27" s="103">
        <f t="shared" ca="1" si="37"/>
        <v>1.9444444444767818E-2</v>
      </c>
      <c r="AU27" s="104">
        <f t="shared" ca="1" si="38"/>
        <v>2.2222222221898846E-2</v>
      </c>
      <c r="AV27" s="239" t="s">
        <v>284</v>
      </c>
    </row>
    <row r="28" spans="1:48" ht="14.25" customHeight="1" x14ac:dyDescent="0.25">
      <c r="A28" s="96">
        <f t="shared" si="28"/>
        <v>45142.75</v>
      </c>
      <c r="B28" s="198">
        <v>0.75</v>
      </c>
      <c r="C28" s="199" t="s">
        <v>130</v>
      </c>
      <c r="D28" s="79">
        <v>76393</v>
      </c>
      <c r="E28" s="80">
        <f t="shared" si="26"/>
        <v>0</v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0</v>
      </c>
      <c r="AL28" s="103">
        <f t="shared" si="30"/>
        <v>45142.708333333336</v>
      </c>
      <c r="AM28" s="102">
        <f t="shared" si="31"/>
        <v>0</v>
      </c>
      <c r="AN28" s="102">
        <f t="shared" si="32"/>
        <v>0</v>
      </c>
      <c r="AO28" s="102">
        <f t="shared" si="33"/>
        <v>0</v>
      </c>
      <c r="AP28" s="103">
        <f t="shared" si="39"/>
        <v>45142.75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0</v>
      </c>
      <c r="AU28" s="104">
        <f t="shared" ca="1" si="38"/>
        <v>4.1666666666666664E-2</v>
      </c>
      <c r="AV28" s="239" t="s">
        <v>285</v>
      </c>
    </row>
    <row r="29" spans="1:48" ht="15" customHeight="1" x14ac:dyDescent="0.25">
      <c r="A29" s="96">
        <f t="shared" si="28"/>
        <v>45142.791666666664</v>
      </c>
      <c r="B29" s="198">
        <v>0.79166666666666663</v>
      </c>
      <c r="C29" s="199" t="s">
        <v>130</v>
      </c>
      <c r="D29" s="79">
        <v>76393</v>
      </c>
      <c r="E29" s="80">
        <f t="shared" si="26"/>
        <v>0</v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0</v>
      </c>
      <c r="AL29" s="103">
        <f t="shared" si="30"/>
        <v>45142.75</v>
      </c>
      <c r="AM29" s="102">
        <f t="shared" si="31"/>
        <v>0</v>
      </c>
      <c r="AN29" s="102">
        <f t="shared" si="32"/>
        <v>0</v>
      </c>
      <c r="AO29" s="102">
        <f t="shared" si="33"/>
        <v>0</v>
      </c>
      <c r="AP29" s="103">
        <f t="shared" si="39"/>
        <v>45142.791666666664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0</v>
      </c>
      <c r="AU29" s="104">
        <f t="shared" ca="1" si="38"/>
        <v>4.1666666666666664E-2</v>
      </c>
      <c r="AV29" s="239" t="s">
        <v>286</v>
      </c>
    </row>
    <row r="30" spans="1:48" x14ac:dyDescent="0.25">
      <c r="A30" s="96">
        <f t="shared" si="28"/>
        <v>45142.833333333336</v>
      </c>
      <c r="B30" s="198">
        <v>0.83333333333333337</v>
      </c>
      <c r="C30" s="199" t="s">
        <v>130</v>
      </c>
      <c r="D30" s="79">
        <v>76393</v>
      </c>
      <c r="E30" s="80">
        <f t="shared" si="26"/>
        <v>0</v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0</v>
      </c>
      <c r="AL30" s="103">
        <f t="shared" si="30"/>
        <v>45142.791666666672</v>
      </c>
      <c r="AM30" s="102">
        <f t="shared" si="31"/>
        <v>0</v>
      </c>
      <c r="AN30" s="102">
        <f t="shared" si="32"/>
        <v>0</v>
      </c>
      <c r="AO30" s="102">
        <f t="shared" si="33"/>
        <v>0</v>
      </c>
      <c r="AP30" s="103">
        <f t="shared" si="39"/>
        <v>45142.833333333336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0</v>
      </c>
      <c r="AU30" s="104">
        <f t="shared" ca="1" si="38"/>
        <v>4.1666666666666664E-2</v>
      </c>
      <c r="AV30" s="239" t="s">
        <v>287</v>
      </c>
    </row>
    <row r="31" spans="1:48" ht="14.25" customHeight="1" x14ac:dyDescent="0.25">
      <c r="A31" s="96">
        <f t="shared" si="28"/>
        <v>45142.875</v>
      </c>
      <c r="B31" s="198">
        <v>0.875</v>
      </c>
      <c r="C31" s="199" t="s">
        <v>130</v>
      </c>
      <c r="D31" s="79">
        <v>76403</v>
      </c>
      <c r="E31" s="80">
        <f t="shared" si="26"/>
        <v>10</v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0</v>
      </c>
      <c r="AL31" s="103">
        <f t="shared" si="30"/>
        <v>45142.833333333336</v>
      </c>
      <c r="AM31" s="102">
        <f t="shared" si="31"/>
        <v>0</v>
      </c>
      <c r="AN31" s="102">
        <f t="shared" si="32"/>
        <v>0</v>
      </c>
      <c r="AO31" s="102">
        <f t="shared" si="33"/>
        <v>0</v>
      </c>
      <c r="AP31" s="103">
        <f t="shared" si="39"/>
        <v>45142.875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8"/>
        <v>4.1666666666666664E-2</v>
      </c>
      <c r="AV31" s="239" t="s">
        <v>288</v>
      </c>
    </row>
    <row r="32" spans="1:48" x14ac:dyDescent="0.25">
      <c r="A32" s="96">
        <f t="shared" si="28"/>
        <v>45142.916666666664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0</v>
      </c>
      <c r="AL32" s="103">
        <f t="shared" si="30"/>
        <v>45142.875</v>
      </c>
      <c r="AM32" s="102">
        <f t="shared" si="31"/>
        <v>0</v>
      </c>
      <c r="AN32" s="102">
        <f t="shared" si="32"/>
        <v>0</v>
      </c>
      <c r="AO32" s="102">
        <f t="shared" si="33"/>
        <v>0</v>
      </c>
      <c r="AP32" s="103">
        <f t="shared" si="39"/>
        <v>45142.916666666664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0</v>
      </c>
      <c r="AU32" s="104">
        <f t="shared" ca="1" si="38"/>
        <v>4.1666666666666664E-2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245</v>
      </c>
      <c r="E33" s="121">
        <f ca="1">IFERROR(D33/24/AT33,"")</f>
        <v>99.324324324011826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0.10277777777810115</v>
      </c>
      <c r="AU33" s="143">
        <f ca="1">SUM(AU25:AU32)</f>
        <v>0.23055555555523213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902</v>
      </c>
      <c r="E35" s="80">
        <f t="shared" si="26"/>
        <v>902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0.64652777778974269</v>
      </c>
      <c r="AU35" s="162">
        <f ca="1">+AU33+AU24+AU15</f>
        <v>0.3534722222102572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45142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657</v>
      </c>
      <c r="J40" s="171">
        <f>D33</f>
        <v>245</v>
      </c>
      <c r="K40" s="79">
        <f>D35</f>
        <v>902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0.21041666667830816</v>
      </c>
      <c r="J41" s="235">
        <f ca="1">AT33</f>
        <v>0.10277777777810115</v>
      </c>
      <c r="K41" s="235">
        <f ca="1">IF(SUM(H41:J41)=1,"24 h",SUM(H41:J41))</f>
        <v>0.64652777778974269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130.09900989379224</v>
      </c>
      <c r="J42" s="171">
        <f ca="1">E33</f>
        <v>99.324324324011826</v>
      </c>
      <c r="K42" s="171">
        <f>E35</f>
        <v>902</v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75501</v>
      </c>
      <c r="H46" s="79">
        <f>+D32</f>
        <v>0</v>
      </c>
      <c r="I46" s="79">
        <f>+D35</f>
        <v>902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0.64652777778974269</v>
      </c>
      <c r="N46" s="79">
        <f>+L46*24</f>
        <v>16</v>
      </c>
      <c r="O46" s="238">
        <f ca="1">+AU35</f>
        <v>0.3534722222102572</v>
      </c>
      <c r="P46" s="79">
        <v>160</v>
      </c>
      <c r="Q46" s="111">
        <f ca="1">+I46/M46/24</f>
        <v>58.131041889364589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75501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75501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75501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75501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75501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75501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75501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75501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75501</v>
      </c>
      <c r="H56" s="79" t="e">
        <f>#REF!</f>
        <v>#REF!</v>
      </c>
      <c r="I56" s="79" t="str">
        <f t="shared" ref="I56:I63" si="46">O16</f>
        <v>39.0</v>
      </c>
      <c r="J56" s="111" t="str">
        <f t="shared" ref="J56:K63" si="47">AE16</f>
        <v>Clean</v>
      </c>
      <c r="K56" s="111" t="str">
        <f t="shared" si="47"/>
        <v>build-up</v>
      </c>
      <c r="L56" s="162">
        <f t="shared" ref="L56:M63" ca="1" si="48">AU16</f>
        <v>7.1527777778101154E-2</v>
      </c>
      <c r="M56" s="175" t="str">
        <f t="shared" si="48"/>
        <v>Doing inspection,caucus , plant start -up . We are waiting fel</v>
      </c>
    </row>
    <row r="57" spans="6:13" ht="12.75" hidden="1" customHeight="1" x14ac:dyDescent="0.25">
      <c r="F57" s="1">
        <v>10</v>
      </c>
      <c r="G57" s="79">
        <f t="shared" si="45"/>
        <v>75595</v>
      </c>
      <c r="H57" s="79" t="e">
        <f>#REF!</f>
        <v>#REF!</v>
      </c>
      <c r="I57" s="79" t="str">
        <f t="shared" si="46"/>
        <v>40.8</v>
      </c>
      <c r="J57" s="111" t="str">
        <f t="shared" si="47"/>
        <v>Clean</v>
      </c>
      <c r="K57" s="111" t="str">
        <f t="shared" si="47"/>
        <v>build-up</v>
      </c>
      <c r="L57" s="162">
        <f t="shared" ca="1" si="48"/>
        <v>1.2499999997089624E-2</v>
      </c>
      <c r="M57" s="175" t="str">
        <f t="shared" si="48"/>
        <v>08:00 To 09:00&gt; Still struggling with build-up due to feeding wet material</v>
      </c>
    </row>
    <row r="58" spans="6:13" ht="12.75" hidden="1" customHeight="1" x14ac:dyDescent="0.25">
      <c r="F58" s="1">
        <v>11</v>
      </c>
      <c r="G58" s="79">
        <f t="shared" si="45"/>
        <v>75725</v>
      </c>
      <c r="H58" s="79" t="e">
        <f>#REF!</f>
        <v>#REF!</v>
      </c>
      <c r="I58" s="79" t="str">
        <f t="shared" si="46"/>
        <v>40.7</v>
      </c>
      <c r="J58" s="111" t="str">
        <f t="shared" si="47"/>
        <v>Clean</v>
      </c>
      <c r="K58" s="111" t="str">
        <f t="shared" si="47"/>
        <v>build-up</v>
      </c>
      <c r="L58" s="162">
        <f t="shared" ca="1" si="48"/>
        <v>0</v>
      </c>
      <c r="M58" s="175" t="str">
        <f t="shared" si="48"/>
        <v>Stop FEO1 due to unblock CCO1</v>
      </c>
    </row>
    <row r="59" spans="6:13" ht="12.75" hidden="1" customHeight="1" x14ac:dyDescent="0.25">
      <c r="F59" s="1">
        <v>12</v>
      </c>
      <c r="G59" s="79">
        <f t="shared" si="45"/>
        <v>75784</v>
      </c>
      <c r="H59" s="79" t="e">
        <f>#REF!</f>
        <v>#REF!</v>
      </c>
      <c r="I59" s="79" t="str">
        <f t="shared" si="46"/>
        <v>40.4</v>
      </c>
      <c r="J59" s="111" t="str">
        <f t="shared" si="47"/>
        <v>Clean</v>
      </c>
      <c r="K59" s="111" t="str">
        <f t="shared" si="47"/>
        <v>build-up</v>
      </c>
      <c r="L59" s="162">
        <f t="shared" ca="1" si="48"/>
        <v>0</v>
      </c>
      <c r="M59" s="175" t="str">
        <f t="shared" si="48"/>
        <v>10:50 To 11:05&gt; Stop plant feeder due to clean build-up at FEO1</v>
      </c>
    </row>
    <row r="60" spans="6:13" ht="12.75" hidden="1" customHeight="1" x14ac:dyDescent="0.25">
      <c r="F60" s="1">
        <v>13</v>
      </c>
      <c r="G60" s="79">
        <f t="shared" si="45"/>
        <v>75902</v>
      </c>
      <c r="H60" s="79" t="e">
        <f>#REF!</f>
        <v>#REF!</v>
      </c>
      <c r="I60" s="79" t="str">
        <f t="shared" si="46"/>
        <v>37.3</v>
      </c>
      <c r="J60" s="111" t="str">
        <f t="shared" si="47"/>
        <v>Clean</v>
      </c>
      <c r="K60" s="111" t="str">
        <f t="shared" si="47"/>
        <v>build-up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76033</v>
      </c>
      <c r="H61" s="79" t="e">
        <f>#REF!</f>
        <v>#REF!</v>
      </c>
      <c r="I61" s="79" t="str">
        <f t="shared" si="46"/>
        <v>41.</v>
      </c>
      <c r="J61" s="111" t="str">
        <f t="shared" si="47"/>
        <v>Clean</v>
      </c>
      <c r="K61" s="111" t="str">
        <f t="shared" si="47"/>
        <v>build-up</v>
      </c>
      <c r="L61" s="162">
        <f t="shared" ca="1" si="48"/>
        <v>0</v>
      </c>
      <c r="M61" s="175" t="str">
        <f t="shared" si="48"/>
        <v>Stop FEO1 due to unblock CCO1</v>
      </c>
    </row>
    <row r="62" spans="6:13" ht="12.75" hidden="1" customHeight="1" x14ac:dyDescent="0.25">
      <c r="F62" s="1">
        <v>15</v>
      </c>
      <c r="G62" s="79">
        <f t="shared" si="45"/>
        <v>76091</v>
      </c>
      <c r="H62" s="79" t="e">
        <f>#REF!</f>
        <v>#REF!</v>
      </c>
      <c r="I62" s="79" t="str">
        <f t="shared" si="46"/>
        <v>40.9</v>
      </c>
      <c r="J62" s="111" t="str">
        <f t="shared" si="47"/>
        <v>Clean</v>
      </c>
      <c r="K62" s="111" t="str">
        <f t="shared" si="47"/>
        <v>build-up</v>
      </c>
      <c r="L62" s="162">
        <f t="shared" ca="1" si="48"/>
        <v>3.1944444439432118E-2</v>
      </c>
      <c r="M62" s="175" t="str">
        <f t="shared" si="48"/>
        <v>13:00&gt; We do less tons due to clean CCO1</v>
      </c>
    </row>
    <row r="63" spans="6:13" ht="12.75" hidden="1" customHeight="1" x14ac:dyDescent="0.25">
      <c r="F63" s="1">
        <v>16</v>
      </c>
      <c r="G63" s="79">
        <f t="shared" si="45"/>
        <v>76158</v>
      </c>
      <c r="H63" s="79" t="e">
        <f>#REF!</f>
        <v>#REF!</v>
      </c>
      <c r="I63" s="79">
        <f t="shared" si="46"/>
        <v>42</v>
      </c>
      <c r="J63" s="111" t="str">
        <f t="shared" si="47"/>
        <v>Clean</v>
      </c>
      <c r="K63" s="111" t="str">
        <f t="shared" si="47"/>
        <v>build-up</v>
      </c>
      <c r="L63" s="162">
        <f t="shared" ca="1" si="48"/>
        <v>6.9444444404022435E-3</v>
      </c>
      <c r="M63" s="175" t="str">
        <f t="shared" si="48"/>
        <v>13:10&gt; Stop FEO1 due to clean build-up at FEO1 feeder</v>
      </c>
    </row>
    <row r="64" spans="6:13" ht="12.75" hidden="1" customHeight="1" x14ac:dyDescent="0.25">
      <c r="F64" s="1">
        <v>17</v>
      </c>
      <c r="G64" s="79">
        <f t="shared" ref="G64:G71" si="49">D25</f>
        <v>76204</v>
      </c>
      <c r="H64" s="79" t="e">
        <f>#REF!</f>
        <v>#REF!</v>
      </c>
      <c r="I64" s="79">
        <f t="shared" ref="I64:I71" si="50">O25</f>
        <v>40</v>
      </c>
      <c r="J64" s="111" t="str">
        <f t="shared" ref="J64:K71" si="51">AE25</f>
        <v>Clean</v>
      </c>
      <c r="K64" s="111" t="str">
        <f t="shared" si="51"/>
        <v>build-up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76316</v>
      </c>
      <c r="H65" s="79" t="e">
        <f>#REF!</f>
        <v>#REF!</v>
      </c>
      <c r="I65" s="79">
        <f t="shared" si="50"/>
        <v>37</v>
      </c>
      <c r="J65" s="111" t="str">
        <f t="shared" si="51"/>
        <v>Clean</v>
      </c>
      <c r="K65" s="111" t="str">
        <f t="shared" si="51"/>
        <v>build-up</v>
      </c>
      <c r="L65" s="162">
        <f t="shared" ca="1" si="52"/>
        <v>0</v>
      </c>
      <c r="M65" s="175" t="str">
        <f t="shared" si="52"/>
        <v xml:space="preserve">15:20&gt; the plant is running </v>
      </c>
    </row>
    <row r="66" spans="6:13" ht="12.75" hidden="1" customHeight="1" x14ac:dyDescent="0.25">
      <c r="F66" s="1">
        <v>19</v>
      </c>
      <c r="G66" s="79">
        <f t="shared" si="49"/>
        <v>76393</v>
      </c>
      <c r="H66" s="79" t="e">
        <f>#REF!</f>
        <v>#REF!</v>
      </c>
      <c r="I66" s="79">
        <f t="shared" si="50"/>
        <v>37</v>
      </c>
      <c r="J66" s="111" t="str">
        <f t="shared" si="51"/>
        <v>Clean</v>
      </c>
      <c r="K66" s="111" t="str">
        <f t="shared" si="51"/>
        <v>build-up</v>
      </c>
      <c r="L66" s="162">
        <f t="shared" ca="1" si="52"/>
        <v>2.2222222221898846E-2</v>
      </c>
      <c r="M66" s="175" t="str">
        <f t="shared" si="52"/>
        <v>16:28-17:00&gt; Changing bottom deck panels SC01</v>
      </c>
    </row>
    <row r="67" spans="6:13" ht="12.75" hidden="1" customHeight="1" x14ac:dyDescent="0.25">
      <c r="F67" s="1">
        <v>20</v>
      </c>
      <c r="G67" s="79">
        <f t="shared" si="49"/>
        <v>76393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4.1666666666666664E-2</v>
      </c>
      <c r="M67" s="175" t="str">
        <f t="shared" si="52"/>
        <v>17:00-18:00&gt; Changing bottom deck panels SC01</v>
      </c>
    </row>
    <row r="68" spans="6:13" ht="12.75" hidden="1" customHeight="1" x14ac:dyDescent="0.25">
      <c r="F68" s="1">
        <v>21</v>
      </c>
      <c r="G68" s="79">
        <f t="shared" si="49"/>
        <v>76393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4.1666666666666664E-2</v>
      </c>
      <c r="M68" s="175" t="str">
        <f t="shared" si="52"/>
        <v>18:00-19:00&gt; Changing bottom deck panels SC01</v>
      </c>
    </row>
    <row r="69" spans="6:13" ht="12.75" hidden="1" customHeight="1" x14ac:dyDescent="0.25">
      <c r="F69" s="1">
        <v>22</v>
      </c>
      <c r="G69" s="79">
        <f t="shared" si="49"/>
        <v>76393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4.1666666666666664E-2</v>
      </c>
      <c r="M69" s="175" t="str">
        <f t="shared" si="52"/>
        <v>19:00-20:00&gt; Changing bottom deck panels SC01</v>
      </c>
    </row>
    <row r="70" spans="6:13" ht="13.5" hidden="1" customHeight="1" x14ac:dyDescent="0.25">
      <c r="F70" s="1">
        <v>23</v>
      </c>
      <c r="G70" s="79">
        <f t="shared" si="49"/>
        <v>76403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4.1666666666666664E-2</v>
      </c>
      <c r="M70" s="175" t="str">
        <f t="shared" si="52"/>
        <v>20:44-20:55&gt; Starting the plant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4.1666666666666664E-2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639" priority="40" operator="greaterThan">
      <formula>$I$4</formula>
    </cfRule>
    <cfRule type="cellIs" dxfId="638" priority="39" operator="lessThan">
      <formula>$I$4</formula>
    </cfRule>
  </conditionalFormatting>
  <conditionalFormatting sqref="N33">
    <cfRule type="cellIs" dxfId="637" priority="49" operator="greaterThan">
      <formula>75</formula>
    </cfRule>
    <cfRule type="cellIs" dxfId="636" priority="48" operator="lessThan">
      <formula>75</formula>
    </cfRule>
  </conditionalFormatting>
  <conditionalFormatting sqref="P15 P24 P33">
    <cfRule type="cellIs" dxfId="635" priority="38" operator="greaterThan">
      <formula>52.5</formula>
    </cfRule>
    <cfRule type="cellIs" dxfId="634" priority="37" operator="lessThan">
      <formula>52.5</formula>
    </cfRule>
  </conditionalFormatting>
  <conditionalFormatting sqref="S18:S22 U18:U22 S23:U23">
    <cfRule type="cellIs" dxfId="633" priority="17" operator="equal">
      <formula>"N"</formula>
    </cfRule>
    <cfRule type="cellIs" dxfId="632" priority="18" operator="equal">
      <formula>"Y"</formula>
    </cfRule>
  </conditionalFormatting>
  <conditionalFormatting sqref="S18:S22 U18:AB22 S23:AB23">
    <cfRule type="cellIs" dxfId="631" priority="11" operator="equal">
      <formula>"N"</formula>
    </cfRule>
    <cfRule type="cellIs" dxfId="630" priority="12" operator="equal">
      <formula>"Y"</formula>
    </cfRule>
  </conditionalFormatting>
  <conditionalFormatting sqref="T23">
    <cfRule type="cellIs" dxfId="629" priority="9" operator="equal">
      <formula>"S"</formula>
    </cfRule>
    <cfRule type="cellIs" dxfId="628" priority="10" operator="equal">
      <formula>"C"</formula>
    </cfRule>
    <cfRule type="cellIs" dxfId="627" priority="21" operator="equal">
      <formula>"N"</formula>
    </cfRule>
    <cfRule type="cellIs" dxfId="626" priority="22" operator="equal">
      <formula>"Y"</formula>
    </cfRule>
    <cfRule type="cellIs" dxfId="625" priority="23" operator="equal">
      <formula>"N"</formula>
    </cfRule>
    <cfRule type="cellIs" dxfId="624" priority="24" operator="equal">
      <formula>"Y"</formula>
    </cfRule>
  </conditionalFormatting>
  <conditionalFormatting sqref="T15:Z15">
    <cfRule type="cellIs" dxfId="623" priority="44" operator="equal">
      <formula>"N"</formula>
    </cfRule>
    <cfRule type="cellIs" dxfId="622" priority="45" operator="equal">
      <formula>"Y"</formula>
    </cfRule>
  </conditionalFormatting>
  <conditionalFormatting sqref="T6:AA14">
    <cfRule type="cellIs" dxfId="621" priority="32" operator="equal">
      <formula>"Y"</formula>
    </cfRule>
    <cfRule type="cellIs" dxfId="620" priority="31" operator="equal">
      <formula>"N"</formula>
    </cfRule>
  </conditionalFormatting>
  <conditionalFormatting sqref="T16:AA16 U17:AA17 T17:T22">
    <cfRule type="cellIs" dxfId="619" priority="7" operator="equal">
      <formula>"N"</formula>
    </cfRule>
    <cfRule type="cellIs" dxfId="618" priority="8" operator="equal">
      <formula>"Y"</formula>
    </cfRule>
  </conditionalFormatting>
  <conditionalFormatting sqref="T24:AA24 T33:AA33">
    <cfRule type="cellIs" dxfId="617" priority="35" operator="equal">
      <formula>"N"</formula>
    </cfRule>
    <cfRule type="cellIs" dxfId="616" priority="36" operator="equal">
      <formula>"Y"</formula>
    </cfRule>
  </conditionalFormatting>
  <conditionalFormatting sqref="T6:AC16 U17:AC17 T17:T22">
    <cfRule type="cellIs" dxfId="615" priority="3" operator="equal">
      <formula>"N"</formula>
    </cfRule>
    <cfRule type="cellIs" dxfId="614" priority="4" operator="equal">
      <formula>"Y"</formula>
    </cfRule>
  </conditionalFormatting>
  <conditionalFormatting sqref="T24:AC24 T33:AC33">
    <cfRule type="cellIs" dxfId="613" priority="28" operator="equal">
      <formula>"Y"</formula>
    </cfRule>
    <cfRule type="cellIs" dxfId="612" priority="27" operator="equal">
      <formula>"N"</formula>
    </cfRule>
  </conditionalFormatting>
  <conditionalFormatting sqref="U6:U24">
    <cfRule type="cellIs" dxfId="611" priority="1" operator="equal">
      <formula>"S"</formula>
    </cfRule>
    <cfRule type="cellIs" dxfId="610" priority="2" operator="equal">
      <formula>"C"</formula>
    </cfRule>
  </conditionalFormatting>
  <conditionalFormatting sqref="U33">
    <cfRule type="cellIs" dxfId="609" priority="26" operator="equal">
      <formula>"C"</formula>
    </cfRule>
    <cfRule type="cellIs" dxfId="608" priority="25" operator="equal">
      <formula>"S"</formula>
    </cfRule>
  </conditionalFormatting>
  <conditionalFormatting sqref="V15">
    <cfRule type="cellIs" dxfId="607" priority="42" operator="equal">
      <formula>"S"</formula>
    </cfRule>
    <cfRule type="cellIs" dxfId="606" priority="43" operator="equal">
      <formula>"C"</formula>
    </cfRule>
  </conditionalFormatting>
  <conditionalFormatting sqref="V18:W23">
    <cfRule type="cellIs" dxfId="605" priority="20" operator="equal">
      <formula>"C"</formula>
    </cfRule>
    <cfRule type="cellIs" dxfId="604" priority="19" operator="equal">
      <formula>"S"</formula>
    </cfRule>
  </conditionalFormatting>
  <conditionalFormatting sqref="V6:X14">
    <cfRule type="cellIs" dxfId="603" priority="29" operator="equal">
      <formula>"S"</formula>
    </cfRule>
    <cfRule type="cellIs" dxfId="602" priority="30" operator="equal">
      <formula>"C"</formula>
    </cfRule>
  </conditionalFormatting>
  <conditionalFormatting sqref="V16:X17">
    <cfRule type="cellIs" dxfId="601" priority="6" operator="equal">
      <formula>"C"</formula>
    </cfRule>
    <cfRule type="cellIs" dxfId="600" priority="5" operator="equal">
      <formula>"S"</formula>
    </cfRule>
  </conditionalFormatting>
  <conditionalFormatting sqref="V18:Z23">
    <cfRule type="cellIs" dxfId="599" priority="14" operator="equal">
      <formula>"Y"</formula>
    </cfRule>
    <cfRule type="cellIs" dxfId="598" priority="13" operator="equal">
      <formula>"N"</formula>
    </cfRule>
  </conditionalFormatting>
  <conditionalFormatting sqref="AG6:AG14">
    <cfRule type="cellIs" dxfId="597" priority="33" operator="lessThan">
      <formula>1.19</formula>
    </cfRule>
    <cfRule type="cellIs" dxfId="596" priority="34" operator="greaterThan">
      <formula>1.19</formula>
    </cfRule>
  </conditionalFormatting>
  <conditionalFormatting sqref="AG16:AG23">
    <cfRule type="cellIs" dxfId="595" priority="46" operator="lessThan">
      <formula>1.19</formula>
    </cfRule>
    <cfRule type="cellIs" dxfId="594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7C9E-B84F-425B-B7EA-FD0DB3142757}">
  <sheetPr>
    <pageSetUpPr fitToPage="1"/>
  </sheetPr>
  <dimension ref="A1:AV71"/>
  <sheetViews>
    <sheetView showGridLines="0" zoomScaleNormal="100" workbookViewId="0">
      <pane xSplit="2" ySplit="6" topLeftCell="C35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'04 Aug 23'!B1+1</f>
        <v>45143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45142.958333333336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45143.916666666672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45142.958333333336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45143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45142.958333333336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45143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45143.041666666664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45143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45143.041666666664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45143.083333333336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45143.041666666672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45143.083333333336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45143.125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45143.083333333336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45143.125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45143.166666666664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45143.125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45143.166666666664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45143.208333333336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45143.166666666672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45143.208333333336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45143.25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45143.208333333336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45143.25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45143.291666666664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45143.25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45143.291666666664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45143.333333333336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45143.291666666672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45143.333333333336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45143.375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45143.333333333336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45143.375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45143.416666666664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45143.375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45143.416666666664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45143.458333333336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45143.416666666672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45143.458333333336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45143.5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45143.458333333336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45143.5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45143.541666666664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45143.5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45143.541666666664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45143.583333333336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45143.541666666672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45143.583333333336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45143.625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45143.583333333336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45143.625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45143.666666666664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45143.625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45143.666666666664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45143.708333333336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45143.666666666672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45143.708333333336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45143.75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45143.708333333336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45143.75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45143.791666666664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45143.75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45143.791666666664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45143.833333333336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45143.791666666672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45143.833333333336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45143.875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45143.833333333336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45143.875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45143.916666666664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45143.875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45143.916666666664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45143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+J40+I40+H40</f>
        <v>0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593" priority="40" operator="greaterThan">
      <formula>$I$4</formula>
    </cfRule>
    <cfRule type="cellIs" dxfId="592" priority="39" operator="lessThan">
      <formula>$I$4</formula>
    </cfRule>
  </conditionalFormatting>
  <conditionalFormatting sqref="N33">
    <cfRule type="cellIs" dxfId="591" priority="49" operator="greaterThan">
      <formula>75</formula>
    </cfRule>
    <cfRule type="cellIs" dxfId="590" priority="48" operator="lessThan">
      <formula>75</formula>
    </cfRule>
  </conditionalFormatting>
  <conditionalFormatting sqref="P15 P24 P33">
    <cfRule type="cellIs" dxfId="589" priority="38" operator="greaterThan">
      <formula>52.5</formula>
    </cfRule>
    <cfRule type="cellIs" dxfId="588" priority="37" operator="lessThan">
      <formula>52.5</formula>
    </cfRule>
  </conditionalFormatting>
  <conditionalFormatting sqref="S18:S22 U18:U22 S23:U23">
    <cfRule type="cellIs" dxfId="587" priority="17" operator="equal">
      <formula>"N"</formula>
    </cfRule>
    <cfRule type="cellIs" dxfId="586" priority="18" operator="equal">
      <formula>"Y"</formula>
    </cfRule>
  </conditionalFormatting>
  <conditionalFormatting sqref="S18:S22 U18:AB22 S23:AB23">
    <cfRule type="cellIs" dxfId="585" priority="11" operator="equal">
      <formula>"N"</formula>
    </cfRule>
    <cfRule type="cellIs" dxfId="584" priority="12" operator="equal">
      <formula>"Y"</formula>
    </cfRule>
  </conditionalFormatting>
  <conditionalFormatting sqref="T23">
    <cfRule type="cellIs" dxfId="583" priority="9" operator="equal">
      <formula>"S"</formula>
    </cfRule>
    <cfRule type="cellIs" dxfId="582" priority="10" operator="equal">
      <formula>"C"</formula>
    </cfRule>
    <cfRule type="cellIs" dxfId="581" priority="21" operator="equal">
      <formula>"N"</formula>
    </cfRule>
    <cfRule type="cellIs" dxfId="580" priority="22" operator="equal">
      <formula>"Y"</formula>
    </cfRule>
    <cfRule type="cellIs" dxfId="579" priority="23" operator="equal">
      <formula>"N"</formula>
    </cfRule>
    <cfRule type="cellIs" dxfId="578" priority="24" operator="equal">
      <formula>"Y"</formula>
    </cfRule>
  </conditionalFormatting>
  <conditionalFormatting sqref="T15:Z15">
    <cfRule type="cellIs" dxfId="577" priority="44" operator="equal">
      <formula>"N"</formula>
    </cfRule>
    <cfRule type="cellIs" dxfId="576" priority="45" operator="equal">
      <formula>"Y"</formula>
    </cfRule>
  </conditionalFormatting>
  <conditionalFormatting sqref="T6:AA14">
    <cfRule type="cellIs" dxfId="575" priority="32" operator="equal">
      <formula>"Y"</formula>
    </cfRule>
    <cfRule type="cellIs" dxfId="574" priority="31" operator="equal">
      <formula>"N"</formula>
    </cfRule>
  </conditionalFormatting>
  <conditionalFormatting sqref="T16:AA16 U17:AA17 T17:T22">
    <cfRule type="cellIs" dxfId="573" priority="7" operator="equal">
      <formula>"N"</formula>
    </cfRule>
    <cfRule type="cellIs" dxfId="572" priority="8" operator="equal">
      <formula>"Y"</formula>
    </cfRule>
  </conditionalFormatting>
  <conditionalFormatting sqref="T24:AA24 T33:AA33">
    <cfRule type="cellIs" dxfId="571" priority="35" operator="equal">
      <formula>"N"</formula>
    </cfRule>
    <cfRule type="cellIs" dxfId="570" priority="36" operator="equal">
      <formula>"Y"</formula>
    </cfRule>
  </conditionalFormatting>
  <conditionalFormatting sqref="T6:AC16 U17:AC17 T17:T22">
    <cfRule type="cellIs" dxfId="569" priority="3" operator="equal">
      <formula>"N"</formula>
    </cfRule>
    <cfRule type="cellIs" dxfId="568" priority="4" operator="equal">
      <formula>"Y"</formula>
    </cfRule>
  </conditionalFormatting>
  <conditionalFormatting sqref="T24:AC24 T33:AC33">
    <cfRule type="cellIs" dxfId="567" priority="28" operator="equal">
      <formula>"Y"</formula>
    </cfRule>
    <cfRule type="cellIs" dxfId="566" priority="27" operator="equal">
      <formula>"N"</formula>
    </cfRule>
  </conditionalFormatting>
  <conditionalFormatting sqref="U6:U24">
    <cfRule type="cellIs" dxfId="565" priority="1" operator="equal">
      <formula>"S"</formula>
    </cfRule>
    <cfRule type="cellIs" dxfId="564" priority="2" operator="equal">
      <formula>"C"</formula>
    </cfRule>
  </conditionalFormatting>
  <conditionalFormatting sqref="U33">
    <cfRule type="cellIs" dxfId="563" priority="26" operator="equal">
      <formula>"C"</formula>
    </cfRule>
    <cfRule type="cellIs" dxfId="562" priority="25" operator="equal">
      <formula>"S"</formula>
    </cfRule>
  </conditionalFormatting>
  <conditionalFormatting sqref="V15">
    <cfRule type="cellIs" dxfId="561" priority="42" operator="equal">
      <formula>"S"</formula>
    </cfRule>
    <cfRule type="cellIs" dxfId="560" priority="43" operator="equal">
      <formula>"C"</formula>
    </cfRule>
  </conditionalFormatting>
  <conditionalFormatting sqref="V18:W23">
    <cfRule type="cellIs" dxfId="559" priority="20" operator="equal">
      <formula>"C"</formula>
    </cfRule>
    <cfRule type="cellIs" dxfId="558" priority="19" operator="equal">
      <formula>"S"</formula>
    </cfRule>
  </conditionalFormatting>
  <conditionalFormatting sqref="V6:X14">
    <cfRule type="cellIs" dxfId="557" priority="29" operator="equal">
      <formula>"S"</formula>
    </cfRule>
    <cfRule type="cellIs" dxfId="556" priority="30" operator="equal">
      <formula>"C"</formula>
    </cfRule>
  </conditionalFormatting>
  <conditionalFormatting sqref="V16:X17">
    <cfRule type="cellIs" dxfId="555" priority="6" operator="equal">
      <formula>"C"</formula>
    </cfRule>
    <cfRule type="cellIs" dxfId="554" priority="5" operator="equal">
      <formula>"S"</formula>
    </cfRule>
  </conditionalFormatting>
  <conditionalFormatting sqref="V18:Z23">
    <cfRule type="cellIs" dxfId="553" priority="14" operator="equal">
      <formula>"Y"</formula>
    </cfRule>
    <cfRule type="cellIs" dxfId="552" priority="13" operator="equal">
      <formula>"N"</formula>
    </cfRule>
  </conditionalFormatting>
  <conditionalFormatting sqref="AG6:AG14">
    <cfRule type="cellIs" dxfId="551" priority="33" operator="lessThan">
      <formula>1.19</formula>
    </cfRule>
    <cfRule type="cellIs" dxfId="550" priority="34" operator="greaterThan">
      <formula>1.19</formula>
    </cfRule>
  </conditionalFormatting>
  <conditionalFormatting sqref="AG16:AG23">
    <cfRule type="cellIs" dxfId="549" priority="46" operator="lessThan">
      <formula>1.19</formula>
    </cfRule>
    <cfRule type="cellIs" dxfId="548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559B-F909-4894-86FF-A2B58376B363}">
  <sheetPr>
    <pageSetUpPr fitToPage="1"/>
  </sheetPr>
  <dimension ref="A1:BJ69"/>
  <sheetViews>
    <sheetView showGridLines="0" zoomScaleNormal="100" workbookViewId="0">
      <pane xSplit="2" ySplit="6" topLeftCell="C27" activePane="bottomRight" state="frozen"/>
      <selection pane="topRight" activeCell="C1" sqref="C1"/>
      <selection pane="bottomLeft" activeCell="A7" sqref="A7"/>
      <selection pane="bottomRight" activeCell="E33" sqref="E33"/>
    </sheetView>
  </sheetViews>
  <sheetFormatPr defaultColWidth="9" defaultRowHeight="12.75" x14ac:dyDescent="0.25"/>
  <cols>
    <col min="1" max="1" width="0.28515625" style="1" customWidth="1"/>
    <col min="2" max="2" width="29.7109375" style="1" customWidth="1"/>
    <col min="3" max="3" width="9.5703125" style="1" bestFit="1" customWidth="1"/>
    <col min="4" max="6" width="8.85546875" style="1" customWidth="1"/>
    <col min="7" max="7" width="10.5703125" style="1" customWidth="1"/>
    <col min="8" max="8" width="10" style="1" customWidth="1"/>
    <col min="9" max="27" width="8.85546875" style="1" customWidth="1"/>
    <col min="28" max="28" width="10.85546875" style="1" customWidth="1"/>
    <col min="29" max="31" width="8.85546875" style="1" customWidth="1"/>
    <col min="32" max="32" width="12" style="1" customWidth="1"/>
    <col min="33" max="33" width="10.5703125" style="1" customWidth="1"/>
    <col min="34" max="42" width="8.85546875" style="1" customWidth="1"/>
    <col min="43" max="50" width="8.85546875" style="1" hidden="1" customWidth="1"/>
    <col min="51" max="52" width="8.85546875" style="1" customWidth="1"/>
    <col min="53" max="53" width="87.5703125" style="1" customWidth="1"/>
    <col min="54" max="54" width="17.7109375" style="1" customWidth="1"/>
    <col min="55" max="61" width="9" style="1" customWidth="1"/>
    <col min="62" max="62" width="6.7109375" style="1" customWidth="1"/>
    <col min="63" max="16384" width="9" style="1"/>
  </cols>
  <sheetData>
    <row r="1" spans="1:62" ht="13.9" customHeight="1" thickBot="1" x14ac:dyDescent="0.3">
      <c r="B1" s="2">
        <v>45118</v>
      </c>
      <c r="C1" s="301" t="s">
        <v>0</v>
      </c>
      <c r="D1" s="302"/>
      <c r="E1" s="302"/>
      <c r="F1" s="303"/>
      <c r="G1" s="262" t="s">
        <v>1</v>
      </c>
      <c r="H1" s="263"/>
      <c r="I1" s="263"/>
      <c r="J1" s="263"/>
      <c r="K1" s="263"/>
      <c r="L1" s="263"/>
      <c r="M1" s="263"/>
      <c r="N1" s="263"/>
      <c r="O1" s="263"/>
      <c r="P1" s="264"/>
      <c r="Q1" s="265" t="s">
        <v>2</v>
      </c>
      <c r="R1" s="266"/>
      <c r="S1" s="266"/>
      <c r="T1" s="266"/>
      <c r="U1" s="266"/>
      <c r="V1" s="266"/>
      <c r="W1" s="266"/>
      <c r="X1" s="266"/>
      <c r="Y1" s="266"/>
      <c r="Z1" s="267"/>
      <c r="AA1" s="268" t="s">
        <v>3</v>
      </c>
      <c r="AB1" s="269"/>
      <c r="AC1" s="270"/>
      <c r="AD1" s="271" t="s">
        <v>4</v>
      </c>
      <c r="AE1" s="272"/>
      <c r="AF1" s="284" t="s">
        <v>5</v>
      </c>
      <c r="AG1" s="285"/>
      <c r="AH1" s="285"/>
      <c r="AI1" s="286"/>
      <c r="AJ1" s="273" t="s">
        <v>6</v>
      </c>
      <c r="AK1" s="274"/>
      <c r="AL1" s="275" t="s">
        <v>7</v>
      </c>
      <c r="AM1" s="276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8</v>
      </c>
      <c r="AZ1" s="5">
        <f ca="1">NOW()</f>
        <v>45148.321596759262</v>
      </c>
      <c r="BA1" s="6" t="s">
        <v>9</v>
      </c>
      <c r="BB1" s="7" t="s">
        <v>10</v>
      </c>
      <c r="BC1" s="8" t="s">
        <v>11</v>
      </c>
      <c r="BD1" s="9"/>
      <c r="BE1" s="9"/>
      <c r="BF1" s="9"/>
      <c r="BG1" s="9"/>
      <c r="BH1" s="9"/>
      <c r="BI1" s="9"/>
      <c r="BJ1" s="10"/>
    </row>
    <row r="2" spans="1:62" ht="70.150000000000006" customHeight="1" x14ac:dyDescent="0.25">
      <c r="B2" s="11"/>
      <c r="C2" s="12" t="s">
        <v>12</v>
      </c>
      <c r="D2" s="13" t="s">
        <v>13</v>
      </c>
      <c r="E2" s="13" t="s">
        <v>14</v>
      </c>
      <c r="F2" s="14" t="s">
        <v>15</v>
      </c>
      <c r="G2" s="277" t="s">
        <v>16</v>
      </c>
      <c r="H2" s="279" t="s">
        <v>17</v>
      </c>
      <c r="I2" s="279"/>
      <c r="J2" s="280" t="s">
        <v>18</v>
      </c>
      <c r="K2" s="279" t="s">
        <v>81</v>
      </c>
      <c r="L2" s="280" t="s">
        <v>19</v>
      </c>
      <c r="M2" s="280" t="s">
        <v>20</v>
      </c>
      <c r="N2" s="280" t="s">
        <v>21</v>
      </c>
      <c r="O2" s="279" t="s">
        <v>22</v>
      </c>
      <c r="P2" s="283"/>
      <c r="Q2" s="296" t="s">
        <v>16</v>
      </c>
      <c r="R2" s="289" t="s">
        <v>17</v>
      </c>
      <c r="S2" s="289"/>
      <c r="T2" s="287" t="s">
        <v>18</v>
      </c>
      <c r="U2" s="289" t="s">
        <v>81</v>
      </c>
      <c r="V2" s="287" t="s">
        <v>19</v>
      </c>
      <c r="W2" s="287" t="s">
        <v>20</v>
      </c>
      <c r="X2" s="287" t="s">
        <v>21</v>
      </c>
      <c r="Y2" s="289" t="s">
        <v>22</v>
      </c>
      <c r="Z2" s="290"/>
      <c r="AA2" s="15" t="s">
        <v>23</v>
      </c>
      <c r="AB2" s="16" t="s">
        <v>24</v>
      </c>
      <c r="AC2" s="17" t="s">
        <v>25</v>
      </c>
      <c r="AD2" s="18" t="s">
        <v>26</v>
      </c>
      <c r="AE2" s="18" t="s">
        <v>27</v>
      </c>
      <c r="AF2" s="19" t="s">
        <v>28</v>
      </c>
      <c r="AG2" s="20" t="s">
        <v>29</v>
      </c>
      <c r="AH2" s="20" t="s">
        <v>30</v>
      </c>
      <c r="AI2" s="21" t="s">
        <v>30</v>
      </c>
      <c r="AJ2" s="22" t="s">
        <v>31</v>
      </c>
      <c r="AK2" s="23" t="s">
        <v>32</v>
      </c>
      <c r="AL2" s="24" t="s">
        <v>33</v>
      </c>
      <c r="AM2" s="25" t="s">
        <v>34</v>
      </c>
      <c r="AN2" s="4" t="s">
        <v>35</v>
      </c>
      <c r="AO2" s="4" t="s">
        <v>36</v>
      </c>
      <c r="AP2" s="4"/>
      <c r="AQ2" s="4"/>
      <c r="AR2" s="4"/>
      <c r="AS2" s="4"/>
      <c r="AT2" s="4"/>
      <c r="AU2" s="4"/>
      <c r="AV2" s="4"/>
      <c r="AW2" s="4"/>
      <c r="AX2" s="4"/>
      <c r="AY2" s="4" t="s">
        <v>37</v>
      </c>
      <c r="AZ2" s="4" t="s">
        <v>38</v>
      </c>
      <c r="BA2" s="26" t="s">
        <v>39</v>
      </c>
      <c r="BB2" s="7"/>
      <c r="BC2" s="27" t="s">
        <v>40</v>
      </c>
      <c r="BD2" s="27">
        <v>6.3E-2</v>
      </c>
      <c r="BE2" s="27" t="s">
        <v>41</v>
      </c>
      <c r="BF2" s="27">
        <f>PI()</f>
        <v>3.1415926535897931</v>
      </c>
      <c r="BG2" s="27" t="s">
        <v>42</v>
      </c>
      <c r="BH2" s="27">
        <f>+BF2*BD2*BD2/4</f>
        <v>3.1172453105244723E-3</v>
      </c>
      <c r="BI2" s="28" t="s">
        <v>43</v>
      </c>
      <c r="BJ2" s="29">
        <v>3.2</v>
      </c>
    </row>
    <row r="3" spans="1:62" ht="53.45" customHeight="1" thickBot="1" x14ac:dyDescent="0.3">
      <c r="B3" s="30" t="s">
        <v>44</v>
      </c>
      <c r="C3" s="31"/>
      <c r="D3" s="32"/>
      <c r="E3" s="32"/>
      <c r="F3" s="33">
        <v>200</v>
      </c>
      <c r="G3" s="278"/>
      <c r="H3" s="34" t="s">
        <v>45</v>
      </c>
      <c r="I3" s="34" t="s">
        <v>46</v>
      </c>
      <c r="J3" s="281"/>
      <c r="K3" s="282"/>
      <c r="L3" s="281"/>
      <c r="M3" s="281"/>
      <c r="N3" s="281"/>
      <c r="O3" s="34" t="s">
        <v>47</v>
      </c>
      <c r="P3" s="35" t="s">
        <v>48</v>
      </c>
      <c r="Q3" s="297"/>
      <c r="R3" s="36" t="s">
        <v>45</v>
      </c>
      <c r="S3" s="36" t="s">
        <v>46</v>
      </c>
      <c r="T3" s="288"/>
      <c r="U3" s="298"/>
      <c r="V3" s="288"/>
      <c r="W3" s="288"/>
      <c r="X3" s="288"/>
      <c r="Y3" s="36" t="s">
        <v>47</v>
      </c>
      <c r="Z3" s="37" t="s">
        <v>48</v>
      </c>
      <c r="AA3" s="38"/>
      <c r="AB3" s="39"/>
      <c r="AC3" s="17"/>
      <c r="AD3" s="40" t="s">
        <v>49</v>
      </c>
      <c r="AE3" s="41" t="s">
        <v>50</v>
      </c>
      <c r="AF3" s="42" t="s">
        <v>49</v>
      </c>
      <c r="AG3" s="43" t="s">
        <v>50</v>
      </c>
      <c r="AH3" s="43" t="s">
        <v>49</v>
      </c>
      <c r="AI3" s="44" t="s">
        <v>50</v>
      </c>
      <c r="AJ3" s="45" t="s">
        <v>51</v>
      </c>
      <c r="AK3" s="46" t="s">
        <v>51</v>
      </c>
      <c r="AL3" s="47"/>
      <c r="AM3" s="48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9"/>
      <c r="BB3" s="7"/>
      <c r="BC3" s="50"/>
      <c r="BD3" s="50"/>
      <c r="BE3" s="50"/>
      <c r="BF3" s="50"/>
      <c r="BG3" s="50"/>
      <c r="BH3" s="50"/>
      <c r="BI3" s="50"/>
    </row>
    <row r="4" spans="1:62" ht="14.45" customHeight="1" x14ac:dyDescent="0.25">
      <c r="B4" s="30" t="s">
        <v>52</v>
      </c>
      <c r="C4" s="31"/>
      <c r="D4" s="32"/>
      <c r="E4" s="32"/>
      <c r="F4" s="33"/>
      <c r="G4" s="51"/>
      <c r="H4" s="52"/>
      <c r="I4" s="53"/>
      <c r="J4" s="53"/>
      <c r="K4" s="53"/>
      <c r="L4" s="52"/>
      <c r="M4" s="54"/>
      <c r="N4" s="55"/>
      <c r="O4" s="55"/>
      <c r="P4" s="56"/>
      <c r="Q4" s="57"/>
      <c r="R4" s="58"/>
      <c r="S4" s="59"/>
      <c r="T4" s="59"/>
      <c r="U4" s="59"/>
      <c r="V4" s="58"/>
      <c r="W4" s="60"/>
      <c r="X4" s="61"/>
      <c r="Y4" s="61"/>
      <c r="Z4" s="62"/>
      <c r="AA4" s="63"/>
      <c r="AB4" s="64"/>
      <c r="AC4" s="65"/>
      <c r="AD4" s="40"/>
      <c r="AE4" s="41"/>
      <c r="AF4" s="42"/>
      <c r="AG4" s="43"/>
      <c r="AH4" s="43"/>
      <c r="AI4" s="44"/>
      <c r="AJ4" s="45"/>
      <c r="AK4" s="46"/>
      <c r="AL4" s="47"/>
      <c r="AM4" s="48"/>
      <c r="AN4" s="4"/>
      <c r="AO4" s="4"/>
      <c r="AP4" s="4">
        <v>0</v>
      </c>
      <c r="AQ4" s="4"/>
      <c r="AR4" s="4"/>
      <c r="AS4" s="4"/>
      <c r="AT4" s="4"/>
      <c r="AU4" s="4"/>
      <c r="AV4" s="4"/>
      <c r="AW4" s="4"/>
      <c r="AX4" s="4"/>
      <c r="AY4" s="66" t="s">
        <v>53</v>
      </c>
      <c r="AZ4" s="4"/>
      <c r="BA4" s="49"/>
      <c r="BB4" s="7"/>
      <c r="BC4" s="50"/>
      <c r="BD4" s="50"/>
      <c r="BE4" s="50"/>
      <c r="BF4" s="50"/>
      <c r="BG4" s="50"/>
      <c r="BH4" s="50"/>
      <c r="BI4" s="50"/>
    </row>
    <row r="5" spans="1:62" ht="14.45" customHeight="1" thickBot="1" x14ac:dyDescent="0.3">
      <c r="B5" s="30" t="s">
        <v>54</v>
      </c>
      <c r="C5" s="31"/>
      <c r="D5" s="32"/>
      <c r="E5" s="32"/>
      <c r="F5" s="33"/>
      <c r="G5" s="51"/>
      <c r="H5" s="52"/>
      <c r="I5" s="53"/>
      <c r="J5" s="53"/>
      <c r="K5" s="53"/>
      <c r="L5" s="52"/>
      <c r="M5" s="54"/>
      <c r="N5" s="55"/>
      <c r="O5" s="55"/>
      <c r="P5" s="56"/>
      <c r="Q5" s="57"/>
      <c r="R5" s="58"/>
      <c r="S5" s="59"/>
      <c r="T5" s="59"/>
      <c r="U5" s="59"/>
      <c r="V5" s="58"/>
      <c r="W5" s="60"/>
      <c r="X5" s="61"/>
      <c r="Y5" s="61"/>
      <c r="Z5" s="62"/>
      <c r="AA5" s="67"/>
      <c r="AB5" s="68"/>
      <c r="AC5" s="69"/>
      <c r="AD5" s="40"/>
      <c r="AE5" s="41"/>
      <c r="AF5" s="70"/>
      <c r="AG5" s="71"/>
      <c r="AH5" s="71"/>
      <c r="AI5" s="72"/>
      <c r="AJ5" s="73"/>
      <c r="AK5" s="74"/>
      <c r="AL5" s="75"/>
      <c r="AM5" s="76"/>
      <c r="AN5" s="4"/>
      <c r="AO5" s="4"/>
      <c r="AP5" s="4">
        <v>1</v>
      </c>
      <c r="AQ5" s="4"/>
      <c r="AR5" s="4"/>
      <c r="AS5" s="4"/>
      <c r="AT5" s="4"/>
      <c r="AU5" s="4"/>
      <c r="AV5" s="4"/>
      <c r="AW5" s="4"/>
      <c r="AX5" s="4"/>
      <c r="AY5" s="291" t="s">
        <v>55</v>
      </c>
      <c r="AZ5" s="292"/>
      <c r="BA5" s="49"/>
      <c r="BB5" s="7"/>
      <c r="BC5" s="50"/>
      <c r="BD5" s="50"/>
      <c r="BE5" s="50"/>
      <c r="BF5" s="50"/>
      <c r="BG5" s="50"/>
      <c r="BH5" s="50"/>
      <c r="BI5" s="50"/>
    </row>
    <row r="6" spans="1:62" ht="19.5" customHeight="1" thickBot="1" x14ac:dyDescent="0.3">
      <c r="B6" s="77">
        <v>0.25</v>
      </c>
      <c r="C6" s="78" t="s">
        <v>56</v>
      </c>
      <c r="D6" s="79"/>
      <c r="E6" s="80"/>
      <c r="F6" s="81">
        <f>+F3</f>
        <v>200</v>
      </c>
      <c r="G6" s="82"/>
      <c r="M6" s="79"/>
      <c r="N6" s="79"/>
      <c r="O6" s="79"/>
      <c r="P6" s="83"/>
      <c r="Q6" s="84"/>
      <c r="R6" s="85"/>
      <c r="S6" s="85"/>
      <c r="T6" s="86"/>
      <c r="U6" s="86"/>
      <c r="V6" s="86"/>
      <c r="W6" s="86"/>
      <c r="X6" s="85"/>
      <c r="Y6" s="85"/>
      <c r="Z6" s="87"/>
      <c r="AA6" s="88"/>
      <c r="AB6" s="89"/>
      <c r="AC6" s="89"/>
      <c r="AD6" s="84"/>
      <c r="AE6" s="83"/>
      <c r="AF6" s="90"/>
      <c r="AG6" s="91"/>
      <c r="AH6" s="91"/>
      <c r="AI6" s="92"/>
      <c r="AJ6" s="88"/>
      <c r="AK6" s="93"/>
      <c r="AL6" s="88"/>
      <c r="AM6" s="93"/>
      <c r="AN6" s="4"/>
      <c r="AO6" s="4"/>
      <c r="AP6" s="4">
        <v>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94"/>
      <c r="BB6" s="7"/>
      <c r="BC6" s="95"/>
      <c r="BD6" s="95"/>
      <c r="BE6" s="95"/>
      <c r="BF6" s="95"/>
      <c r="BG6" s="95"/>
      <c r="BH6" s="95"/>
      <c r="BI6" s="95"/>
    </row>
    <row r="7" spans="1:62" ht="15" customHeight="1" x14ac:dyDescent="0.25">
      <c r="A7" s="96">
        <f>B7+$B$1-1</f>
        <v>45117.958333333336</v>
      </c>
      <c r="B7" s="77">
        <v>0.95833333333333304</v>
      </c>
      <c r="C7" s="78" t="s">
        <v>56</v>
      </c>
      <c r="D7" s="79"/>
      <c r="E7" s="80" t="str">
        <f t="shared" ref="E7:E14" si="0">IF(D7&gt;0,D7-D6,"")</f>
        <v/>
      </c>
      <c r="F7" s="97">
        <f>F6</f>
        <v>200</v>
      </c>
      <c r="G7" s="98"/>
      <c r="H7" s="85"/>
      <c r="I7" s="85"/>
      <c r="J7" s="85"/>
      <c r="K7" s="85"/>
      <c r="L7" s="85"/>
      <c r="M7" s="85"/>
      <c r="N7" s="85"/>
      <c r="O7" s="85"/>
      <c r="P7" s="87"/>
      <c r="Q7" s="82"/>
      <c r="R7" s="85"/>
      <c r="S7" s="85"/>
      <c r="T7" s="86"/>
      <c r="U7" s="86"/>
      <c r="V7" s="86"/>
      <c r="W7" s="86"/>
      <c r="X7" s="85"/>
      <c r="Y7" s="85"/>
      <c r="Z7" s="87"/>
      <c r="AA7" s="84"/>
      <c r="AB7" s="85"/>
      <c r="AC7" s="85"/>
      <c r="AD7" s="98"/>
      <c r="AE7" s="87"/>
      <c r="AF7" s="99"/>
      <c r="AG7" s="85"/>
      <c r="AH7" s="85"/>
      <c r="AI7" s="86"/>
      <c r="AJ7" s="98"/>
      <c r="AK7" s="87"/>
      <c r="AL7" s="98"/>
      <c r="AM7" s="87"/>
      <c r="AN7" s="100">
        <v>0.91666666666666663</v>
      </c>
      <c r="AO7" s="101"/>
      <c r="AP7" s="102">
        <f t="shared" ref="AP7:AP13" si="1">AT7</f>
        <v>0</v>
      </c>
      <c r="AQ7" s="103">
        <f>IF(AN7&lt;&gt;"",AN7+$B$1-1,B7+$B$1-1)</f>
        <v>45117.916666666664</v>
      </c>
      <c r="AR7" s="102">
        <f>AP6</f>
        <v>1</v>
      </c>
      <c r="AS7" s="102">
        <f t="shared" ref="AS7:AS14" si="2">IF(AN7="",AR7,0)</f>
        <v>0</v>
      </c>
      <c r="AT7" s="102">
        <f t="shared" ref="AT7:AT14" si="3">IF(AO7&lt;&gt;"",1,AS7)</f>
        <v>0</v>
      </c>
      <c r="AU7" s="103">
        <f>IF(AO7&lt;&gt;"",AO7+$B$1-1,B7+$B$1-1)</f>
        <v>45117.958333333336</v>
      </c>
      <c r="AV7" s="103">
        <f t="shared" ref="AV7:AV14" si="4">AQ7-A7+1/24</f>
        <v>-4.8506407224202519E-12</v>
      </c>
      <c r="AW7" s="103">
        <f>AU7-AQ7</f>
        <v>4.1666666671517305E-2</v>
      </c>
      <c r="AX7" s="103">
        <f t="shared" ref="AX7:AX14" si="5">A7-AU7</f>
        <v>0</v>
      </c>
      <c r="AY7" s="103">
        <f t="shared" ref="AY7:AY14" ca="1" si="6">IF(A7&lt;$AZ$1,SUMPRODUCT(AR7:AT7,AV7:AX7),0)</f>
        <v>-4.8506407224202519E-12</v>
      </c>
      <c r="AZ7" s="104">
        <f t="shared" ref="AZ7:AZ14" ca="1" si="7">IF(A7&lt;$AZ$1,1/24-AY7,0)</f>
        <v>4.1666666671517305E-2</v>
      </c>
      <c r="BA7" s="105" t="s">
        <v>57</v>
      </c>
      <c r="BB7" s="85"/>
      <c r="BC7" s="106" t="str">
        <f>IF(M7&gt;1,+M7*R7,"")</f>
        <v/>
      </c>
      <c r="BD7" s="107" t="e">
        <f>IF(BC7&gt;0,+$BF$2*(R7-1)/R7/($BF$2-1),"")</f>
        <v>#DIV/0!</v>
      </c>
      <c r="BE7" s="108" t="e">
        <f t="shared" ref="BE7:BE34" si="8">+BC7*BD7</f>
        <v>#VALUE!</v>
      </c>
      <c r="BF7" s="109" t="e">
        <f t="shared" ref="BF7:BF14" si="9">+BE7/E7</f>
        <v>#VALUE!</v>
      </c>
      <c r="BG7" s="106" t="e">
        <f t="shared" ref="BG7:BG34" si="10">+BC7*(100%-BD7)</f>
        <v>#VALUE!</v>
      </c>
      <c r="BH7" s="110" t="e">
        <f t="shared" ref="BH7:BH14" si="11">+BG7/E7</f>
        <v>#VALUE!</v>
      </c>
      <c r="BI7" s="111">
        <f t="shared" ref="BI7:BI14" si="12">+M7/3600/$BH$2</f>
        <v>0</v>
      </c>
    </row>
    <row r="8" spans="1:62" ht="15" x14ac:dyDescent="0.25">
      <c r="A8" s="96">
        <f t="shared" ref="A8:A23" si="13">B8+$B$1</f>
        <v>45118</v>
      </c>
      <c r="B8" s="77">
        <v>0</v>
      </c>
      <c r="C8" s="78" t="s">
        <v>56</v>
      </c>
      <c r="D8" s="79"/>
      <c r="E8" s="80" t="str">
        <f t="shared" si="0"/>
        <v/>
      </c>
      <c r="F8" s="97">
        <f t="shared" ref="F8:F32" si="14">F7</f>
        <v>200</v>
      </c>
      <c r="G8" s="98"/>
      <c r="H8" s="85"/>
      <c r="I8" s="85"/>
      <c r="J8" s="85"/>
      <c r="K8" s="85"/>
      <c r="L8" s="85"/>
      <c r="M8" s="85"/>
      <c r="N8" s="85"/>
      <c r="O8" s="85"/>
      <c r="P8" s="87"/>
      <c r="Q8" s="98"/>
      <c r="R8" s="85"/>
      <c r="S8" s="85"/>
      <c r="T8" s="86"/>
      <c r="U8" s="86"/>
      <c r="V8" s="86"/>
      <c r="W8" s="86"/>
      <c r="X8" s="85"/>
      <c r="Y8" s="85"/>
      <c r="Z8" s="87"/>
      <c r="AA8" s="98"/>
      <c r="AB8" s="85"/>
      <c r="AC8" s="85"/>
      <c r="AD8" s="98"/>
      <c r="AE8" s="87"/>
      <c r="AF8" s="99"/>
      <c r="AG8" s="85"/>
      <c r="AH8" s="85"/>
      <c r="AI8" s="86"/>
      <c r="AJ8" s="98"/>
      <c r="AK8" s="87"/>
      <c r="AL8" s="98"/>
      <c r="AM8" s="87"/>
      <c r="AN8" s="100"/>
      <c r="AO8" s="101"/>
      <c r="AP8" s="102">
        <f t="shared" si="1"/>
        <v>0</v>
      </c>
      <c r="AQ8" s="103">
        <f>IF(AN8&lt;&gt;"",AN8+$B$1-1,B8+$B$1-1/24)</f>
        <v>45117.958333333336</v>
      </c>
      <c r="AR8" s="102">
        <f t="shared" ref="AR8:AR14" si="15">AP7</f>
        <v>0</v>
      </c>
      <c r="AS8" s="102">
        <f t="shared" si="2"/>
        <v>0</v>
      </c>
      <c r="AT8" s="102">
        <f t="shared" si="3"/>
        <v>0</v>
      </c>
      <c r="AU8" s="103">
        <f>IF(AO8&lt;&gt;"",AO8+$B$1-1,B8+$B$1)</f>
        <v>45118</v>
      </c>
      <c r="AV8" s="103">
        <f t="shared" si="4"/>
        <v>2.425316891763174E-12</v>
      </c>
      <c r="AW8" s="103">
        <f t="shared" ref="AW8:AW13" si="16">AU8-AQ8</f>
        <v>4.1666666664241347E-2</v>
      </c>
      <c r="AX8" s="103">
        <f t="shared" si="5"/>
        <v>0</v>
      </c>
      <c r="AY8" s="103">
        <f t="shared" ca="1" si="6"/>
        <v>0</v>
      </c>
      <c r="AZ8" s="104">
        <f t="shared" ca="1" si="7"/>
        <v>4.1666666666666664E-2</v>
      </c>
      <c r="BA8" s="105" t="s">
        <v>57</v>
      </c>
      <c r="BB8" s="85"/>
      <c r="BC8" s="106" t="str">
        <f t="shared" ref="BC8:BC14" si="17">IF(M8&gt;1,+M8*N8,"")</f>
        <v/>
      </c>
      <c r="BD8" s="107" t="e">
        <f t="shared" ref="BD8:BD14" si="18">IF(BC8&gt;0,+$BF$2*(N8-1)/N8/($BF$2-1),"")</f>
        <v>#DIV/0!</v>
      </c>
      <c r="BE8" s="108" t="e">
        <f t="shared" si="8"/>
        <v>#VALUE!</v>
      </c>
      <c r="BF8" s="109" t="e">
        <f t="shared" si="9"/>
        <v>#VALUE!</v>
      </c>
      <c r="BG8" s="106" t="e">
        <f t="shared" si="10"/>
        <v>#VALUE!</v>
      </c>
      <c r="BH8" s="110" t="e">
        <f t="shared" si="11"/>
        <v>#VALUE!</v>
      </c>
      <c r="BI8" s="111">
        <f t="shared" si="12"/>
        <v>0</v>
      </c>
    </row>
    <row r="9" spans="1:62" ht="15" x14ac:dyDescent="0.25">
      <c r="A9" s="96">
        <f t="shared" si="13"/>
        <v>45118.041666666664</v>
      </c>
      <c r="B9" s="77">
        <v>4.1666666666666664E-2</v>
      </c>
      <c r="C9" s="78" t="s">
        <v>56</v>
      </c>
      <c r="D9" s="79"/>
      <c r="E9" s="80" t="str">
        <f t="shared" si="0"/>
        <v/>
      </c>
      <c r="F9" s="97">
        <f t="shared" si="14"/>
        <v>200</v>
      </c>
      <c r="G9" s="98"/>
      <c r="H9" s="85"/>
      <c r="I9" s="85"/>
      <c r="J9" s="85"/>
      <c r="K9" s="85"/>
      <c r="L9" s="85"/>
      <c r="M9" s="85"/>
      <c r="N9" s="85"/>
      <c r="O9" s="85"/>
      <c r="P9" s="87"/>
      <c r="Q9" s="98"/>
      <c r="R9" s="85"/>
      <c r="S9" s="85"/>
      <c r="T9" s="86"/>
      <c r="U9" s="86"/>
      <c r="V9" s="86"/>
      <c r="W9" s="86"/>
      <c r="X9" s="85"/>
      <c r="Y9" s="85"/>
      <c r="Z9" s="87"/>
      <c r="AA9" s="112"/>
      <c r="AB9" s="85"/>
      <c r="AC9" s="85"/>
      <c r="AD9" s="112"/>
      <c r="AE9" s="113"/>
      <c r="AF9" s="114"/>
      <c r="AG9" s="115"/>
      <c r="AH9" s="115"/>
      <c r="AI9" s="116"/>
      <c r="AJ9" s="112"/>
      <c r="AK9" s="113"/>
      <c r="AL9" s="112"/>
      <c r="AM9" s="113"/>
      <c r="AN9" s="100"/>
      <c r="AO9" s="101"/>
      <c r="AP9" s="102">
        <f t="shared" si="1"/>
        <v>0</v>
      </c>
      <c r="AQ9" s="103">
        <f t="shared" ref="AQ9:AQ14" si="19">IF(AN9&lt;&gt;"",AN9+$B$1,B9+$B$1-1/24)</f>
        <v>45118</v>
      </c>
      <c r="AR9" s="102">
        <f t="shared" si="15"/>
        <v>0</v>
      </c>
      <c r="AS9" s="102">
        <f t="shared" si="2"/>
        <v>0</v>
      </c>
      <c r="AT9" s="102">
        <f t="shared" si="3"/>
        <v>0</v>
      </c>
      <c r="AU9" s="103">
        <f t="shared" ref="AU9:AU14" si="20">IF(AO9&lt;&gt;"",AO9+$B$1,B9+$B$1)</f>
        <v>45118.041666666664</v>
      </c>
      <c r="AV9" s="103">
        <f t="shared" si="4"/>
        <v>2.425316891763174E-12</v>
      </c>
      <c r="AW9" s="103">
        <f t="shared" si="16"/>
        <v>4.1666666664241347E-2</v>
      </c>
      <c r="AX9" s="103">
        <f t="shared" si="5"/>
        <v>0</v>
      </c>
      <c r="AY9" s="103">
        <f t="shared" ca="1" si="6"/>
        <v>0</v>
      </c>
      <c r="AZ9" s="104">
        <f t="shared" ca="1" si="7"/>
        <v>4.1666666666666664E-2</v>
      </c>
      <c r="BA9" s="105" t="s">
        <v>57</v>
      </c>
      <c r="BB9" s="85"/>
      <c r="BC9" s="106" t="str">
        <f t="shared" si="17"/>
        <v/>
      </c>
      <c r="BD9" s="107" t="e">
        <f t="shared" si="18"/>
        <v>#DIV/0!</v>
      </c>
      <c r="BE9" s="108" t="e">
        <f t="shared" si="8"/>
        <v>#VALUE!</v>
      </c>
      <c r="BF9" s="109" t="e">
        <f t="shared" si="9"/>
        <v>#VALUE!</v>
      </c>
      <c r="BG9" s="106" t="e">
        <f t="shared" si="10"/>
        <v>#VALUE!</v>
      </c>
      <c r="BH9" s="110" t="e">
        <f t="shared" si="11"/>
        <v>#VALUE!</v>
      </c>
      <c r="BI9" s="111">
        <f t="shared" si="12"/>
        <v>0</v>
      </c>
    </row>
    <row r="10" spans="1:62" ht="15" customHeight="1" x14ac:dyDescent="0.25">
      <c r="A10" s="96">
        <f t="shared" si="13"/>
        <v>45118.083333333336</v>
      </c>
      <c r="B10" s="77">
        <v>8.3333333333333329E-2</v>
      </c>
      <c r="C10" s="78" t="s">
        <v>56</v>
      </c>
      <c r="D10" s="79"/>
      <c r="E10" s="80" t="str">
        <f t="shared" si="0"/>
        <v/>
      </c>
      <c r="F10" s="97">
        <f t="shared" si="14"/>
        <v>200</v>
      </c>
      <c r="G10" s="98"/>
      <c r="H10" s="85"/>
      <c r="I10" s="85"/>
      <c r="J10" s="85"/>
      <c r="K10" s="85"/>
      <c r="L10" s="85"/>
      <c r="M10" s="85"/>
      <c r="N10" s="85"/>
      <c r="O10" s="85"/>
      <c r="P10" s="87"/>
      <c r="Q10" s="98"/>
      <c r="R10" s="85"/>
      <c r="S10" s="85"/>
      <c r="T10" s="86"/>
      <c r="U10" s="86"/>
      <c r="V10" s="86"/>
      <c r="W10" s="86"/>
      <c r="X10" s="85"/>
      <c r="Y10" s="85"/>
      <c r="Z10" s="87"/>
      <c r="AA10" s="112"/>
      <c r="AB10" s="115"/>
      <c r="AC10" s="115"/>
      <c r="AD10" s="112"/>
      <c r="AE10" s="113"/>
      <c r="AF10" s="114"/>
      <c r="AG10" s="115"/>
      <c r="AH10" s="115"/>
      <c r="AI10" s="116"/>
      <c r="AJ10" s="112"/>
      <c r="AK10" s="113"/>
      <c r="AL10" s="112"/>
      <c r="AM10" s="113"/>
      <c r="AN10" s="100"/>
      <c r="AO10" s="101"/>
      <c r="AP10" s="102">
        <f t="shared" si="1"/>
        <v>0</v>
      </c>
      <c r="AQ10" s="103">
        <f t="shared" si="19"/>
        <v>45118.041666666672</v>
      </c>
      <c r="AR10" s="102">
        <f t="shared" si="15"/>
        <v>0</v>
      </c>
      <c r="AS10" s="102">
        <f t="shared" si="2"/>
        <v>0</v>
      </c>
      <c r="AT10" s="102">
        <f t="shared" si="3"/>
        <v>0</v>
      </c>
      <c r="AU10" s="103">
        <f t="shared" si="20"/>
        <v>45118.083333333336</v>
      </c>
      <c r="AV10" s="103">
        <f t="shared" si="4"/>
        <v>2.425316891763174E-12</v>
      </c>
      <c r="AW10" s="103">
        <f t="shared" si="16"/>
        <v>4.1666666664241347E-2</v>
      </c>
      <c r="AX10" s="103">
        <f t="shared" si="5"/>
        <v>0</v>
      </c>
      <c r="AY10" s="103">
        <f t="shared" ca="1" si="6"/>
        <v>0</v>
      </c>
      <c r="AZ10" s="104">
        <f t="shared" ca="1" si="7"/>
        <v>4.1666666666666664E-2</v>
      </c>
      <c r="BA10" s="105" t="s">
        <v>57</v>
      </c>
      <c r="BB10" s="85"/>
      <c r="BC10" s="106" t="str">
        <f t="shared" si="17"/>
        <v/>
      </c>
      <c r="BD10" s="107" t="e">
        <f t="shared" si="18"/>
        <v>#DIV/0!</v>
      </c>
      <c r="BE10" s="108" t="e">
        <f t="shared" si="8"/>
        <v>#VALUE!</v>
      </c>
      <c r="BF10" s="109" t="e">
        <f t="shared" si="9"/>
        <v>#VALUE!</v>
      </c>
      <c r="BG10" s="106" t="e">
        <f t="shared" si="10"/>
        <v>#VALUE!</v>
      </c>
      <c r="BH10" s="110" t="e">
        <f t="shared" si="11"/>
        <v>#VALUE!</v>
      </c>
      <c r="BI10" s="111">
        <f t="shared" si="12"/>
        <v>0</v>
      </c>
    </row>
    <row r="11" spans="1:62" ht="15" customHeight="1" x14ac:dyDescent="0.25">
      <c r="A11" s="96">
        <f t="shared" si="13"/>
        <v>45118.125</v>
      </c>
      <c r="B11" s="77">
        <v>0.125</v>
      </c>
      <c r="C11" s="78" t="s">
        <v>56</v>
      </c>
      <c r="D11" s="79"/>
      <c r="E11" s="80" t="str">
        <f t="shared" si="0"/>
        <v/>
      </c>
      <c r="F11" s="97">
        <f t="shared" si="14"/>
        <v>200</v>
      </c>
      <c r="G11" s="98"/>
      <c r="H11" s="85"/>
      <c r="I11" s="85"/>
      <c r="J11" s="85"/>
      <c r="K11" s="85"/>
      <c r="L11" s="85"/>
      <c r="M11" s="85"/>
      <c r="N11" s="85"/>
      <c r="O11" s="85"/>
      <c r="P11" s="87"/>
      <c r="Q11" s="98"/>
      <c r="R11" s="85"/>
      <c r="S11" s="85"/>
      <c r="T11" s="86"/>
      <c r="U11" s="86"/>
      <c r="V11" s="86"/>
      <c r="W11" s="86"/>
      <c r="X11" s="85"/>
      <c r="Y11" s="85"/>
      <c r="Z11" s="87"/>
      <c r="AA11" s="112"/>
      <c r="AB11" s="115"/>
      <c r="AC11" s="115"/>
      <c r="AD11" s="112"/>
      <c r="AE11" s="113"/>
      <c r="AF11" s="114"/>
      <c r="AG11" s="115"/>
      <c r="AH11" s="115"/>
      <c r="AI11" s="116"/>
      <c r="AJ11" s="112"/>
      <c r="AK11" s="113"/>
      <c r="AL11" s="112"/>
      <c r="AM11" s="113"/>
      <c r="AN11" s="100"/>
      <c r="AO11" s="101"/>
      <c r="AP11" s="102">
        <f t="shared" si="1"/>
        <v>0</v>
      </c>
      <c r="AQ11" s="103">
        <f t="shared" si="19"/>
        <v>45118.083333333336</v>
      </c>
      <c r="AR11" s="102">
        <f t="shared" si="15"/>
        <v>0</v>
      </c>
      <c r="AS11" s="102">
        <f t="shared" si="2"/>
        <v>0</v>
      </c>
      <c r="AT11" s="102">
        <f t="shared" si="3"/>
        <v>0</v>
      </c>
      <c r="AU11" s="103">
        <f t="shared" si="20"/>
        <v>45118.125</v>
      </c>
      <c r="AV11" s="103">
        <f t="shared" si="4"/>
        <v>2.425316891763174E-12</v>
      </c>
      <c r="AW11" s="103">
        <f t="shared" si="16"/>
        <v>4.1666666664241347E-2</v>
      </c>
      <c r="AX11" s="103">
        <f t="shared" si="5"/>
        <v>0</v>
      </c>
      <c r="AY11" s="103">
        <f t="shared" ca="1" si="6"/>
        <v>0</v>
      </c>
      <c r="AZ11" s="104">
        <f t="shared" ca="1" si="7"/>
        <v>4.1666666666666664E-2</v>
      </c>
      <c r="BA11" s="105" t="s">
        <v>57</v>
      </c>
      <c r="BB11" s="85"/>
      <c r="BC11" s="106" t="str">
        <f t="shared" si="17"/>
        <v/>
      </c>
      <c r="BD11" s="107" t="e">
        <f t="shared" si="18"/>
        <v>#DIV/0!</v>
      </c>
      <c r="BE11" s="108" t="e">
        <f t="shared" si="8"/>
        <v>#VALUE!</v>
      </c>
      <c r="BF11" s="109" t="e">
        <f t="shared" si="9"/>
        <v>#VALUE!</v>
      </c>
      <c r="BG11" s="106" t="e">
        <f t="shared" si="10"/>
        <v>#VALUE!</v>
      </c>
      <c r="BH11" s="110" t="e">
        <f t="shared" si="11"/>
        <v>#VALUE!</v>
      </c>
      <c r="BI11" s="111">
        <f t="shared" si="12"/>
        <v>0</v>
      </c>
    </row>
    <row r="12" spans="1:62" ht="14.45" customHeight="1" x14ac:dyDescent="0.25">
      <c r="A12" s="96">
        <f t="shared" si="13"/>
        <v>45118.166666666664</v>
      </c>
      <c r="B12" s="77">
        <v>0.16666666666666666</v>
      </c>
      <c r="C12" s="78" t="s">
        <v>56</v>
      </c>
      <c r="D12" s="79"/>
      <c r="E12" s="80" t="str">
        <f t="shared" si="0"/>
        <v/>
      </c>
      <c r="F12" s="97">
        <f t="shared" si="14"/>
        <v>200</v>
      </c>
      <c r="G12" s="98"/>
      <c r="H12" s="85"/>
      <c r="I12" s="85"/>
      <c r="J12" s="85"/>
      <c r="K12" s="85"/>
      <c r="L12" s="85"/>
      <c r="M12" s="85"/>
      <c r="N12" s="85"/>
      <c r="O12" s="85"/>
      <c r="P12" s="87"/>
      <c r="Q12" s="98"/>
      <c r="R12" s="85"/>
      <c r="S12" s="86"/>
      <c r="T12" s="86"/>
      <c r="U12" s="86"/>
      <c r="V12" s="86"/>
      <c r="W12" s="86"/>
      <c r="X12" s="85"/>
      <c r="Y12" s="85"/>
      <c r="Z12" s="87"/>
      <c r="AA12" s="112"/>
      <c r="AB12" s="115"/>
      <c r="AC12" s="115"/>
      <c r="AD12" s="112"/>
      <c r="AE12" s="113"/>
      <c r="AF12" s="114"/>
      <c r="AG12" s="115"/>
      <c r="AH12" s="115"/>
      <c r="AI12" s="116"/>
      <c r="AJ12" s="112"/>
      <c r="AK12" s="113"/>
      <c r="AL12" s="112"/>
      <c r="AM12" s="113"/>
      <c r="AN12" s="100"/>
      <c r="AO12" s="101"/>
      <c r="AP12" s="102">
        <f t="shared" si="1"/>
        <v>0</v>
      </c>
      <c r="AQ12" s="103">
        <f t="shared" si="19"/>
        <v>45118.125</v>
      </c>
      <c r="AR12" s="102">
        <f t="shared" si="15"/>
        <v>0</v>
      </c>
      <c r="AS12" s="102">
        <f t="shared" si="2"/>
        <v>0</v>
      </c>
      <c r="AT12" s="102">
        <f t="shared" si="3"/>
        <v>0</v>
      </c>
      <c r="AU12" s="103">
        <f t="shared" si="20"/>
        <v>45118.166666666664</v>
      </c>
      <c r="AV12" s="103">
        <f t="shared" si="4"/>
        <v>2.425316891763174E-12</v>
      </c>
      <c r="AW12" s="103">
        <f t="shared" si="16"/>
        <v>4.1666666664241347E-2</v>
      </c>
      <c r="AX12" s="103">
        <f t="shared" si="5"/>
        <v>0</v>
      </c>
      <c r="AY12" s="103">
        <f t="shared" ca="1" si="6"/>
        <v>0</v>
      </c>
      <c r="AZ12" s="104">
        <f t="shared" ca="1" si="7"/>
        <v>4.1666666666666664E-2</v>
      </c>
      <c r="BA12" s="105" t="s">
        <v>57</v>
      </c>
      <c r="BB12" s="85"/>
      <c r="BC12" s="106" t="str">
        <f t="shared" si="17"/>
        <v/>
      </c>
      <c r="BD12" s="107" t="e">
        <f t="shared" si="18"/>
        <v>#DIV/0!</v>
      </c>
      <c r="BE12" s="108" t="e">
        <f t="shared" si="8"/>
        <v>#VALUE!</v>
      </c>
      <c r="BF12" s="109" t="e">
        <f t="shared" si="9"/>
        <v>#VALUE!</v>
      </c>
      <c r="BG12" s="106" t="e">
        <f t="shared" si="10"/>
        <v>#VALUE!</v>
      </c>
      <c r="BH12" s="110" t="e">
        <f t="shared" si="11"/>
        <v>#VALUE!</v>
      </c>
      <c r="BI12" s="111">
        <f t="shared" si="12"/>
        <v>0</v>
      </c>
    </row>
    <row r="13" spans="1:62" ht="15" customHeight="1" x14ac:dyDescent="0.25">
      <c r="A13" s="96">
        <f t="shared" si="13"/>
        <v>45118.208333333336</v>
      </c>
      <c r="B13" s="77">
        <v>0.20833333333333334</v>
      </c>
      <c r="C13" s="78" t="s">
        <v>56</v>
      </c>
      <c r="D13" s="79"/>
      <c r="E13" s="80" t="str">
        <f t="shared" si="0"/>
        <v/>
      </c>
      <c r="F13" s="97">
        <f t="shared" si="14"/>
        <v>200</v>
      </c>
      <c r="G13" s="98"/>
      <c r="H13" s="85"/>
      <c r="I13" s="85"/>
      <c r="J13" s="85"/>
      <c r="K13" s="85"/>
      <c r="L13" s="85"/>
      <c r="M13" s="85"/>
      <c r="N13" s="85"/>
      <c r="O13" s="85"/>
      <c r="P13" s="87"/>
      <c r="Q13" s="98"/>
      <c r="R13" s="85"/>
      <c r="S13" s="86"/>
      <c r="T13" s="86"/>
      <c r="U13" s="86"/>
      <c r="V13" s="86"/>
      <c r="W13" s="86"/>
      <c r="X13" s="85"/>
      <c r="Y13" s="85"/>
      <c r="Z13" s="87"/>
      <c r="AA13" s="82"/>
      <c r="AB13" s="115"/>
      <c r="AC13" s="115"/>
      <c r="AD13" s="112"/>
      <c r="AE13" s="113"/>
      <c r="AF13" s="114"/>
      <c r="AG13" s="115"/>
      <c r="AH13" s="115"/>
      <c r="AI13" s="116"/>
      <c r="AJ13" s="112"/>
      <c r="AK13" s="113"/>
      <c r="AL13" s="112"/>
      <c r="AM13" s="113"/>
      <c r="AN13" s="100"/>
      <c r="AO13" s="101"/>
      <c r="AP13" s="102">
        <f t="shared" si="1"/>
        <v>0</v>
      </c>
      <c r="AQ13" s="103">
        <f t="shared" si="19"/>
        <v>45118.166666666672</v>
      </c>
      <c r="AR13" s="102">
        <f t="shared" si="15"/>
        <v>0</v>
      </c>
      <c r="AS13" s="102">
        <f t="shared" si="2"/>
        <v>0</v>
      </c>
      <c r="AT13" s="102">
        <f t="shared" si="3"/>
        <v>0</v>
      </c>
      <c r="AU13" s="103">
        <f t="shared" si="20"/>
        <v>45118.208333333336</v>
      </c>
      <c r="AV13" s="103">
        <f t="shared" si="4"/>
        <v>2.425316891763174E-12</v>
      </c>
      <c r="AW13" s="103">
        <f t="shared" si="16"/>
        <v>4.1666666664241347E-2</v>
      </c>
      <c r="AX13" s="103">
        <f t="shared" si="5"/>
        <v>0</v>
      </c>
      <c r="AY13" s="103">
        <f t="shared" ca="1" si="6"/>
        <v>0</v>
      </c>
      <c r="AZ13" s="104">
        <f t="shared" ca="1" si="7"/>
        <v>4.1666666666666664E-2</v>
      </c>
      <c r="BA13" s="105" t="s">
        <v>57</v>
      </c>
      <c r="BB13" s="85"/>
      <c r="BC13" s="106" t="str">
        <f t="shared" si="17"/>
        <v/>
      </c>
      <c r="BD13" s="107" t="e">
        <f t="shared" si="18"/>
        <v>#DIV/0!</v>
      </c>
      <c r="BE13" s="108" t="e">
        <f t="shared" si="8"/>
        <v>#VALUE!</v>
      </c>
      <c r="BF13" s="109" t="e">
        <f t="shared" si="9"/>
        <v>#VALUE!</v>
      </c>
      <c r="BG13" s="106" t="e">
        <f t="shared" si="10"/>
        <v>#VALUE!</v>
      </c>
      <c r="BH13" s="110" t="e">
        <f t="shared" si="11"/>
        <v>#VALUE!</v>
      </c>
      <c r="BI13" s="111">
        <f t="shared" si="12"/>
        <v>0</v>
      </c>
    </row>
    <row r="14" spans="1:62" ht="15" x14ac:dyDescent="0.25">
      <c r="A14" s="96">
        <f t="shared" si="13"/>
        <v>45118.25</v>
      </c>
      <c r="B14" s="77">
        <v>0.25</v>
      </c>
      <c r="C14" s="78" t="s">
        <v>56</v>
      </c>
      <c r="D14" s="79"/>
      <c r="E14" s="80" t="str">
        <f t="shared" si="0"/>
        <v/>
      </c>
      <c r="F14" s="117">
        <f t="shared" si="14"/>
        <v>200</v>
      </c>
      <c r="G14" s="98"/>
      <c r="H14" s="85"/>
      <c r="I14" s="85"/>
      <c r="J14" s="85"/>
      <c r="K14" s="85"/>
      <c r="L14" s="85"/>
      <c r="M14" s="85"/>
      <c r="N14" s="85"/>
      <c r="O14" s="85"/>
      <c r="P14" s="87"/>
      <c r="Q14" s="118"/>
      <c r="R14" s="85"/>
      <c r="S14" s="86"/>
      <c r="T14" s="86"/>
      <c r="U14" s="86"/>
      <c r="V14" s="86"/>
      <c r="W14" s="86"/>
      <c r="X14" s="85"/>
      <c r="Y14" s="85"/>
      <c r="Z14" s="87"/>
      <c r="AA14" s="112"/>
      <c r="AB14" s="85"/>
      <c r="AC14" s="85"/>
      <c r="AD14" s="98"/>
      <c r="AE14" s="87"/>
      <c r="AF14" s="99"/>
      <c r="AG14" s="85"/>
      <c r="AH14" s="85"/>
      <c r="AI14" s="86"/>
      <c r="AJ14" s="98"/>
      <c r="AK14" s="87"/>
      <c r="AL14" s="98"/>
      <c r="AM14" s="87"/>
      <c r="AN14" s="119"/>
      <c r="AO14" s="101"/>
      <c r="AP14" s="102">
        <f>AT14</f>
        <v>0</v>
      </c>
      <c r="AQ14" s="103">
        <f t="shared" si="19"/>
        <v>45118.208333333336</v>
      </c>
      <c r="AR14" s="102">
        <f t="shared" si="15"/>
        <v>0</v>
      </c>
      <c r="AS14" s="102">
        <f t="shared" si="2"/>
        <v>0</v>
      </c>
      <c r="AT14" s="102">
        <f t="shared" si="3"/>
        <v>0</v>
      </c>
      <c r="AU14" s="103">
        <f t="shared" si="20"/>
        <v>45118.25</v>
      </c>
      <c r="AV14" s="103">
        <f t="shared" si="4"/>
        <v>2.425316891763174E-12</v>
      </c>
      <c r="AW14" s="103">
        <f>AU14-AQ14</f>
        <v>4.1666666664241347E-2</v>
      </c>
      <c r="AX14" s="103">
        <f t="shared" si="5"/>
        <v>0</v>
      </c>
      <c r="AY14" s="103">
        <f t="shared" ca="1" si="6"/>
        <v>0</v>
      </c>
      <c r="AZ14" s="104">
        <f t="shared" ca="1" si="7"/>
        <v>4.1666666666666664E-2</v>
      </c>
      <c r="BA14" s="105" t="s">
        <v>57</v>
      </c>
      <c r="BB14" s="85"/>
      <c r="BC14" s="106" t="str">
        <f t="shared" si="17"/>
        <v/>
      </c>
      <c r="BD14" s="107" t="e">
        <f t="shared" si="18"/>
        <v>#DIV/0!</v>
      </c>
      <c r="BE14" s="108" t="e">
        <f t="shared" si="8"/>
        <v>#VALUE!</v>
      </c>
      <c r="BF14" s="109" t="e">
        <f t="shared" si="9"/>
        <v>#VALUE!</v>
      </c>
      <c r="BG14" s="106" t="e">
        <f t="shared" si="10"/>
        <v>#VALUE!</v>
      </c>
      <c r="BH14" s="110" t="e">
        <f t="shared" si="11"/>
        <v>#VALUE!</v>
      </c>
      <c r="BI14" s="111">
        <f t="shared" si="12"/>
        <v>0</v>
      </c>
    </row>
    <row r="15" spans="1:62" ht="15" x14ac:dyDescent="0.25">
      <c r="A15" s="96"/>
      <c r="B15" s="120" t="s">
        <v>58</v>
      </c>
      <c r="C15" s="78" t="s">
        <v>56</v>
      </c>
      <c r="D15" s="7"/>
      <c r="E15" s="121">
        <f>+SUM(E7:E14)</f>
        <v>0</v>
      </c>
      <c r="F15" s="122">
        <f t="shared" si="14"/>
        <v>200</v>
      </c>
      <c r="G15" s="123" t="str">
        <f>IFERROR(AVERAGE(G7:G14),"")</f>
        <v/>
      </c>
      <c r="H15" s="124" t="str">
        <f>IFERROR(AVERAGE(H7:H14),"")</f>
        <v/>
      </c>
      <c r="I15" s="124" t="str">
        <f>IFERROR(AVERAGE(I7:I14),"")</f>
        <v/>
      </c>
      <c r="J15" s="124" t="str">
        <f>IFERROR(AVERAGE(J7:J14),"")</f>
        <v/>
      </c>
      <c r="K15" s="124" t="str">
        <f>IFERROR(AVERAGE(K7:K14),"")</f>
        <v/>
      </c>
      <c r="L15" s="125">
        <f>IF(L14=0,SUM(M7:M14),L14-L6)</f>
        <v>0</v>
      </c>
      <c r="M15" s="121" t="str">
        <f>IFERROR(L15/24/AY15,"")</f>
        <v/>
      </c>
      <c r="N15" s="126" t="str">
        <f>IFERROR(AVERAGE(N7:N14),"")</f>
        <v/>
      </c>
      <c r="O15" s="126"/>
      <c r="P15" s="127"/>
      <c r="Q15" s="128"/>
      <c r="R15" s="126"/>
      <c r="S15" s="126"/>
      <c r="T15" s="129"/>
      <c r="U15" s="129"/>
      <c r="V15" s="129"/>
      <c r="W15" s="129"/>
      <c r="X15" s="129"/>
      <c r="Y15" s="129"/>
      <c r="Z15" s="127"/>
      <c r="AA15" s="128" t="str">
        <f t="shared" ref="AA15:AI15" si="21">IFERROR(AVERAGE(AA7:AA14),"")</f>
        <v/>
      </c>
      <c r="AB15" s="126" t="str">
        <f t="shared" si="21"/>
        <v/>
      </c>
      <c r="AC15" s="126" t="str">
        <f t="shared" si="21"/>
        <v/>
      </c>
      <c r="AD15" s="128" t="str">
        <f t="shared" si="21"/>
        <v/>
      </c>
      <c r="AE15" s="127"/>
      <c r="AF15" s="130"/>
      <c r="AG15" s="126"/>
      <c r="AH15" s="126" t="str">
        <f t="shared" si="21"/>
        <v/>
      </c>
      <c r="AI15" s="129" t="str">
        <f t="shared" si="21"/>
        <v/>
      </c>
      <c r="AJ15" s="128"/>
      <c r="AK15" s="127"/>
      <c r="AL15" s="128"/>
      <c r="AM15" s="127"/>
      <c r="AN15" s="131"/>
      <c r="AO15" s="132"/>
      <c r="AP15" s="120">
        <f>AP14</f>
        <v>0</v>
      </c>
      <c r="AQ15" s="120"/>
      <c r="AR15" s="120"/>
      <c r="AS15" s="120"/>
      <c r="AT15" s="120"/>
      <c r="AU15" s="120"/>
      <c r="AV15" s="120"/>
      <c r="AW15" s="120"/>
      <c r="AX15" s="120"/>
      <c r="AY15" s="133"/>
      <c r="AZ15" s="133"/>
      <c r="BA15" s="132"/>
      <c r="BB15" s="125">
        <f>SUM(BB7:BB14)</f>
        <v>0</v>
      </c>
      <c r="BC15" s="106"/>
      <c r="BD15" s="107"/>
      <c r="BE15" s="108"/>
      <c r="BF15" s="109"/>
      <c r="BG15" s="106"/>
      <c r="BH15" s="110"/>
      <c r="BI15" s="111"/>
    </row>
    <row r="16" spans="1:62" ht="13.15" customHeight="1" x14ac:dyDescent="0.25">
      <c r="A16" s="96">
        <f t="shared" si="13"/>
        <v>45118.291666666664</v>
      </c>
      <c r="B16" s="77">
        <v>0.29166666666666669</v>
      </c>
      <c r="C16" s="78" t="s">
        <v>56</v>
      </c>
      <c r="D16" s="79"/>
      <c r="E16" s="80" t="str">
        <f t="shared" ref="E16:E18" si="22">IF(D16&gt;0,D16-D15,"")</f>
        <v/>
      </c>
      <c r="F16" s="97">
        <f t="shared" si="14"/>
        <v>200</v>
      </c>
      <c r="G16" s="85"/>
      <c r="H16" s="85"/>
      <c r="I16" s="85"/>
      <c r="J16" s="85"/>
      <c r="L16" s="85"/>
      <c r="M16" s="85"/>
      <c r="N16" s="85"/>
      <c r="O16" s="87"/>
      <c r="P16" s="98"/>
      <c r="Q16" s="85"/>
      <c r="R16" s="85"/>
      <c r="S16" s="85"/>
      <c r="T16" s="86"/>
      <c r="U16" s="86"/>
      <c r="V16" s="86"/>
      <c r="W16" s="85"/>
      <c r="X16" s="85"/>
      <c r="Y16" s="87"/>
      <c r="Z16" s="98"/>
      <c r="AA16" s="98"/>
      <c r="AB16" s="85"/>
      <c r="AC16" s="85"/>
      <c r="AD16" s="98"/>
      <c r="AE16" s="87"/>
      <c r="AF16" s="99"/>
      <c r="AG16" s="85"/>
      <c r="AH16" s="85"/>
      <c r="AI16" s="86"/>
      <c r="AJ16" s="98"/>
      <c r="AK16" s="87"/>
      <c r="AL16" s="98"/>
      <c r="AM16" s="87"/>
      <c r="AN16" s="100">
        <v>0.25</v>
      </c>
      <c r="AO16" s="101">
        <v>0.29166666666666669</v>
      </c>
      <c r="AP16" s="102">
        <f t="shared" ref="AP16:AP22" si="23">AT16</f>
        <v>1</v>
      </c>
      <c r="AQ16" s="103">
        <f>IF(AN16&lt;&gt;"",AN16+$B$1-1,B16+$B$1-1)</f>
        <v>45117.25</v>
      </c>
      <c r="AR16" s="102">
        <f>AP15</f>
        <v>0</v>
      </c>
      <c r="AS16" s="102">
        <f t="shared" ref="AS16:AS23" si="24">IF(AN16="",AR16,0)</f>
        <v>0</v>
      </c>
      <c r="AT16" s="102">
        <f t="shared" ref="AT16:AT23" si="25">IF(AO16&lt;&gt;"",1,AS16)</f>
        <v>1</v>
      </c>
      <c r="AU16" s="103">
        <f>IF(AO16&lt;&gt;"",AO16+$B$1-1,B16+$B$1-1)</f>
        <v>45117.291666666664</v>
      </c>
      <c r="AV16" s="103">
        <f t="shared" ref="AV16:AV23" si="26">AQ16-A16+1/24</f>
        <v>-0.99999999999757472</v>
      </c>
      <c r="AW16" s="103">
        <f>AU16-AQ16</f>
        <v>4.1666666664241347E-2</v>
      </c>
      <c r="AX16" s="103">
        <f t="shared" ref="AX16:AX23" si="27">A16-AU16</f>
        <v>1</v>
      </c>
      <c r="AY16" s="103">
        <f>1/24-AZ16</f>
        <v>0</v>
      </c>
      <c r="AZ16" s="104">
        <f t="shared" ref="AZ16:AZ18" si="28">+AO16-AN16</f>
        <v>4.1666666666666685E-2</v>
      </c>
      <c r="BA16" s="105" t="s">
        <v>109</v>
      </c>
      <c r="BB16" s="85"/>
      <c r="BC16" s="106" t="str">
        <f t="shared" ref="BC16:BC23" si="29">IF(M16&gt;1,+M16*N16,"")</f>
        <v/>
      </c>
      <c r="BD16" s="107" t="e">
        <f t="shared" ref="BD16:BD23" si="30">IF(BC16&gt;0,+$BF$2*(N16-1)/N16/($BF$2-1),"")</f>
        <v>#DIV/0!</v>
      </c>
      <c r="BE16" s="108" t="e">
        <f t="shared" si="8"/>
        <v>#VALUE!</v>
      </c>
      <c r="BF16" s="109" t="e">
        <f t="shared" ref="BF16:BF23" si="31">+BE16/E16</f>
        <v>#VALUE!</v>
      </c>
      <c r="BG16" s="106" t="e">
        <f t="shared" si="10"/>
        <v>#VALUE!</v>
      </c>
      <c r="BH16" s="110" t="e">
        <f t="shared" ref="BH16:BH23" si="32">+BG16/E16</f>
        <v>#VALUE!</v>
      </c>
      <c r="BI16" s="111">
        <f t="shared" ref="BI16:BI23" si="33">+M16/3600/$BH$2</f>
        <v>0</v>
      </c>
    </row>
    <row r="17" spans="1:61" ht="15" x14ac:dyDescent="0.25">
      <c r="A17" s="96">
        <f t="shared" si="13"/>
        <v>45118.333333333336</v>
      </c>
      <c r="B17" s="77">
        <v>0.33333333333333331</v>
      </c>
      <c r="C17" s="78" t="s">
        <v>56</v>
      </c>
      <c r="D17" s="79"/>
      <c r="E17" s="80" t="str">
        <f t="shared" si="22"/>
        <v/>
      </c>
      <c r="F17" s="97">
        <f t="shared" si="14"/>
        <v>200</v>
      </c>
      <c r="G17" s="85"/>
      <c r="H17" s="85"/>
      <c r="I17" s="85"/>
      <c r="J17" s="85"/>
      <c r="L17" s="85"/>
      <c r="M17" s="85"/>
      <c r="N17" s="85"/>
      <c r="O17" s="87"/>
      <c r="P17" s="98"/>
      <c r="Q17" s="85"/>
      <c r="R17" s="85"/>
      <c r="S17" s="86"/>
      <c r="T17" s="86"/>
      <c r="U17" s="86"/>
      <c r="V17" s="86"/>
      <c r="W17" s="85"/>
      <c r="X17" s="85"/>
      <c r="Y17" s="87"/>
      <c r="Z17" s="98"/>
      <c r="AA17" s="85"/>
      <c r="AB17" s="85"/>
      <c r="AC17" s="98"/>
      <c r="AD17" s="87"/>
      <c r="AE17" s="99"/>
      <c r="AF17" s="85"/>
      <c r="AG17" s="85"/>
      <c r="AH17" s="86"/>
      <c r="AI17" s="86"/>
      <c r="AJ17" s="98"/>
      <c r="AK17" s="87"/>
      <c r="AL17" s="98"/>
      <c r="AM17" s="87"/>
      <c r="AN17" s="100">
        <v>0.29166666666666669</v>
      </c>
      <c r="AO17" s="101">
        <v>0.30555555555555552</v>
      </c>
      <c r="AP17" s="102">
        <f t="shared" si="23"/>
        <v>1</v>
      </c>
      <c r="AQ17" s="103">
        <f>IF(AN17&lt;&gt;"",AN17+$B$1-1,B17+$B$1-1/24)</f>
        <v>45117.291666666664</v>
      </c>
      <c r="AR17" s="102">
        <f t="shared" ref="AR17:AR23" si="34">AP16</f>
        <v>1</v>
      </c>
      <c r="AS17" s="102">
        <f t="shared" si="24"/>
        <v>0</v>
      </c>
      <c r="AT17" s="102">
        <f t="shared" si="25"/>
        <v>1</v>
      </c>
      <c r="AU17" s="103">
        <f>IF(AO17&lt;&gt;"",AO17+$B$1-1,B17+$B$1)</f>
        <v>45117.305555555555</v>
      </c>
      <c r="AV17" s="103">
        <f t="shared" si="26"/>
        <v>-1.0000000000048506</v>
      </c>
      <c r="AW17" s="103">
        <f t="shared" ref="AW17:AW22" si="35">AU17-AQ17</f>
        <v>1.3888888890505768E-2</v>
      </c>
      <c r="AX17" s="103">
        <f t="shared" si="27"/>
        <v>1.0277777777810115</v>
      </c>
      <c r="AY17" s="103">
        <f t="shared" ref="AY17:AY19" si="36">1/24-AZ17</f>
        <v>2.7777777777777825E-2</v>
      </c>
      <c r="AZ17" s="104">
        <f t="shared" si="28"/>
        <v>1.388888888888884E-2</v>
      </c>
      <c r="BA17" s="105" t="s">
        <v>111</v>
      </c>
      <c r="BB17" s="134"/>
      <c r="BC17" s="106" t="str">
        <f t="shared" si="29"/>
        <v/>
      </c>
      <c r="BD17" s="107" t="e">
        <f t="shared" si="30"/>
        <v>#DIV/0!</v>
      </c>
      <c r="BE17" s="108" t="e">
        <f t="shared" si="8"/>
        <v>#VALUE!</v>
      </c>
      <c r="BF17" s="109" t="e">
        <f t="shared" si="31"/>
        <v>#VALUE!</v>
      </c>
      <c r="BG17" s="106" t="e">
        <f t="shared" si="10"/>
        <v>#VALUE!</v>
      </c>
      <c r="BH17" s="110" t="e">
        <f t="shared" si="32"/>
        <v>#VALUE!</v>
      </c>
      <c r="BI17" s="111">
        <f t="shared" si="33"/>
        <v>0</v>
      </c>
    </row>
    <row r="18" spans="1:61" ht="15" x14ac:dyDescent="0.25">
      <c r="A18" s="96" t="s">
        <v>106</v>
      </c>
      <c r="B18" s="77">
        <v>0.375</v>
      </c>
      <c r="C18" s="78" t="s">
        <v>56</v>
      </c>
      <c r="D18" s="79"/>
      <c r="E18" s="80" t="str">
        <f t="shared" si="22"/>
        <v/>
      </c>
      <c r="F18" s="97">
        <f t="shared" si="14"/>
        <v>200</v>
      </c>
      <c r="G18" s="85"/>
      <c r="H18" s="85"/>
      <c r="I18" s="85"/>
      <c r="J18" s="85"/>
      <c r="K18" s="85"/>
      <c r="L18" s="85"/>
      <c r="M18" s="85"/>
      <c r="N18" s="85"/>
      <c r="O18" s="87"/>
      <c r="P18" s="98"/>
      <c r="Q18" s="85"/>
      <c r="R18" s="85"/>
      <c r="S18" s="86"/>
      <c r="T18" s="86"/>
      <c r="U18" s="86"/>
      <c r="V18" s="86"/>
      <c r="W18" s="85"/>
      <c r="X18" s="85"/>
      <c r="Y18" s="87"/>
      <c r="Z18" s="98"/>
      <c r="AA18" s="85"/>
      <c r="AB18" s="85"/>
      <c r="AC18" s="98"/>
      <c r="AD18" s="87"/>
      <c r="AE18" s="99"/>
      <c r="AF18" s="85"/>
      <c r="AG18" s="85"/>
      <c r="AH18" s="86"/>
      <c r="AI18" s="86"/>
      <c r="AJ18" s="98"/>
      <c r="AK18" s="87"/>
      <c r="AL18" s="98"/>
      <c r="AM18" s="87"/>
      <c r="AN18" s="100">
        <v>0.35069444444444442</v>
      </c>
      <c r="AO18" s="101">
        <v>0.36458333333333331</v>
      </c>
      <c r="AP18" s="102">
        <f t="shared" si="23"/>
        <v>1</v>
      </c>
      <c r="AQ18" s="103">
        <f t="shared" ref="AQ18:AQ23" si="37">IF(AN18&lt;&gt;"",AN18+$B$1,B18+$B$1-1/24)</f>
        <v>45118.350694444445</v>
      </c>
      <c r="AR18" s="102">
        <f t="shared" si="34"/>
        <v>1</v>
      </c>
      <c r="AS18" s="102">
        <f t="shared" si="24"/>
        <v>0</v>
      </c>
      <c r="AT18" s="102">
        <f t="shared" si="25"/>
        <v>1</v>
      </c>
      <c r="AU18" s="103">
        <f t="shared" ref="AU18:AU23" si="38">IF(AO18&lt;&gt;"",AO18+$B$1,B18+$B$1)</f>
        <v>45118.364583333336</v>
      </c>
      <c r="AV18" s="103" t="e">
        <f t="shared" si="26"/>
        <v>#VALUE!</v>
      </c>
      <c r="AW18" s="103">
        <f t="shared" si="35"/>
        <v>1.3888888890505768E-2</v>
      </c>
      <c r="AX18" s="103" t="e">
        <f t="shared" si="27"/>
        <v>#VALUE!</v>
      </c>
      <c r="AY18" s="103">
        <f t="shared" si="36"/>
        <v>2.7777777777777769E-2</v>
      </c>
      <c r="AZ18" s="104">
        <f t="shared" si="28"/>
        <v>1.3888888888888895E-2</v>
      </c>
      <c r="BA18" s="105" t="s">
        <v>113</v>
      </c>
      <c r="BB18" s="85"/>
      <c r="BC18" s="106" t="str">
        <f t="shared" si="29"/>
        <v/>
      </c>
      <c r="BD18" s="107" t="e">
        <f t="shared" si="30"/>
        <v>#DIV/0!</v>
      </c>
      <c r="BE18" s="108" t="e">
        <f t="shared" si="8"/>
        <v>#VALUE!</v>
      </c>
      <c r="BF18" s="109" t="e">
        <f t="shared" si="31"/>
        <v>#VALUE!</v>
      </c>
      <c r="BG18" s="106" t="e">
        <f t="shared" si="10"/>
        <v>#VALUE!</v>
      </c>
      <c r="BH18" s="110" t="e">
        <f t="shared" si="32"/>
        <v>#VALUE!</v>
      </c>
      <c r="BI18" s="111">
        <f t="shared" si="33"/>
        <v>0</v>
      </c>
    </row>
    <row r="19" spans="1:61" ht="15.75" customHeight="1" x14ac:dyDescent="0.25">
      <c r="A19" s="96">
        <f t="shared" si="13"/>
        <v>45118.416666666664</v>
      </c>
      <c r="B19" s="77">
        <v>0.41666666666666702</v>
      </c>
      <c r="C19" s="78" t="s">
        <v>56</v>
      </c>
      <c r="D19" s="79"/>
      <c r="E19" s="80" t="str">
        <f>IF(D19&gt;0,D19-D18,"")</f>
        <v/>
      </c>
      <c r="F19" s="97">
        <f t="shared" si="14"/>
        <v>200</v>
      </c>
      <c r="G19" s="85"/>
      <c r="H19" s="85"/>
      <c r="I19" s="85"/>
      <c r="J19" s="85"/>
      <c r="K19" s="85"/>
      <c r="L19" s="85"/>
      <c r="M19" s="85"/>
      <c r="N19" s="85"/>
      <c r="O19" s="87"/>
      <c r="P19" s="98"/>
      <c r="Q19" s="85"/>
      <c r="R19" s="85"/>
      <c r="S19" s="86"/>
      <c r="T19" s="86"/>
      <c r="U19" s="86"/>
      <c r="V19" s="86"/>
      <c r="W19" s="85"/>
      <c r="X19" s="85"/>
      <c r="Y19" s="87"/>
      <c r="Z19" s="98"/>
      <c r="AA19" s="85"/>
      <c r="AB19" s="85"/>
      <c r="AC19" s="98"/>
      <c r="AD19" s="87"/>
      <c r="AE19" s="99"/>
      <c r="AF19" s="85"/>
      <c r="AG19" s="85"/>
      <c r="AH19" s="86"/>
      <c r="AI19" s="86"/>
      <c r="AJ19" s="98"/>
      <c r="AK19" s="87"/>
      <c r="AL19" s="98"/>
      <c r="AM19" s="87"/>
      <c r="AN19" s="100">
        <v>0.39930555555555558</v>
      </c>
      <c r="AO19" s="101">
        <v>0.40277777777777773</v>
      </c>
      <c r="AP19" s="102">
        <f t="shared" si="23"/>
        <v>1</v>
      </c>
      <c r="AQ19" s="103">
        <f t="shared" si="37"/>
        <v>45118.399305555555</v>
      </c>
      <c r="AR19" s="102">
        <f t="shared" si="34"/>
        <v>1</v>
      </c>
      <c r="AS19" s="102">
        <f t="shared" si="24"/>
        <v>0</v>
      </c>
      <c r="AT19" s="102">
        <f t="shared" si="25"/>
        <v>1</v>
      </c>
      <c r="AU19" s="103">
        <f t="shared" si="38"/>
        <v>45118.402777777781</v>
      </c>
      <c r="AV19" s="103">
        <f t="shared" si="26"/>
        <v>2.4305555557172433E-2</v>
      </c>
      <c r="AW19" s="103">
        <f t="shared" si="35"/>
        <v>3.4722222262644209E-3</v>
      </c>
      <c r="AX19" s="103">
        <f t="shared" si="27"/>
        <v>1.3888888883229811E-2</v>
      </c>
      <c r="AY19" s="103">
        <f t="shared" si="36"/>
        <v>3.819444444444451E-2</v>
      </c>
      <c r="AZ19" s="104">
        <f>+AO19-AN19</f>
        <v>3.4722222222221544E-3</v>
      </c>
      <c r="BA19" s="105" t="s">
        <v>114</v>
      </c>
      <c r="BB19" s="85"/>
      <c r="BC19" s="106" t="str">
        <f t="shared" si="29"/>
        <v/>
      </c>
      <c r="BD19" s="107" t="e">
        <f t="shared" si="30"/>
        <v>#DIV/0!</v>
      </c>
      <c r="BE19" s="108" t="e">
        <f t="shared" si="8"/>
        <v>#VALUE!</v>
      </c>
      <c r="BF19" s="109" t="e">
        <f t="shared" si="31"/>
        <v>#VALUE!</v>
      </c>
      <c r="BG19" s="106" t="e">
        <f t="shared" si="10"/>
        <v>#VALUE!</v>
      </c>
      <c r="BH19" s="110" t="e">
        <f t="shared" si="32"/>
        <v>#VALUE!</v>
      </c>
      <c r="BI19" s="111">
        <f t="shared" si="33"/>
        <v>0</v>
      </c>
    </row>
    <row r="20" spans="1:61" ht="15" x14ac:dyDescent="0.25">
      <c r="A20" s="96">
        <f t="shared" si="13"/>
        <v>45118.458333333336</v>
      </c>
      <c r="B20" s="77">
        <v>0.45833333333333398</v>
      </c>
      <c r="C20" s="78" t="s">
        <v>56</v>
      </c>
      <c r="D20" s="79"/>
      <c r="E20" s="80" t="str">
        <f>IF(D20&gt;0,D20-D19,"")</f>
        <v/>
      </c>
      <c r="F20" s="97">
        <f t="shared" si="14"/>
        <v>200</v>
      </c>
      <c r="G20" s="85"/>
      <c r="H20" s="85"/>
      <c r="I20" s="85"/>
      <c r="J20" s="85"/>
      <c r="K20" s="85"/>
      <c r="L20" s="85"/>
      <c r="M20" s="85"/>
      <c r="N20" s="85"/>
      <c r="O20" s="87"/>
      <c r="P20" s="98"/>
      <c r="Q20" s="85"/>
      <c r="R20" s="85"/>
      <c r="S20" s="86"/>
      <c r="T20" s="86"/>
      <c r="U20" s="86"/>
      <c r="V20" s="86"/>
      <c r="W20" s="85"/>
      <c r="X20" s="85"/>
      <c r="Y20" s="87"/>
      <c r="Z20" s="98"/>
      <c r="AA20" s="85"/>
      <c r="AB20" s="85"/>
      <c r="AC20" s="98"/>
      <c r="AD20" s="87"/>
      <c r="AE20" s="99"/>
      <c r="AF20" s="85"/>
      <c r="AG20" s="85"/>
      <c r="AH20" s="86"/>
      <c r="AI20" s="98"/>
      <c r="AJ20" s="87"/>
      <c r="AK20" s="98"/>
      <c r="AL20" s="87"/>
      <c r="AM20" s="87"/>
      <c r="AN20" s="100"/>
      <c r="AO20" s="101"/>
      <c r="AP20" s="102">
        <f t="shared" si="23"/>
        <v>1</v>
      </c>
      <c r="AQ20" s="103">
        <f t="shared" si="37"/>
        <v>45118.416666666672</v>
      </c>
      <c r="AR20" s="102">
        <f t="shared" si="34"/>
        <v>1</v>
      </c>
      <c r="AS20" s="102">
        <f t="shared" si="24"/>
        <v>1</v>
      </c>
      <c r="AT20" s="102">
        <f t="shared" si="25"/>
        <v>1</v>
      </c>
      <c r="AU20" s="103">
        <f t="shared" si="38"/>
        <v>45118.458333333336</v>
      </c>
      <c r="AV20" s="103">
        <f t="shared" si="26"/>
        <v>2.425316891763174E-12</v>
      </c>
      <c r="AW20" s="103">
        <f t="shared" si="35"/>
        <v>4.1666666664241347E-2</v>
      </c>
      <c r="AX20" s="103">
        <f t="shared" si="27"/>
        <v>0</v>
      </c>
      <c r="AY20" s="103">
        <f>1/24-AZ20</f>
        <v>4.1666666666666664E-2</v>
      </c>
      <c r="AZ20" s="104">
        <f t="shared" ref="AZ20:AZ23" si="39">+AO20-AN20</f>
        <v>0</v>
      </c>
      <c r="BA20" s="105"/>
      <c r="BB20" s="85"/>
      <c r="BC20" s="106" t="str">
        <f t="shared" si="29"/>
        <v/>
      </c>
      <c r="BD20" s="107" t="e">
        <f t="shared" si="30"/>
        <v>#DIV/0!</v>
      </c>
      <c r="BE20" s="108" t="e">
        <f t="shared" si="8"/>
        <v>#VALUE!</v>
      </c>
      <c r="BF20" s="109" t="e">
        <f t="shared" si="31"/>
        <v>#VALUE!</v>
      </c>
      <c r="BG20" s="106" t="e">
        <f t="shared" si="10"/>
        <v>#VALUE!</v>
      </c>
      <c r="BH20" s="110" t="e">
        <f t="shared" si="32"/>
        <v>#VALUE!</v>
      </c>
      <c r="BI20" s="111">
        <f t="shared" si="33"/>
        <v>0</v>
      </c>
    </row>
    <row r="21" spans="1:61" ht="15" customHeight="1" x14ac:dyDescent="0.25">
      <c r="A21" s="96">
        <f t="shared" si="13"/>
        <v>45118.5</v>
      </c>
      <c r="B21" s="77">
        <v>0.5</v>
      </c>
      <c r="C21" s="78" t="s">
        <v>56</v>
      </c>
      <c r="D21" s="79"/>
      <c r="E21" s="80" t="str">
        <f>IF(D21&gt;0,D21-D20,"")</f>
        <v/>
      </c>
      <c r="F21" s="97">
        <f t="shared" si="14"/>
        <v>200</v>
      </c>
      <c r="G21" s="85"/>
      <c r="H21" s="85"/>
      <c r="I21" s="85"/>
      <c r="J21" s="85"/>
      <c r="K21" s="85"/>
      <c r="L21" s="85"/>
      <c r="M21" s="85"/>
      <c r="N21" s="85"/>
      <c r="O21" s="86"/>
      <c r="P21" s="85"/>
      <c r="Q21" s="79"/>
      <c r="R21" s="79"/>
      <c r="S21" s="79"/>
      <c r="T21" s="79"/>
      <c r="U21" s="86"/>
      <c r="V21" s="86"/>
      <c r="W21" s="85"/>
      <c r="X21" s="85"/>
      <c r="Y21" s="86"/>
      <c r="Z21" s="98"/>
      <c r="AA21" s="85"/>
      <c r="AB21" s="85"/>
      <c r="AC21" s="98"/>
      <c r="AD21" s="87"/>
      <c r="AE21" s="99"/>
      <c r="AF21" s="85"/>
      <c r="AG21" s="85"/>
      <c r="AH21" s="86"/>
      <c r="AI21" s="99"/>
      <c r="AJ21" s="87"/>
      <c r="AK21" s="98"/>
      <c r="AL21" s="87"/>
      <c r="AM21" s="87"/>
      <c r="AN21" s="100"/>
      <c r="AO21" s="101"/>
      <c r="AP21" s="102">
        <f t="shared" si="23"/>
        <v>1</v>
      </c>
      <c r="AQ21" s="103">
        <f t="shared" si="37"/>
        <v>45118.458333333336</v>
      </c>
      <c r="AR21" s="102">
        <f t="shared" si="34"/>
        <v>1</v>
      </c>
      <c r="AS21" s="102">
        <f t="shared" si="24"/>
        <v>1</v>
      </c>
      <c r="AT21" s="102">
        <f t="shared" si="25"/>
        <v>1</v>
      </c>
      <c r="AU21" s="103">
        <f t="shared" si="38"/>
        <v>45118.5</v>
      </c>
      <c r="AV21" s="103">
        <f t="shared" si="26"/>
        <v>2.425316891763174E-12</v>
      </c>
      <c r="AW21" s="103">
        <f t="shared" si="35"/>
        <v>4.1666666664241347E-2</v>
      </c>
      <c r="AX21" s="103">
        <f t="shared" si="27"/>
        <v>0</v>
      </c>
      <c r="AY21" s="103">
        <f t="shared" ref="AY21:AY23" si="40">1/24-AZ21</f>
        <v>4.1666666666666664E-2</v>
      </c>
      <c r="AZ21" s="104">
        <f t="shared" si="39"/>
        <v>0</v>
      </c>
      <c r="BA21" s="105"/>
      <c r="BB21" s="85"/>
      <c r="BC21" s="106" t="str">
        <f t="shared" si="29"/>
        <v/>
      </c>
      <c r="BD21" s="107" t="e">
        <f t="shared" si="30"/>
        <v>#DIV/0!</v>
      </c>
      <c r="BE21" s="108" t="e">
        <f t="shared" si="8"/>
        <v>#VALUE!</v>
      </c>
      <c r="BF21" s="109" t="e">
        <f t="shared" si="31"/>
        <v>#VALUE!</v>
      </c>
      <c r="BG21" s="106" t="e">
        <f t="shared" si="10"/>
        <v>#VALUE!</v>
      </c>
      <c r="BH21" s="110" t="e">
        <f t="shared" si="32"/>
        <v>#VALUE!</v>
      </c>
      <c r="BI21" s="111">
        <f t="shared" si="33"/>
        <v>0</v>
      </c>
    </row>
    <row r="22" spans="1:61" ht="13.5" customHeight="1" x14ac:dyDescent="0.25">
      <c r="A22" s="96">
        <f t="shared" si="13"/>
        <v>45118.541666666664</v>
      </c>
      <c r="B22" s="77">
        <v>0.54166666666666696</v>
      </c>
      <c r="C22" s="78" t="s">
        <v>56</v>
      </c>
      <c r="D22" s="79"/>
      <c r="E22" s="80" t="str">
        <f>IF(D22&gt;0,D22-D21,"")</f>
        <v/>
      </c>
      <c r="F22" s="97">
        <f t="shared" si="14"/>
        <v>200</v>
      </c>
      <c r="G22" s="98"/>
      <c r="H22" s="85"/>
      <c r="I22" s="85"/>
      <c r="J22" s="85"/>
      <c r="K22" s="85"/>
      <c r="L22" s="85"/>
      <c r="M22" s="85"/>
      <c r="N22" s="85"/>
      <c r="O22" s="86"/>
      <c r="P22" s="85"/>
      <c r="Q22" s="85"/>
      <c r="R22" s="85"/>
      <c r="S22" s="85"/>
      <c r="T22" s="85"/>
      <c r="U22" s="86"/>
      <c r="V22" s="86"/>
      <c r="W22" s="85"/>
      <c r="X22" s="85"/>
      <c r="Y22" s="87"/>
      <c r="Z22" s="98"/>
      <c r="AA22" s="85"/>
      <c r="AB22" s="85"/>
      <c r="AC22" s="98"/>
      <c r="AD22" s="87"/>
      <c r="AE22" s="99"/>
      <c r="AF22" s="85"/>
      <c r="AG22" s="85"/>
      <c r="AH22" s="86"/>
      <c r="AI22" s="98"/>
      <c r="AJ22" s="87"/>
      <c r="AK22" s="98"/>
      <c r="AL22" s="87"/>
      <c r="AM22" s="87"/>
      <c r="AN22" s="100"/>
      <c r="AO22" s="101"/>
      <c r="AP22" s="102">
        <f t="shared" si="23"/>
        <v>1</v>
      </c>
      <c r="AQ22" s="103">
        <f t="shared" si="37"/>
        <v>45118.5</v>
      </c>
      <c r="AR22" s="102">
        <f t="shared" si="34"/>
        <v>1</v>
      </c>
      <c r="AS22" s="102">
        <f t="shared" si="24"/>
        <v>1</v>
      </c>
      <c r="AT22" s="102">
        <f t="shared" si="25"/>
        <v>1</v>
      </c>
      <c r="AU22" s="103">
        <f t="shared" si="38"/>
        <v>45118.541666666664</v>
      </c>
      <c r="AV22" s="103">
        <f t="shared" si="26"/>
        <v>2.425316891763174E-12</v>
      </c>
      <c r="AW22" s="103">
        <f t="shared" si="35"/>
        <v>4.1666666664241347E-2</v>
      </c>
      <c r="AX22" s="103">
        <f t="shared" si="27"/>
        <v>0</v>
      </c>
      <c r="AY22" s="103">
        <f t="shared" si="40"/>
        <v>4.1666666666666664E-2</v>
      </c>
      <c r="AZ22" s="104">
        <f t="shared" si="39"/>
        <v>0</v>
      </c>
      <c r="BA22" s="105"/>
      <c r="BB22" s="85" t="s">
        <v>107</v>
      </c>
      <c r="BC22" s="106" t="str">
        <f>IF(N22&gt;1,+N22*O22,"")</f>
        <v/>
      </c>
      <c r="BD22" s="107" t="e">
        <f>IF(BC22&gt;0,+$BF$2*(O22-1)/O22/($BF$2-1),"")</f>
        <v>#DIV/0!</v>
      </c>
      <c r="BE22" s="108" t="e">
        <f t="shared" si="8"/>
        <v>#VALUE!</v>
      </c>
      <c r="BF22" s="109" t="e">
        <f t="shared" si="31"/>
        <v>#VALUE!</v>
      </c>
      <c r="BG22" s="106" t="e">
        <f t="shared" si="10"/>
        <v>#VALUE!</v>
      </c>
      <c r="BH22" s="110" t="e">
        <f t="shared" si="32"/>
        <v>#VALUE!</v>
      </c>
      <c r="BI22" s="111">
        <f>+N22/3600/$BH$2</f>
        <v>0</v>
      </c>
    </row>
    <row r="23" spans="1:61" ht="15" x14ac:dyDescent="0.25">
      <c r="A23" s="96">
        <f t="shared" si="13"/>
        <v>45118.583333333336</v>
      </c>
      <c r="B23" s="77">
        <v>0.58333333333333304</v>
      </c>
      <c r="C23" s="78" t="s">
        <v>56</v>
      </c>
      <c r="D23" s="79"/>
      <c r="E23" s="80" t="str">
        <f>IF(D23&gt;0,D23-D22,"")</f>
        <v/>
      </c>
      <c r="F23" s="97">
        <f t="shared" si="14"/>
        <v>200</v>
      </c>
      <c r="G23" s="98"/>
      <c r="H23" s="85"/>
      <c r="I23" s="85"/>
      <c r="J23" s="85"/>
      <c r="K23" s="85"/>
      <c r="L23" s="85"/>
      <c r="M23" s="85"/>
      <c r="N23" s="85"/>
      <c r="O23" s="85"/>
      <c r="P23" s="87"/>
      <c r="Q23" s="98"/>
      <c r="R23" s="85"/>
      <c r="S23" s="85"/>
      <c r="T23" s="86"/>
      <c r="U23" s="86"/>
      <c r="V23" s="86"/>
      <c r="W23" s="86"/>
      <c r="X23" s="85"/>
      <c r="Y23" s="85"/>
      <c r="Z23" s="87"/>
      <c r="AA23" s="98"/>
      <c r="AB23" s="85"/>
      <c r="AC23" s="85"/>
      <c r="AD23" s="98"/>
      <c r="AE23" s="87"/>
      <c r="AF23" s="99"/>
      <c r="AG23" s="85"/>
      <c r="AH23" s="85"/>
      <c r="AI23" s="86"/>
      <c r="AJ23" s="98"/>
      <c r="AK23" s="87"/>
      <c r="AL23" s="98"/>
      <c r="AM23" s="87"/>
      <c r="AN23" s="100"/>
      <c r="AO23" s="101"/>
      <c r="AP23" s="102">
        <f>AT23</f>
        <v>1</v>
      </c>
      <c r="AQ23" s="103">
        <f t="shared" si="37"/>
        <v>45118.541666666672</v>
      </c>
      <c r="AR23" s="102">
        <f t="shared" si="34"/>
        <v>1</v>
      </c>
      <c r="AS23" s="102">
        <f t="shared" si="24"/>
        <v>1</v>
      </c>
      <c r="AT23" s="102">
        <f t="shared" si="25"/>
        <v>1</v>
      </c>
      <c r="AU23" s="103">
        <f t="shared" si="38"/>
        <v>45118.583333333336</v>
      </c>
      <c r="AV23" s="103">
        <f t="shared" si="26"/>
        <v>2.425316891763174E-12</v>
      </c>
      <c r="AW23" s="103">
        <f>AU23-AQ23</f>
        <v>4.1666666664241347E-2</v>
      </c>
      <c r="AX23" s="103">
        <f t="shared" si="27"/>
        <v>0</v>
      </c>
      <c r="AY23" s="103">
        <f t="shared" si="40"/>
        <v>4.1666666666666664E-2</v>
      </c>
      <c r="AZ23" s="104">
        <f t="shared" si="39"/>
        <v>0</v>
      </c>
      <c r="BA23" s="105"/>
      <c r="BB23" s="85"/>
      <c r="BC23" s="106" t="str">
        <f t="shared" si="29"/>
        <v/>
      </c>
      <c r="BD23" s="107" t="e">
        <f t="shared" si="30"/>
        <v>#DIV/0!</v>
      </c>
      <c r="BE23" s="108" t="e">
        <f t="shared" si="8"/>
        <v>#VALUE!</v>
      </c>
      <c r="BF23" s="109" t="e">
        <f t="shared" si="31"/>
        <v>#VALUE!</v>
      </c>
      <c r="BG23" s="106" t="e">
        <f t="shared" si="10"/>
        <v>#VALUE!</v>
      </c>
      <c r="BH23" s="110" t="e">
        <f t="shared" si="32"/>
        <v>#VALUE!</v>
      </c>
      <c r="BI23" s="111">
        <f t="shared" si="33"/>
        <v>0</v>
      </c>
    </row>
    <row r="24" spans="1:61" ht="15.75" thickBot="1" x14ac:dyDescent="0.3">
      <c r="A24" s="96"/>
      <c r="B24" s="120" t="s">
        <v>59</v>
      </c>
      <c r="C24" s="135"/>
      <c r="D24" s="147"/>
      <c r="E24" s="121">
        <f>SUM(E16:E23)</f>
        <v>0</v>
      </c>
      <c r="F24" s="122">
        <f>SUM(F16:F23)</f>
        <v>1600</v>
      </c>
      <c r="G24" s="123" t="str">
        <f>IFERROR(AVERAGE(G16:G23),"")</f>
        <v/>
      </c>
      <c r="H24" s="124"/>
      <c r="I24" s="124"/>
      <c r="J24" s="124"/>
      <c r="K24" s="124"/>
      <c r="L24" s="7"/>
      <c r="M24" s="121" t="str">
        <f>IFERROR(L24/24/AT24,"")</f>
        <v/>
      </c>
      <c r="N24" s="136" t="str">
        <f>IFERROR(AVERAGE(N16:N23),"")</f>
        <v/>
      </c>
      <c r="O24" s="136"/>
      <c r="P24" s="137"/>
      <c r="Q24" s="138"/>
      <c r="R24" s="136"/>
      <c r="S24" s="136"/>
      <c r="T24" s="139"/>
      <c r="U24" s="139"/>
      <c r="V24" s="139"/>
      <c r="W24" s="139"/>
      <c r="X24" s="139"/>
      <c r="Y24" s="139"/>
      <c r="Z24" s="140"/>
      <c r="AA24" s="138"/>
      <c r="AB24" s="136"/>
      <c r="AC24" s="136"/>
      <c r="AD24" s="128"/>
      <c r="AE24" s="127"/>
      <c r="AF24" s="141"/>
      <c r="AG24" s="136"/>
      <c r="AH24" s="136"/>
      <c r="AI24" s="142"/>
      <c r="AJ24" s="128"/>
      <c r="AK24" s="127"/>
      <c r="AL24" s="128"/>
      <c r="AM24" s="127"/>
      <c r="AN24" s="131"/>
      <c r="AO24" s="132"/>
      <c r="AP24" s="120"/>
      <c r="AQ24" s="120"/>
      <c r="AR24" s="120"/>
      <c r="AS24" s="120"/>
      <c r="AT24" s="120"/>
      <c r="AU24" s="120"/>
      <c r="AV24" s="120"/>
      <c r="AW24" s="120"/>
      <c r="AX24" s="120"/>
      <c r="AY24" s="143"/>
      <c r="AZ24" s="143"/>
      <c r="BA24" s="132"/>
      <c r="BB24" s="125">
        <f>SUM(BB16:BB23)</f>
        <v>0</v>
      </c>
      <c r="BC24" s="106"/>
      <c r="BD24" s="107"/>
      <c r="BE24" s="108"/>
      <c r="BF24" s="109"/>
      <c r="BG24" s="106"/>
      <c r="BH24" s="110"/>
      <c r="BI24" s="111"/>
    </row>
    <row r="25" spans="1:61" ht="13.15" customHeight="1" x14ac:dyDescent="0.25">
      <c r="A25" s="96">
        <f t="shared" ref="A25:A32" si="41">B25+$B$1</f>
        <v>45118.625</v>
      </c>
      <c r="B25" s="77">
        <v>0.625</v>
      </c>
      <c r="C25" s="78" t="str">
        <f>+C23</f>
        <v>CALCITIC</v>
      </c>
      <c r="D25" s="79"/>
      <c r="E25" s="80" t="str">
        <f>IF(D25&gt;0,D25-D23,"")</f>
        <v/>
      </c>
      <c r="F25" s="97">
        <v>200</v>
      </c>
      <c r="G25" s="98"/>
      <c r="H25" s="85"/>
      <c r="I25" s="85"/>
      <c r="J25" s="85"/>
      <c r="K25" s="85"/>
      <c r="L25" s="85"/>
      <c r="M25" s="85"/>
      <c r="N25" s="85"/>
      <c r="O25" s="85"/>
      <c r="P25" s="87"/>
      <c r="Q25" s="98"/>
      <c r="R25" s="85"/>
      <c r="S25" s="85"/>
      <c r="T25" s="86"/>
      <c r="U25" s="86"/>
      <c r="V25" s="86"/>
      <c r="W25" s="86"/>
      <c r="X25" s="85"/>
      <c r="Y25" s="85"/>
      <c r="Z25" s="87"/>
      <c r="AA25" s="98"/>
      <c r="AB25" s="85"/>
      <c r="AC25" s="85"/>
      <c r="AD25" s="98"/>
      <c r="AE25" s="87"/>
      <c r="AF25" s="99"/>
      <c r="AG25" s="85"/>
      <c r="AH25" s="85"/>
      <c r="AI25" s="86"/>
      <c r="AJ25" s="98"/>
      <c r="AK25" s="87"/>
      <c r="AL25" s="98"/>
      <c r="AM25" s="87"/>
      <c r="AN25" s="144"/>
      <c r="AO25" s="134"/>
      <c r="AP25" s="102">
        <f t="shared" ref="AP25:AP31" si="42">AT25</f>
        <v>0</v>
      </c>
      <c r="AQ25" s="103">
        <f>IF(AN25&lt;&gt;"",AN25+$B$1-1,B25+$B$1-1)</f>
        <v>45117.625</v>
      </c>
      <c r="AR25" s="102">
        <f>AP24</f>
        <v>0</v>
      </c>
      <c r="AS25" s="102">
        <f t="shared" ref="AS25:AS32" si="43">IF(AN25="",AR25,0)</f>
        <v>0</v>
      </c>
      <c r="AT25" s="102">
        <f t="shared" ref="AT25:AT32" si="44">IF(AO25&lt;&gt;"",1,AS25)</f>
        <v>0</v>
      </c>
      <c r="AU25" s="103">
        <f>IF(AO25&lt;&gt;"",AO25+$B$1-1,B25+$B$1-1)</f>
        <v>45117.625</v>
      </c>
      <c r="AV25" s="103">
        <f t="shared" ref="AV25:AV32" si="45">AQ25-A25+1/24</f>
        <v>-0.95833333333333337</v>
      </c>
      <c r="AW25" s="103">
        <f>AU25-AQ25</f>
        <v>0</v>
      </c>
      <c r="AX25" s="103">
        <f t="shared" ref="AX25:AX32" si="46">A25-AU25</f>
        <v>1</v>
      </c>
      <c r="AY25" s="103">
        <f>1/24-AZ25</f>
        <v>4.1666666666666664E-2</v>
      </c>
      <c r="AZ25" s="104">
        <f t="shared" ref="AZ25:AZ27" si="47">+AO25-AN25</f>
        <v>0</v>
      </c>
      <c r="BA25" s="105"/>
      <c r="BB25" s="85"/>
      <c r="BC25" s="106" t="str">
        <f t="shared" ref="BC25:BC32" si="48">IF(M25&gt;1,+M25*N25,"")</f>
        <v/>
      </c>
      <c r="BD25" s="107" t="e">
        <f t="shared" ref="BD25:BD32" si="49">IF(BC25&gt;0,+$BF$2*(N25-1)/N25/($BF$2-1),"")</f>
        <v>#DIV/0!</v>
      </c>
      <c r="BE25" s="108" t="e">
        <f t="shared" si="8"/>
        <v>#VALUE!</v>
      </c>
      <c r="BF25" s="109" t="e">
        <f t="shared" ref="BF25:BF32" si="50">+BE25/E25</f>
        <v>#VALUE!</v>
      </c>
      <c r="BG25" s="106" t="e">
        <f t="shared" si="10"/>
        <v>#VALUE!</v>
      </c>
      <c r="BH25" s="110" t="e">
        <f t="shared" ref="BH25:BH32" si="51">+BG25/E25</f>
        <v>#VALUE!</v>
      </c>
      <c r="BI25" s="111">
        <f t="shared" ref="BI25:BI32" si="52">+M25/3600/$BH$2</f>
        <v>0</v>
      </c>
    </row>
    <row r="26" spans="1:61" ht="15" x14ac:dyDescent="0.25">
      <c r="A26" s="96">
        <f t="shared" si="41"/>
        <v>45118.666666666664</v>
      </c>
      <c r="B26" s="77">
        <v>0.66666666666666663</v>
      </c>
      <c r="C26" s="78" t="str">
        <f>+C25</f>
        <v>CALCITIC</v>
      </c>
      <c r="D26" s="79"/>
      <c r="E26" s="80" t="str">
        <f t="shared" ref="E26:E32" si="53">IF(D26&gt;0,D26-D25,"")</f>
        <v/>
      </c>
      <c r="F26" s="97">
        <f t="shared" si="14"/>
        <v>200</v>
      </c>
      <c r="G26" s="98"/>
      <c r="H26" s="85"/>
      <c r="I26" s="85"/>
      <c r="J26" s="85"/>
      <c r="K26" s="85"/>
      <c r="L26" s="85"/>
      <c r="M26" s="85"/>
      <c r="N26" s="85"/>
      <c r="O26" s="85"/>
      <c r="P26" s="87"/>
      <c r="Q26" s="98"/>
      <c r="R26" s="85"/>
      <c r="S26" s="85"/>
      <c r="T26" s="86"/>
      <c r="U26" s="86"/>
      <c r="V26" s="86"/>
      <c r="W26" s="86"/>
      <c r="X26" s="85"/>
      <c r="Y26" s="85"/>
      <c r="Z26" s="87"/>
      <c r="AA26" s="98"/>
      <c r="AB26" s="85"/>
      <c r="AC26" s="85"/>
      <c r="AD26" s="98"/>
      <c r="AE26" s="87"/>
      <c r="AF26" s="99"/>
      <c r="AG26" s="85"/>
      <c r="AH26" s="85"/>
      <c r="AI26" s="86"/>
      <c r="AJ26" s="98"/>
      <c r="AK26" s="87"/>
      <c r="AL26" s="98"/>
      <c r="AM26" s="87"/>
      <c r="AN26" s="144"/>
      <c r="AO26" s="145"/>
      <c r="AP26" s="102">
        <f t="shared" si="42"/>
        <v>0</v>
      </c>
      <c r="AQ26" s="103">
        <f>IF(AN26&lt;&gt;"",AN26+$B$1-1,B26+$B$1-1/24)</f>
        <v>45118.625</v>
      </c>
      <c r="AR26" s="102">
        <f t="shared" ref="AR26:AR32" si="54">AP25</f>
        <v>0</v>
      </c>
      <c r="AS26" s="102">
        <f t="shared" si="43"/>
        <v>0</v>
      </c>
      <c r="AT26" s="102">
        <f t="shared" si="44"/>
        <v>0</v>
      </c>
      <c r="AU26" s="103">
        <f>IF(AO26&lt;&gt;"",AO26+$B$1-1,B26+$B$1)</f>
        <v>45118.666666666664</v>
      </c>
      <c r="AV26" s="103">
        <f t="shared" si="45"/>
        <v>2.425316891763174E-12</v>
      </c>
      <c r="AW26" s="103">
        <f t="shared" ref="AW26:AW31" si="55">AU26-AQ26</f>
        <v>4.1666666664241347E-2</v>
      </c>
      <c r="AX26" s="103">
        <f t="shared" si="46"/>
        <v>0</v>
      </c>
      <c r="AY26" s="103">
        <f t="shared" ref="AY26:AY32" si="56">1/24-AZ26</f>
        <v>4.1666666666666664E-2</v>
      </c>
      <c r="AZ26" s="104">
        <f t="shared" si="47"/>
        <v>0</v>
      </c>
      <c r="BA26" s="105"/>
      <c r="BB26" s="85"/>
      <c r="BC26" s="106" t="str">
        <f t="shared" si="48"/>
        <v/>
      </c>
      <c r="BD26" s="107" t="e">
        <f t="shared" si="49"/>
        <v>#DIV/0!</v>
      </c>
      <c r="BE26" s="108" t="e">
        <f t="shared" si="8"/>
        <v>#VALUE!</v>
      </c>
      <c r="BF26" s="109" t="e">
        <f t="shared" si="50"/>
        <v>#VALUE!</v>
      </c>
      <c r="BG26" s="106" t="e">
        <f t="shared" si="10"/>
        <v>#VALUE!</v>
      </c>
      <c r="BH26" s="110" t="e">
        <f t="shared" si="51"/>
        <v>#VALUE!</v>
      </c>
      <c r="BI26" s="111">
        <f t="shared" si="52"/>
        <v>0</v>
      </c>
    </row>
    <row r="27" spans="1:61" ht="15" x14ac:dyDescent="0.25">
      <c r="A27" s="96">
        <f t="shared" si="41"/>
        <v>45118.708333333336</v>
      </c>
      <c r="B27" s="77">
        <v>0.70833333333333337</v>
      </c>
      <c r="C27" s="78" t="str">
        <f t="shared" ref="C27:C32" si="57">+C26</f>
        <v>CALCITIC</v>
      </c>
      <c r="D27" s="79"/>
      <c r="E27" s="80" t="str">
        <f t="shared" si="53"/>
        <v/>
      </c>
      <c r="F27" s="97">
        <f t="shared" si="14"/>
        <v>200</v>
      </c>
      <c r="G27" s="98"/>
      <c r="H27" s="85"/>
      <c r="I27" s="85"/>
      <c r="J27" s="85"/>
      <c r="K27" s="85"/>
      <c r="L27" s="85"/>
      <c r="M27" s="85"/>
      <c r="N27" s="85"/>
      <c r="O27" s="85"/>
      <c r="P27" s="87"/>
      <c r="Q27" s="98"/>
      <c r="R27" s="85"/>
      <c r="S27" s="85"/>
      <c r="T27" s="86"/>
      <c r="U27" s="86"/>
      <c r="V27" s="86"/>
      <c r="W27" s="86"/>
      <c r="X27" s="85"/>
      <c r="Y27" s="85"/>
      <c r="Z27" s="87"/>
      <c r="AA27" s="98"/>
      <c r="AB27" s="85"/>
      <c r="AC27" s="85"/>
      <c r="AD27" s="98"/>
      <c r="AE27" s="87"/>
      <c r="AF27" s="99"/>
      <c r="AG27" s="85"/>
      <c r="AH27" s="85"/>
      <c r="AI27" s="86"/>
      <c r="AJ27" s="98"/>
      <c r="AK27" s="87"/>
      <c r="AL27" s="98"/>
      <c r="AM27" s="87"/>
      <c r="AN27" s="144"/>
      <c r="AO27" s="145"/>
      <c r="AP27" s="102">
        <f t="shared" si="42"/>
        <v>0</v>
      </c>
      <c r="AQ27" s="103">
        <f t="shared" ref="AQ27:AQ32" si="58">IF(AN27&lt;&gt;"",AN27+$B$1,B27+$B$1-1/24)</f>
        <v>45118.666666666672</v>
      </c>
      <c r="AR27" s="102">
        <f t="shared" si="54"/>
        <v>0</v>
      </c>
      <c r="AS27" s="102">
        <f t="shared" si="43"/>
        <v>0</v>
      </c>
      <c r="AT27" s="102">
        <f t="shared" si="44"/>
        <v>0</v>
      </c>
      <c r="AU27" s="103">
        <f t="shared" ref="AU27:AU32" si="59">IF(AO27&lt;&gt;"",AO27+$B$1,B27+$B$1)</f>
        <v>45118.708333333336</v>
      </c>
      <c r="AV27" s="103">
        <f t="shared" si="45"/>
        <v>2.425316891763174E-12</v>
      </c>
      <c r="AW27" s="103">
        <f t="shared" si="55"/>
        <v>4.1666666664241347E-2</v>
      </c>
      <c r="AX27" s="103">
        <f t="shared" si="46"/>
        <v>0</v>
      </c>
      <c r="AY27" s="103">
        <f t="shared" si="56"/>
        <v>4.1666666666666664E-2</v>
      </c>
      <c r="AZ27" s="104">
        <f t="shared" si="47"/>
        <v>0</v>
      </c>
      <c r="BA27" s="105"/>
      <c r="BB27" s="85"/>
      <c r="BC27" s="106" t="str">
        <f t="shared" si="48"/>
        <v/>
      </c>
      <c r="BD27" s="107" t="e">
        <f t="shared" si="49"/>
        <v>#DIV/0!</v>
      </c>
      <c r="BE27" s="108" t="e">
        <f t="shared" si="8"/>
        <v>#VALUE!</v>
      </c>
      <c r="BF27" s="109" t="e">
        <f t="shared" si="50"/>
        <v>#VALUE!</v>
      </c>
      <c r="BG27" s="106" t="e">
        <f t="shared" si="10"/>
        <v>#VALUE!</v>
      </c>
      <c r="BH27" s="110" t="e">
        <f t="shared" si="51"/>
        <v>#VALUE!</v>
      </c>
      <c r="BI27" s="111">
        <f t="shared" si="52"/>
        <v>0</v>
      </c>
    </row>
    <row r="28" spans="1:61" ht="14.25" customHeight="1" x14ac:dyDescent="0.25">
      <c r="A28" s="96">
        <f t="shared" si="41"/>
        <v>45118.75</v>
      </c>
      <c r="B28" s="77">
        <v>0.75</v>
      </c>
      <c r="C28" s="78" t="str">
        <f t="shared" si="57"/>
        <v>CALCITIC</v>
      </c>
      <c r="D28" s="79"/>
      <c r="E28" s="80" t="str">
        <f t="shared" si="53"/>
        <v/>
      </c>
      <c r="F28" s="97">
        <f t="shared" si="14"/>
        <v>200</v>
      </c>
      <c r="G28" s="98"/>
      <c r="H28" s="85"/>
      <c r="I28" s="85"/>
      <c r="J28" s="85"/>
      <c r="K28" s="85"/>
      <c r="L28" s="85"/>
      <c r="M28" s="85"/>
      <c r="N28" s="85"/>
      <c r="O28" s="85"/>
      <c r="P28" s="87"/>
      <c r="Q28" s="98"/>
      <c r="R28" s="85"/>
      <c r="S28" s="85"/>
      <c r="T28" s="86"/>
      <c r="U28" s="86"/>
      <c r="V28" s="86"/>
      <c r="W28" s="86"/>
      <c r="X28" s="85"/>
      <c r="Y28" s="85"/>
      <c r="Z28" s="87"/>
      <c r="AA28" s="98"/>
      <c r="AB28" s="178"/>
      <c r="AC28" s="178"/>
      <c r="AD28" s="179"/>
      <c r="AE28" s="180"/>
      <c r="AF28" s="181"/>
      <c r="AG28" s="178"/>
      <c r="AH28" s="178"/>
      <c r="AI28" s="182"/>
      <c r="AJ28" s="112"/>
      <c r="AK28" s="113"/>
      <c r="AL28" s="112"/>
      <c r="AM28" s="113"/>
      <c r="AN28" s="100"/>
      <c r="AO28" s="101"/>
      <c r="AP28" s="102">
        <f t="shared" si="42"/>
        <v>0</v>
      </c>
      <c r="AQ28" s="103">
        <f t="shared" si="58"/>
        <v>45118.708333333336</v>
      </c>
      <c r="AR28" s="102">
        <f t="shared" si="54"/>
        <v>0</v>
      </c>
      <c r="AS28" s="102">
        <f t="shared" si="43"/>
        <v>0</v>
      </c>
      <c r="AT28" s="102">
        <f t="shared" si="44"/>
        <v>0</v>
      </c>
      <c r="AU28" s="103">
        <f t="shared" si="59"/>
        <v>45118.75</v>
      </c>
      <c r="AV28" s="103">
        <f t="shared" si="45"/>
        <v>2.425316891763174E-12</v>
      </c>
      <c r="AW28" s="103">
        <f t="shared" si="55"/>
        <v>4.1666666664241347E-2</v>
      </c>
      <c r="AX28" s="103">
        <f t="shared" si="46"/>
        <v>0</v>
      </c>
      <c r="AY28" s="103">
        <f t="shared" si="56"/>
        <v>4.1666666666666664E-2</v>
      </c>
      <c r="AZ28" s="104">
        <f>+AO28-AN28</f>
        <v>0</v>
      </c>
      <c r="BA28" s="105"/>
      <c r="BB28" s="85"/>
      <c r="BC28" s="106" t="str">
        <f t="shared" si="48"/>
        <v/>
      </c>
      <c r="BD28" s="107" t="e">
        <f t="shared" si="49"/>
        <v>#DIV/0!</v>
      </c>
      <c r="BE28" s="108" t="e">
        <f t="shared" si="8"/>
        <v>#VALUE!</v>
      </c>
      <c r="BF28" s="109" t="e">
        <f t="shared" si="50"/>
        <v>#VALUE!</v>
      </c>
      <c r="BG28" s="106" t="e">
        <f t="shared" si="10"/>
        <v>#VALUE!</v>
      </c>
      <c r="BH28" s="110" t="e">
        <f t="shared" si="51"/>
        <v>#VALUE!</v>
      </c>
      <c r="BI28" s="111">
        <f t="shared" si="52"/>
        <v>0</v>
      </c>
    </row>
    <row r="29" spans="1:61" ht="15" customHeight="1" x14ac:dyDescent="0.25">
      <c r="A29" s="96">
        <f t="shared" si="41"/>
        <v>45118.791666666664</v>
      </c>
      <c r="B29" s="77">
        <v>0.79166666666666663</v>
      </c>
      <c r="C29" s="78" t="str">
        <f t="shared" si="57"/>
        <v>CALCITIC</v>
      </c>
      <c r="D29" s="79"/>
      <c r="E29" s="80" t="str">
        <f t="shared" si="53"/>
        <v/>
      </c>
      <c r="F29" s="97">
        <f t="shared" si="14"/>
        <v>200</v>
      </c>
      <c r="G29" s="98"/>
      <c r="H29" s="85"/>
      <c r="I29" s="85"/>
      <c r="J29" s="85"/>
      <c r="K29" s="85"/>
      <c r="L29" s="85"/>
      <c r="M29" s="85"/>
      <c r="N29" s="85"/>
      <c r="O29" s="85"/>
      <c r="P29" s="87"/>
      <c r="Q29" s="98"/>
      <c r="R29" s="85"/>
      <c r="S29" s="85"/>
      <c r="T29" s="86"/>
      <c r="U29" s="86"/>
      <c r="V29" s="86"/>
      <c r="W29" s="86"/>
      <c r="X29" s="85"/>
      <c r="Y29" s="85"/>
      <c r="Z29" s="87"/>
      <c r="AA29" s="98"/>
      <c r="AB29" s="85"/>
      <c r="AC29" s="85"/>
      <c r="AD29" s="98"/>
      <c r="AE29" s="87"/>
      <c r="AF29" s="99"/>
      <c r="AG29" s="85"/>
      <c r="AH29" s="85"/>
      <c r="AI29" s="86"/>
      <c r="AJ29" s="98"/>
      <c r="AK29" s="87"/>
      <c r="AL29" s="98"/>
      <c r="AM29" s="87"/>
      <c r="AN29" s="100"/>
      <c r="AO29" s="101"/>
      <c r="AP29" s="102">
        <f t="shared" si="42"/>
        <v>0</v>
      </c>
      <c r="AQ29" s="103">
        <f t="shared" si="58"/>
        <v>45118.75</v>
      </c>
      <c r="AR29" s="102">
        <f t="shared" si="54"/>
        <v>0</v>
      </c>
      <c r="AS29" s="102">
        <f t="shared" si="43"/>
        <v>0</v>
      </c>
      <c r="AT29" s="102">
        <f t="shared" si="44"/>
        <v>0</v>
      </c>
      <c r="AU29" s="103">
        <f t="shared" si="59"/>
        <v>45118.791666666664</v>
      </c>
      <c r="AV29" s="103">
        <f t="shared" si="45"/>
        <v>2.425316891763174E-12</v>
      </c>
      <c r="AW29" s="103">
        <f t="shared" si="55"/>
        <v>4.1666666664241347E-2</v>
      </c>
      <c r="AX29" s="103">
        <f t="shared" si="46"/>
        <v>0</v>
      </c>
      <c r="AY29" s="103">
        <f t="shared" si="56"/>
        <v>4.1666666666666664E-2</v>
      </c>
      <c r="AZ29" s="104">
        <f t="shared" ref="AZ29:AZ32" si="60">+AO29-AN29</f>
        <v>0</v>
      </c>
      <c r="BA29" s="105"/>
      <c r="BB29" s="85"/>
      <c r="BC29" s="106" t="str">
        <f t="shared" si="48"/>
        <v/>
      </c>
      <c r="BD29" s="107" t="e">
        <f t="shared" si="49"/>
        <v>#DIV/0!</v>
      </c>
      <c r="BE29" s="108" t="e">
        <f t="shared" si="8"/>
        <v>#VALUE!</v>
      </c>
      <c r="BF29" s="109" t="e">
        <f t="shared" si="50"/>
        <v>#VALUE!</v>
      </c>
      <c r="BG29" s="106" t="e">
        <f t="shared" si="10"/>
        <v>#VALUE!</v>
      </c>
      <c r="BH29" s="110" t="e">
        <f t="shared" si="51"/>
        <v>#VALUE!</v>
      </c>
      <c r="BI29" s="111">
        <f t="shared" si="52"/>
        <v>0</v>
      </c>
    </row>
    <row r="30" spans="1:61" ht="15" x14ac:dyDescent="0.25">
      <c r="A30" s="96">
        <f t="shared" si="41"/>
        <v>45118.833333333336</v>
      </c>
      <c r="B30" s="77">
        <v>0.83333333333333337</v>
      </c>
      <c r="C30" s="78" t="str">
        <f t="shared" si="57"/>
        <v>CALCITIC</v>
      </c>
      <c r="D30" s="79"/>
      <c r="E30" s="80" t="str">
        <f t="shared" si="53"/>
        <v/>
      </c>
      <c r="F30" s="97">
        <f t="shared" si="14"/>
        <v>200</v>
      </c>
      <c r="G30" s="98"/>
      <c r="H30" s="85"/>
      <c r="I30" s="85"/>
      <c r="J30" s="85"/>
      <c r="K30" s="85"/>
      <c r="L30" s="85"/>
      <c r="M30" s="85"/>
      <c r="N30" s="85"/>
      <c r="O30" s="85"/>
      <c r="P30" s="87"/>
      <c r="Q30" s="98"/>
      <c r="R30" s="85"/>
      <c r="S30" s="85"/>
      <c r="T30" s="86"/>
      <c r="U30" s="86"/>
      <c r="V30" s="86"/>
      <c r="W30" s="86"/>
      <c r="X30" s="85"/>
      <c r="Y30" s="85"/>
      <c r="Z30" s="87"/>
      <c r="AA30" s="98"/>
      <c r="AB30" s="85"/>
      <c r="AC30" s="85"/>
      <c r="AD30" s="98"/>
      <c r="AE30" s="87"/>
      <c r="AF30" s="99"/>
      <c r="AG30" s="85"/>
      <c r="AH30" s="85"/>
      <c r="AI30" s="86"/>
      <c r="AJ30" s="98"/>
      <c r="AK30" s="87"/>
      <c r="AL30" s="98"/>
      <c r="AM30" s="87"/>
      <c r="AN30" s="100"/>
      <c r="AO30" s="101"/>
      <c r="AP30" s="102">
        <f t="shared" si="42"/>
        <v>0</v>
      </c>
      <c r="AQ30" s="103">
        <f t="shared" si="58"/>
        <v>45118.791666666672</v>
      </c>
      <c r="AR30" s="102">
        <f t="shared" si="54"/>
        <v>0</v>
      </c>
      <c r="AS30" s="102">
        <f t="shared" si="43"/>
        <v>0</v>
      </c>
      <c r="AT30" s="102">
        <f t="shared" si="44"/>
        <v>0</v>
      </c>
      <c r="AU30" s="103">
        <f t="shared" si="59"/>
        <v>45118.833333333336</v>
      </c>
      <c r="AV30" s="103">
        <f t="shared" si="45"/>
        <v>2.425316891763174E-12</v>
      </c>
      <c r="AW30" s="103">
        <f t="shared" si="55"/>
        <v>4.1666666664241347E-2</v>
      </c>
      <c r="AX30" s="103">
        <f t="shared" si="46"/>
        <v>0</v>
      </c>
      <c r="AY30" s="103">
        <f t="shared" si="56"/>
        <v>4.1666666666666664E-2</v>
      </c>
      <c r="AZ30" s="104">
        <f t="shared" si="60"/>
        <v>0</v>
      </c>
      <c r="BA30" s="105"/>
      <c r="BB30" s="85"/>
      <c r="BC30" s="106" t="str">
        <f t="shared" si="48"/>
        <v/>
      </c>
      <c r="BD30" s="107" t="e">
        <f t="shared" si="49"/>
        <v>#DIV/0!</v>
      </c>
      <c r="BE30" s="108" t="e">
        <f t="shared" si="8"/>
        <v>#VALUE!</v>
      </c>
      <c r="BF30" s="109" t="e">
        <f t="shared" si="50"/>
        <v>#VALUE!</v>
      </c>
      <c r="BG30" s="106" t="e">
        <f t="shared" si="10"/>
        <v>#VALUE!</v>
      </c>
      <c r="BH30" s="110" t="e">
        <f t="shared" si="51"/>
        <v>#VALUE!</v>
      </c>
      <c r="BI30" s="111">
        <f t="shared" si="52"/>
        <v>0</v>
      </c>
    </row>
    <row r="31" spans="1:61" ht="14.25" customHeight="1" x14ac:dyDescent="0.25">
      <c r="A31" s="96">
        <f t="shared" si="41"/>
        <v>45118.875</v>
      </c>
      <c r="B31" s="77">
        <v>0.875</v>
      </c>
      <c r="C31" s="78" t="str">
        <f t="shared" si="57"/>
        <v>CALCITIC</v>
      </c>
      <c r="D31" s="79"/>
      <c r="E31" s="80" t="str">
        <f t="shared" si="53"/>
        <v/>
      </c>
      <c r="F31" s="97">
        <f t="shared" si="14"/>
        <v>200</v>
      </c>
      <c r="G31" s="98"/>
      <c r="H31" s="85"/>
      <c r="I31" s="85"/>
      <c r="J31" s="85"/>
      <c r="K31" s="85"/>
      <c r="L31" s="85"/>
      <c r="M31" s="85"/>
      <c r="N31" s="85"/>
      <c r="O31" s="85"/>
      <c r="P31" s="87"/>
      <c r="Q31" s="98"/>
      <c r="S31" s="85"/>
      <c r="T31" s="86"/>
      <c r="U31" s="86"/>
      <c r="V31" s="86"/>
      <c r="W31" s="86"/>
      <c r="X31" s="85"/>
      <c r="Y31" s="85"/>
      <c r="Z31" s="87"/>
      <c r="AA31" s="98"/>
      <c r="AB31" s="85"/>
      <c r="AC31" s="85"/>
      <c r="AD31" s="98"/>
      <c r="AE31" s="87"/>
      <c r="AF31" s="99"/>
      <c r="AG31" s="85"/>
      <c r="AH31" s="85"/>
      <c r="AI31" s="86"/>
      <c r="AJ31" s="98"/>
      <c r="AK31" s="87"/>
      <c r="AL31" s="98"/>
      <c r="AM31" s="87"/>
      <c r="AN31" s="100"/>
      <c r="AO31" s="101"/>
      <c r="AP31" s="102">
        <f t="shared" si="42"/>
        <v>0</v>
      </c>
      <c r="AQ31" s="103">
        <f t="shared" si="58"/>
        <v>45118.833333333336</v>
      </c>
      <c r="AR31" s="102">
        <f t="shared" si="54"/>
        <v>0</v>
      </c>
      <c r="AS31" s="102">
        <f t="shared" si="43"/>
        <v>0</v>
      </c>
      <c r="AT31" s="102">
        <f t="shared" si="44"/>
        <v>0</v>
      </c>
      <c r="AU31" s="103">
        <f t="shared" si="59"/>
        <v>45118.875</v>
      </c>
      <c r="AV31" s="103">
        <f t="shared" si="45"/>
        <v>2.425316891763174E-12</v>
      </c>
      <c r="AW31" s="103">
        <f t="shared" si="55"/>
        <v>4.1666666664241347E-2</v>
      </c>
      <c r="AX31" s="103">
        <f t="shared" si="46"/>
        <v>0</v>
      </c>
      <c r="AY31" s="103">
        <f t="shared" si="56"/>
        <v>4.1666666666666664E-2</v>
      </c>
      <c r="AZ31" s="104">
        <f t="shared" si="60"/>
        <v>0</v>
      </c>
      <c r="BA31" s="105"/>
      <c r="BB31" s="85"/>
      <c r="BC31" s="106" t="str">
        <f t="shared" si="48"/>
        <v/>
      </c>
      <c r="BD31" s="107" t="e">
        <f t="shared" si="49"/>
        <v>#DIV/0!</v>
      </c>
      <c r="BE31" s="108" t="e">
        <f t="shared" si="8"/>
        <v>#VALUE!</v>
      </c>
      <c r="BF31" s="109" t="e">
        <f t="shared" si="50"/>
        <v>#VALUE!</v>
      </c>
      <c r="BG31" s="106" t="e">
        <f t="shared" si="10"/>
        <v>#VALUE!</v>
      </c>
      <c r="BH31" s="110" t="e">
        <f t="shared" si="51"/>
        <v>#VALUE!</v>
      </c>
      <c r="BI31" s="111">
        <f t="shared" si="52"/>
        <v>0</v>
      </c>
    </row>
    <row r="32" spans="1:61" ht="15" x14ac:dyDescent="0.25">
      <c r="A32" s="96">
        <f t="shared" si="41"/>
        <v>45118.916666666664</v>
      </c>
      <c r="B32" s="77">
        <v>0.91666666666666663</v>
      </c>
      <c r="C32" s="78" t="str">
        <f t="shared" si="57"/>
        <v>CALCITIC</v>
      </c>
      <c r="D32" s="79"/>
      <c r="E32" s="80" t="str">
        <f t="shared" si="53"/>
        <v/>
      </c>
      <c r="F32" s="97">
        <f t="shared" si="14"/>
        <v>200</v>
      </c>
      <c r="G32" s="98"/>
      <c r="H32" s="85"/>
      <c r="I32" s="85"/>
      <c r="J32" s="85"/>
      <c r="K32" s="85"/>
      <c r="L32" s="85"/>
      <c r="M32" s="85"/>
      <c r="N32" s="85"/>
      <c r="O32" s="85"/>
      <c r="P32" s="87"/>
      <c r="Q32" s="98"/>
      <c r="R32" s="85"/>
      <c r="S32" s="85"/>
      <c r="T32" s="86"/>
      <c r="U32" s="86"/>
      <c r="V32" s="86"/>
      <c r="W32" s="86"/>
      <c r="X32" s="85"/>
      <c r="Y32" s="85"/>
      <c r="Z32" s="87"/>
      <c r="AA32" s="98"/>
      <c r="AB32" s="85"/>
      <c r="AC32" s="85"/>
      <c r="AD32" s="98"/>
      <c r="AE32" s="87"/>
      <c r="AF32" s="99"/>
      <c r="AG32" s="85"/>
      <c r="AH32" s="85"/>
      <c r="AI32" s="86"/>
      <c r="AJ32" s="98"/>
      <c r="AK32" s="87"/>
      <c r="AL32" s="98"/>
      <c r="AM32" s="87"/>
      <c r="AN32" s="100"/>
      <c r="AO32" s="101"/>
      <c r="AP32" s="102">
        <f>AT32</f>
        <v>0</v>
      </c>
      <c r="AQ32" s="103">
        <f t="shared" si="58"/>
        <v>45118.875</v>
      </c>
      <c r="AR32" s="102">
        <f t="shared" si="54"/>
        <v>0</v>
      </c>
      <c r="AS32" s="102">
        <f t="shared" si="43"/>
        <v>0</v>
      </c>
      <c r="AT32" s="102">
        <f t="shared" si="44"/>
        <v>0</v>
      </c>
      <c r="AU32" s="103">
        <f t="shared" si="59"/>
        <v>45118.916666666664</v>
      </c>
      <c r="AV32" s="103">
        <f t="shared" si="45"/>
        <v>2.425316891763174E-12</v>
      </c>
      <c r="AW32" s="103">
        <f>AU32-AQ32</f>
        <v>4.1666666664241347E-2</v>
      </c>
      <c r="AX32" s="103">
        <f t="shared" si="46"/>
        <v>0</v>
      </c>
      <c r="AY32" s="103">
        <f t="shared" si="56"/>
        <v>4.1666666666666664E-2</v>
      </c>
      <c r="AZ32" s="104">
        <f t="shared" si="60"/>
        <v>0</v>
      </c>
      <c r="BA32" s="105"/>
      <c r="BB32" s="85"/>
      <c r="BC32" s="106" t="str">
        <f t="shared" si="48"/>
        <v/>
      </c>
      <c r="BD32" s="107" t="e">
        <f t="shared" si="49"/>
        <v>#DIV/0!</v>
      </c>
      <c r="BE32" s="108" t="e">
        <f t="shared" si="8"/>
        <v>#VALUE!</v>
      </c>
      <c r="BF32" s="109" t="e">
        <f t="shared" si="50"/>
        <v>#VALUE!</v>
      </c>
      <c r="BG32" s="106" t="e">
        <f t="shared" si="10"/>
        <v>#VALUE!</v>
      </c>
      <c r="BH32" s="110" t="e">
        <f t="shared" si="51"/>
        <v>#VALUE!</v>
      </c>
      <c r="BI32" s="111">
        <f t="shared" si="52"/>
        <v>0</v>
      </c>
    </row>
    <row r="33" spans="1:61" ht="15.75" thickBot="1" x14ac:dyDescent="0.3">
      <c r="A33" s="96"/>
      <c r="B33" s="120" t="s">
        <v>60</v>
      </c>
      <c r="C33" s="146"/>
      <c r="D33" s="147"/>
      <c r="E33" s="121">
        <f>SUM(E25:E32)</f>
        <v>0</v>
      </c>
      <c r="F33" s="122">
        <f>SUM(F25:F32)</f>
        <v>1600</v>
      </c>
      <c r="G33" s="149" t="str">
        <f>IFERROR(AVERAGE(G25:G32),"")</f>
        <v/>
      </c>
      <c r="H33" s="150" t="str">
        <f>IFERROR(AVERAGE(H25:H32),"")</f>
        <v/>
      </c>
      <c r="I33" s="150" t="str">
        <f>IFERROR(AVERAGE(I25:I32),"")</f>
        <v/>
      </c>
      <c r="J33" s="150" t="str">
        <f>IFERROR(AVERAGE(J25:J32),"")</f>
        <v/>
      </c>
      <c r="K33" s="150" t="str">
        <f>IFERROR(AVERAGE(K25:K32),"")</f>
        <v/>
      </c>
      <c r="L33" s="147">
        <f>IF(L32=0,SUM(M25:M32),L32-L23)</f>
        <v>0</v>
      </c>
      <c r="M33" s="148" t="str">
        <f>IFERROR(L33/24/AT33,"")</f>
        <v/>
      </c>
      <c r="N33" s="151" t="str">
        <f>IFERROR(AVERAGE(N25:N32),"")</f>
        <v/>
      </c>
      <c r="O33" s="151"/>
      <c r="P33" s="152"/>
      <c r="Q33" s="153"/>
      <c r="R33" s="151"/>
      <c r="S33" s="151"/>
      <c r="T33" s="151"/>
      <c r="U33" s="151"/>
      <c r="V33" s="151"/>
      <c r="W33" s="151"/>
      <c r="X33" s="151"/>
      <c r="Y33" s="151"/>
      <c r="Z33" s="152"/>
      <c r="AA33" s="153" t="str">
        <f>IFERROR(AVERAGE(AA25:AA32),"")</f>
        <v/>
      </c>
      <c r="AB33" s="151" t="str">
        <f>IFERROR(AVERAGE(AB26:AB32),"")</f>
        <v/>
      </c>
      <c r="AC33" s="151" t="str">
        <f>IFERROR(AVERAGE(AC26:AC32),"")</f>
        <v/>
      </c>
      <c r="AD33" s="153" t="str">
        <f>IFERROR(AVERAGE(AD25:AD32),"")</f>
        <v/>
      </c>
      <c r="AE33" s="152"/>
      <c r="AF33" s="141"/>
      <c r="AG33" s="136"/>
      <c r="AH33" s="136" t="str">
        <f>IFERROR(AVERAGE(AH25:AH32),"")</f>
        <v/>
      </c>
      <c r="AI33" s="142" t="str">
        <f>IFERROR(AVERAGE(AI25:AI32),"")</f>
        <v/>
      </c>
      <c r="AJ33" s="153"/>
      <c r="AK33" s="152"/>
      <c r="AL33" s="153"/>
      <c r="AM33" s="152"/>
      <c r="AN33" s="154"/>
      <c r="AO33" s="124"/>
      <c r="AP33" s="124"/>
      <c r="AQ33" s="102"/>
      <c r="AR33" s="102"/>
      <c r="AS33" s="102"/>
      <c r="AT33" s="102"/>
      <c r="AU33" s="102"/>
      <c r="AV33" s="102"/>
      <c r="AW33" s="102"/>
      <c r="AX33" s="102"/>
      <c r="AY33" s="143"/>
      <c r="AZ33" s="143"/>
      <c r="BA33" s="105"/>
      <c r="BB33" s="85">
        <f>SUM(BB25:BB32)</f>
        <v>0</v>
      </c>
      <c r="BC33" s="106"/>
      <c r="BD33" s="107"/>
      <c r="BE33" s="108"/>
      <c r="BF33" s="109"/>
      <c r="BG33" s="106"/>
      <c r="BH33" s="110"/>
      <c r="BI33" s="111"/>
    </row>
    <row r="34" spans="1:61" ht="1.9" customHeight="1" x14ac:dyDescent="0.25">
      <c r="A34" s="96"/>
      <c r="B34" s="155"/>
      <c r="C34" s="156"/>
      <c r="D34" s="156"/>
      <c r="E34" s="156"/>
      <c r="F34" s="157"/>
      <c r="G34" s="158"/>
      <c r="H34" s="158"/>
      <c r="I34" s="158"/>
      <c r="J34" s="158"/>
      <c r="K34" s="158"/>
      <c r="L34" s="159"/>
      <c r="M34" s="158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58"/>
      <c r="AO34" s="158"/>
      <c r="AP34" s="158"/>
      <c r="AY34" s="159"/>
      <c r="AZ34" s="159"/>
      <c r="BC34" s="106" t="str">
        <f>IF(M34&gt;1,+M34*N34,"")</f>
        <v/>
      </c>
      <c r="BD34" s="107" t="e">
        <f>IF(BC34&gt;0,+$BF$2*(N34-1)/N34/($BF$2-1),"")</f>
        <v>#DIV/0!</v>
      </c>
      <c r="BE34" s="108" t="e">
        <f t="shared" si="8"/>
        <v>#VALUE!</v>
      </c>
      <c r="BF34" s="109" t="e">
        <f>+BE34/E34</f>
        <v>#VALUE!</v>
      </c>
      <c r="BG34" s="106" t="e">
        <f t="shared" si="10"/>
        <v>#VALUE!</v>
      </c>
      <c r="BH34" s="110" t="e">
        <f>+BG34/E34</f>
        <v>#VALUE!</v>
      </c>
      <c r="BI34" s="111">
        <f>+M34/3600/$BH$2</f>
        <v>0</v>
      </c>
    </row>
    <row r="35" spans="1:61" ht="13.5" thickBot="1" x14ac:dyDescent="0.3">
      <c r="B35" s="161" t="s">
        <v>61</v>
      </c>
      <c r="C35" s="161"/>
      <c r="D35" s="161">
        <f>D33+D24+D15</f>
        <v>0</v>
      </c>
      <c r="E35" s="161"/>
      <c r="F35" s="161"/>
      <c r="AY35" s="162"/>
      <c r="AZ35" s="162"/>
    </row>
    <row r="36" spans="1:61" ht="13.5" thickTop="1" x14ac:dyDescent="0.25">
      <c r="B36" s="163" t="s">
        <v>62</v>
      </c>
      <c r="C36" s="164"/>
      <c r="D36" s="164"/>
      <c r="E36" s="165"/>
      <c r="F36" s="165"/>
      <c r="G36" s="166"/>
    </row>
    <row r="37" spans="1:61" ht="12.75" customHeight="1" x14ac:dyDescent="0.25">
      <c r="B37" s="167">
        <f>B1</f>
        <v>45118</v>
      </c>
      <c r="C37" s="168" t="s">
        <v>115</v>
      </c>
      <c r="D37" s="168" t="s">
        <v>61</v>
      </c>
      <c r="E37" s="169" t="s">
        <v>64</v>
      </c>
      <c r="F37" s="169" t="s">
        <v>121</v>
      </c>
      <c r="G37" s="170" t="s">
        <v>65</v>
      </c>
    </row>
    <row r="38" spans="1:61" ht="15.75" customHeight="1" x14ac:dyDescent="0.25">
      <c r="B38" s="84" t="s">
        <v>66</v>
      </c>
      <c r="C38" s="171">
        <f>+E15</f>
        <v>0</v>
      </c>
      <c r="D38" s="171">
        <f>+E24</f>
        <v>0</v>
      </c>
      <c r="E38" s="171">
        <f>+E33</f>
        <v>0</v>
      </c>
      <c r="F38" s="171">
        <f>+SUM(C38:E38)</f>
        <v>0</v>
      </c>
      <c r="G38" s="172">
        <v>1500</v>
      </c>
    </row>
    <row r="39" spans="1:61" x14ac:dyDescent="0.25">
      <c r="P39" s="177"/>
      <c r="R39" s="1" t="s">
        <v>108</v>
      </c>
    </row>
    <row r="42" spans="1:61" ht="75" x14ac:dyDescent="0.25">
      <c r="A42" s="173" t="s">
        <v>67</v>
      </c>
      <c r="B42" s="183" t="s">
        <v>67</v>
      </c>
      <c r="C42" s="184" t="s">
        <v>68</v>
      </c>
      <c r="D42" s="184" t="s">
        <v>69</v>
      </c>
      <c r="E42" s="184" t="s">
        <v>70</v>
      </c>
      <c r="F42" s="185" t="s">
        <v>71</v>
      </c>
      <c r="G42" s="184" t="s">
        <v>72</v>
      </c>
      <c r="H42" s="184" t="s">
        <v>73</v>
      </c>
      <c r="I42" s="184" t="s">
        <v>74</v>
      </c>
      <c r="J42" s="184" t="s">
        <v>75</v>
      </c>
      <c r="K42" s="184" t="s">
        <v>76</v>
      </c>
      <c r="L42" s="184" t="s">
        <v>77</v>
      </c>
      <c r="M42" s="184" t="s">
        <v>78</v>
      </c>
      <c r="N42" s="184" t="s">
        <v>79</v>
      </c>
    </row>
    <row r="43" spans="1:61" ht="14.25" customHeight="1" x14ac:dyDescent="0.25">
      <c r="A43" s="174">
        <f>+B1</f>
        <v>45118</v>
      </c>
      <c r="B43" s="186">
        <f>+B1</f>
        <v>45118</v>
      </c>
      <c r="C43" s="187">
        <f>+MIN(D6:D33)</f>
        <v>0</v>
      </c>
      <c r="D43" s="187">
        <f>+MAX(D6:D33)</f>
        <v>0</v>
      </c>
      <c r="E43" s="188">
        <f>+D43-C43</f>
        <v>0</v>
      </c>
      <c r="F43" s="189">
        <v>0.25</v>
      </c>
      <c r="G43" s="189">
        <v>0.91666666666666663</v>
      </c>
      <c r="H43" s="189">
        <f>+G43-F43</f>
        <v>0.66666666666666663</v>
      </c>
      <c r="I43" s="190">
        <f>+H43-K43</f>
        <v>0.47569444444444442</v>
      </c>
      <c r="J43" s="191">
        <f>+H43*24</f>
        <v>16</v>
      </c>
      <c r="K43" s="189">
        <v>0.19097222222222221</v>
      </c>
      <c r="L43" s="188" t="s">
        <v>112</v>
      </c>
      <c r="M43" s="192">
        <f>+E43/I43/24</f>
        <v>0</v>
      </c>
      <c r="N43" s="193"/>
    </row>
    <row r="45" spans="1:61" ht="12.75" hidden="1" customHeight="1" x14ac:dyDescent="0.25">
      <c r="F45" s="1" t="s">
        <v>80</v>
      </c>
      <c r="G45" s="1" t="str">
        <f>AY2</f>
        <v>Running</v>
      </c>
      <c r="H45" s="1" t="str">
        <f>AZ2</f>
        <v>Standing</v>
      </c>
      <c r="I45" s="1" t="str">
        <f>BA2</f>
        <v>Notes/Description</v>
      </c>
    </row>
    <row r="46" spans="1:61" ht="12.75" hidden="1" customHeight="1" x14ac:dyDescent="0.25">
      <c r="F46" s="1">
        <v>1</v>
      </c>
      <c r="G46" s="162">
        <f ca="1">AY7</f>
        <v>-4.8506407224202519E-12</v>
      </c>
      <c r="H46" s="162">
        <f ca="1">AZ7</f>
        <v>4.1666666671517305E-2</v>
      </c>
      <c r="I46" s="175" t="str">
        <f>BA7</f>
        <v>Planned plant shutdown</v>
      </c>
    </row>
    <row r="47" spans="1:61" ht="12.75" hidden="1" customHeight="1" x14ac:dyDescent="0.25">
      <c r="F47" s="1">
        <v>2</v>
      </c>
      <c r="G47" s="162">
        <f t="shared" ref="G47:I53" ca="1" si="61">AY8</f>
        <v>0</v>
      </c>
      <c r="H47" s="162">
        <f t="shared" ca="1" si="61"/>
        <v>4.1666666666666664E-2</v>
      </c>
      <c r="I47" s="175" t="str">
        <f t="shared" si="61"/>
        <v>Planned plant shutdown</v>
      </c>
    </row>
    <row r="48" spans="1:61" ht="12.75" hidden="1" customHeight="1" x14ac:dyDescent="0.25">
      <c r="F48" s="1">
        <v>3</v>
      </c>
      <c r="G48" s="162">
        <f t="shared" ca="1" si="61"/>
        <v>0</v>
      </c>
      <c r="H48" s="162">
        <f t="shared" ca="1" si="61"/>
        <v>4.1666666666666664E-2</v>
      </c>
      <c r="I48" s="175" t="str">
        <f t="shared" si="61"/>
        <v>Planned plant shutdown</v>
      </c>
    </row>
    <row r="49" spans="6:9" ht="12.75" hidden="1" customHeight="1" x14ac:dyDescent="0.25">
      <c r="F49" s="1">
        <v>4</v>
      </c>
      <c r="G49" s="162">
        <f t="shared" ca="1" si="61"/>
        <v>0</v>
      </c>
      <c r="H49" s="162">
        <f t="shared" ca="1" si="61"/>
        <v>4.1666666666666664E-2</v>
      </c>
      <c r="I49" s="175" t="str">
        <f t="shared" si="61"/>
        <v>Planned plant shutdown</v>
      </c>
    </row>
    <row r="50" spans="6:9" ht="12.75" hidden="1" customHeight="1" x14ac:dyDescent="0.25">
      <c r="F50" s="1">
        <v>5</v>
      </c>
      <c r="G50" s="162">
        <f t="shared" ca="1" si="61"/>
        <v>0</v>
      </c>
      <c r="H50" s="162">
        <f t="shared" ca="1" si="61"/>
        <v>4.1666666666666664E-2</v>
      </c>
      <c r="I50" s="175" t="str">
        <f t="shared" si="61"/>
        <v>Planned plant shutdown</v>
      </c>
    </row>
    <row r="51" spans="6:9" ht="12.75" hidden="1" customHeight="1" x14ac:dyDescent="0.25">
      <c r="F51" s="1">
        <v>6</v>
      </c>
      <c r="G51" s="162">
        <f t="shared" ca="1" si="61"/>
        <v>0</v>
      </c>
      <c r="H51" s="162">
        <f t="shared" ca="1" si="61"/>
        <v>4.1666666666666664E-2</v>
      </c>
      <c r="I51" s="175" t="str">
        <f t="shared" si="61"/>
        <v>Planned plant shutdown</v>
      </c>
    </row>
    <row r="52" spans="6:9" ht="12.75" hidden="1" customHeight="1" x14ac:dyDescent="0.25">
      <c r="F52" s="1">
        <v>7</v>
      </c>
      <c r="G52" s="162">
        <f t="shared" ca="1" si="61"/>
        <v>0</v>
      </c>
      <c r="H52" s="162">
        <f t="shared" ca="1" si="61"/>
        <v>4.1666666666666664E-2</v>
      </c>
      <c r="I52" s="175" t="str">
        <f t="shared" si="61"/>
        <v>Planned plant shutdown</v>
      </c>
    </row>
    <row r="53" spans="6:9" ht="12.75" hidden="1" customHeight="1" x14ac:dyDescent="0.25">
      <c r="F53" s="1">
        <v>8</v>
      </c>
      <c r="G53" s="162">
        <f t="shared" ca="1" si="61"/>
        <v>0</v>
      </c>
      <c r="H53" s="162">
        <f t="shared" ca="1" si="61"/>
        <v>4.1666666666666664E-2</v>
      </c>
      <c r="I53" s="175" t="str">
        <f t="shared" si="61"/>
        <v>Planned plant shutdown</v>
      </c>
    </row>
    <row r="54" spans="6:9" ht="12.75" hidden="1" customHeight="1" x14ac:dyDescent="0.25">
      <c r="F54" s="1">
        <v>9</v>
      </c>
      <c r="G54" s="162">
        <f t="shared" ref="G54:I61" si="62">AY16</f>
        <v>0</v>
      </c>
      <c r="H54" s="162">
        <f t="shared" si="62"/>
        <v>4.1666666666666685E-2</v>
      </c>
      <c r="I54" s="175" t="str">
        <f t="shared" si="62"/>
        <v>06:00 -07:00&gt; Caucus and plant startup</v>
      </c>
    </row>
    <row r="55" spans="6:9" ht="12.75" hidden="1" customHeight="1" x14ac:dyDescent="0.25">
      <c r="F55" s="1">
        <v>10</v>
      </c>
      <c r="G55" s="162">
        <f t="shared" si="62"/>
        <v>2.7777777777777825E-2</v>
      </c>
      <c r="H55" s="162">
        <f t="shared" si="62"/>
        <v>1.388888888888884E-2</v>
      </c>
      <c r="I55" s="175" t="str">
        <f>BA17</f>
        <v>07:10-07:20&gt;Stop plant feeder due to conveyer no. 5 trip. 07:20&gt;  Plant feeder speed was reduced to monitoring conveyor number 5</v>
      </c>
    </row>
    <row r="56" spans="6:9" ht="12.75" hidden="1" customHeight="1" x14ac:dyDescent="0.25">
      <c r="F56" s="1">
        <v>11</v>
      </c>
      <c r="G56" s="162">
        <f t="shared" si="62"/>
        <v>2.7777777777777769E-2</v>
      </c>
      <c r="H56" s="162">
        <f t="shared" si="62"/>
        <v>1.3888888888888895E-2</v>
      </c>
      <c r="I56" s="175" t="str">
        <f>BA18</f>
        <v>08:25&gt;08:35 Power deep (09:00-09:10&gt; Plant and secondary feeder stopped due   Tertiary bin high level, waiting to drop)</v>
      </c>
    </row>
    <row r="57" spans="6:9" ht="12.75" hidden="1" customHeight="1" x14ac:dyDescent="0.25">
      <c r="F57" s="1">
        <v>12</v>
      </c>
      <c r="G57" s="162">
        <f t="shared" si="62"/>
        <v>3.819444444444451E-2</v>
      </c>
      <c r="H57" s="162">
        <f t="shared" si="62"/>
        <v>3.4722222222221544E-3</v>
      </c>
      <c r="I57" s="175" t="str">
        <f t="shared" si="62"/>
        <v>09:35&gt;Stop plant feeder, tertiary bin full full</v>
      </c>
    </row>
    <row r="58" spans="6:9" ht="12.75" hidden="1" customHeight="1" x14ac:dyDescent="0.25">
      <c r="F58" s="1">
        <v>13</v>
      </c>
      <c r="G58" s="162">
        <f t="shared" si="62"/>
        <v>4.1666666666666664E-2</v>
      </c>
      <c r="H58" s="162">
        <f t="shared" si="62"/>
        <v>0</v>
      </c>
      <c r="I58" s="175">
        <f t="shared" si="62"/>
        <v>0</v>
      </c>
    </row>
    <row r="59" spans="6:9" ht="12.75" hidden="1" customHeight="1" x14ac:dyDescent="0.25">
      <c r="F59" s="1">
        <v>14</v>
      </c>
      <c r="G59" s="162">
        <f t="shared" si="62"/>
        <v>4.1666666666666664E-2</v>
      </c>
      <c r="H59" s="162">
        <f t="shared" si="62"/>
        <v>0</v>
      </c>
      <c r="I59" s="175">
        <f t="shared" si="62"/>
        <v>0</v>
      </c>
    </row>
    <row r="60" spans="6:9" ht="12.75" hidden="1" customHeight="1" x14ac:dyDescent="0.25">
      <c r="F60" s="1">
        <v>15</v>
      </c>
      <c r="G60" s="162">
        <f t="shared" si="62"/>
        <v>4.1666666666666664E-2</v>
      </c>
      <c r="H60" s="162">
        <f t="shared" si="62"/>
        <v>0</v>
      </c>
      <c r="I60" s="175">
        <f t="shared" si="62"/>
        <v>0</v>
      </c>
    </row>
    <row r="61" spans="6:9" ht="12.75" hidden="1" customHeight="1" x14ac:dyDescent="0.25">
      <c r="F61" s="1">
        <v>16</v>
      </c>
      <c r="G61" s="162">
        <f t="shared" si="62"/>
        <v>4.1666666666666664E-2</v>
      </c>
      <c r="H61" s="162">
        <f t="shared" si="62"/>
        <v>0</v>
      </c>
      <c r="I61" s="175">
        <f>BA23</f>
        <v>0</v>
      </c>
    </row>
    <row r="62" spans="6:9" ht="12.75" hidden="1" customHeight="1" x14ac:dyDescent="0.25">
      <c r="F62" s="1">
        <v>17</v>
      </c>
      <c r="G62" s="162">
        <f t="shared" ref="G62:I69" si="63">AY25</f>
        <v>4.1666666666666664E-2</v>
      </c>
      <c r="H62" s="162">
        <f t="shared" si="63"/>
        <v>0</v>
      </c>
      <c r="I62" s="175">
        <f>BA26</f>
        <v>0</v>
      </c>
    </row>
    <row r="63" spans="6:9" ht="12.75" hidden="1" customHeight="1" x14ac:dyDescent="0.25">
      <c r="F63" s="1">
        <v>18</v>
      </c>
      <c r="G63" s="162">
        <f t="shared" si="63"/>
        <v>4.1666666666666664E-2</v>
      </c>
      <c r="H63" s="162">
        <f t="shared" si="63"/>
        <v>0</v>
      </c>
      <c r="I63" s="175">
        <f>BA27</f>
        <v>0</v>
      </c>
    </row>
    <row r="64" spans="6:9" ht="12.75" hidden="1" customHeight="1" x14ac:dyDescent="0.25">
      <c r="F64" s="1">
        <v>19</v>
      </c>
      <c r="G64" s="162">
        <f t="shared" si="63"/>
        <v>4.1666666666666664E-2</v>
      </c>
      <c r="H64" s="162">
        <f t="shared" si="63"/>
        <v>0</v>
      </c>
      <c r="I64" s="175">
        <f>BA28</f>
        <v>0</v>
      </c>
    </row>
    <row r="65" spans="6:9" ht="12.75" hidden="1" customHeight="1" x14ac:dyDescent="0.25">
      <c r="F65" s="1">
        <v>20</v>
      </c>
      <c r="G65" s="162">
        <f t="shared" si="63"/>
        <v>4.1666666666666664E-2</v>
      </c>
      <c r="H65" s="162">
        <f t="shared" si="63"/>
        <v>0</v>
      </c>
      <c r="I65" s="175">
        <f>BA29</f>
        <v>0</v>
      </c>
    </row>
    <row r="66" spans="6:9" ht="12.75" hidden="1" customHeight="1" x14ac:dyDescent="0.25">
      <c r="F66" s="1">
        <v>21</v>
      </c>
      <c r="G66" s="162">
        <f t="shared" si="63"/>
        <v>4.1666666666666664E-2</v>
      </c>
      <c r="H66" s="162">
        <f t="shared" si="63"/>
        <v>0</v>
      </c>
      <c r="I66" s="175">
        <f>BA30</f>
        <v>0</v>
      </c>
    </row>
    <row r="67" spans="6:9" ht="12.75" hidden="1" customHeight="1" x14ac:dyDescent="0.25">
      <c r="F67" s="1">
        <v>22</v>
      </c>
      <c r="G67" s="162">
        <f t="shared" si="63"/>
        <v>4.1666666666666664E-2</v>
      </c>
      <c r="H67" s="162">
        <f t="shared" si="63"/>
        <v>0</v>
      </c>
      <c r="I67" s="175" t="e">
        <f>#REF!</f>
        <v>#REF!</v>
      </c>
    </row>
    <row r="68" spans="6:9" ht="13.5" hidden="1" customHeight="1" x14ac:dyDescent="0.25">
      <c r="F68" s="1">
        <v>23</v>
      </c>
      <c r="G68" s="162">
        <f t="shared" si="63"/>
        <v>4.1666666666666664E-2</v>
      </c>
      <c r="H68" s="162">
        <f t="shared" si="63"/>
        <v>0</v>
      </c>
      <c r="I68" s="175">
        <f t="shared" si="63"/>
        <v>0</v>
      </c>
    </row>
    <row r="69" spans="6:9" hidden="1" x14ac:dyDescent="0.25">
      <c r="F69" s="1">
        <v>24</v>
      </c>
      <c r="G69" s="162">
        <f t="shared" si="63"/>
        <v>4.1666666666666664E-2</v>
      </c>
      <c r="H69" s="162">
        <f t="shared" si="63"/>
        <v>0</v>
      </c>
      <c r="I69" s="175">
        <f t="shared" si="63"/>
        <v>0</v>
      </c>
    </row>
  </sheetData>
  <mergeCells count="25">
    <mergeCell ref="AY5:AZ5"/>
    <mergeCell ref="Q2:Q3"/>
    <mergeCell ref="R2:S2"/>
    <mergeCell ref="T2:T3"/>
    <mergeCell ref="U2:U3"/>
    <mergeCell ref="V2:V3"/>
    <mergeCell ref="W2:W3"/>
    <mergeCell ref="AJ1:AK1"/>
    <mergeCell ref="AL1:AM1"/>
    <mergeCell ref="G2:G3"/>
    <mergeCell ref="H2:I2"/>
    <mergeCell ref="J2:J3"/>
    <mergeCell ref="K2:K3"/>
    <mergeCell ref="L2:L3"/>
    <mergeCell ref="M2:M3"/>
    <mergeCell ref="N2:N3"/>
    <mergeCell ref="O2:P2"/>
    <mergeCell ref="AF1:AI1"/>
    <mergeCell ref="X2:X3"/>
    <mergeCell ref="Y2:Z2"/>
    <mergeCell ref="C1:F1"/>
    <mergeCell ref="G1:P1"/>
    <mergeCell ref="Q1:Z1"/>
    <mergeCell ref="AA1:AC1"/>
    <mergeCell ref="AD1:AE1"/>
  </mergeCells>
  <conditionalFormatting sqref="J24:K24 J33:K33">
    <cfRule type="cellIs" dxfId="547" priority="91" operator="greaterThan">
      <formula>75</formula>
    </cfRule>
    <cfRule type="cellIs" dxfId="546" priority="90" operator="lessThan">
      <formula>75</formula>
    </cfRule>
  </conditionalFormatting>
  <conditionalFormatting sqref="M15 M24 M33">
    <cfRule type="cellIs" dxfId="545" priority="81" operator="lessThan">
      <formula>52.5</formula>
    </cfRule>
    <cfRule type="cellIs" dxfId="544" priority="82" operator="greaterThan">
      <formula>52.5</formula>
    </cfRule>
  </conditionalFormatting>
  <conditionalFormatting sqref="R20:T20">
    <cfRule type="cellIs" dxfId="543" priority="31" operator="equal">
      <formula>"N"</formula>
    </cfRule>
    <cfRule type="cellIs" dxfId="542" priority="32" operator="equal">
      <formula>"Y"</formula>
    </cfRule>
    <cfRule type="cellIs" dxfId="541" priority="33" operator="equal">
      <formula>"N"</formula>
    </cfRule>
    <cfRule type="cellIs" dxfId="540" priority="34" operator="equal">
      <formula>"Y"</formula>
    </cfRule>
  </conditionalFormatting>
  <conditionalFormatting sqref="R22:T22">
    <cfRule type="cellIs" dxfId="539" priority="23" operator="equal">
      <formula>"N"</formula>
    </cfRule>
    <cfRule type="cellIs" dxfId="538" priority="21" operator="equal">
      <formula>"N"</formula>
    </cfRule>
    <cfRule type="cellIs" dxfId="537" priority="22" operator="equal">
      <formula>"Y"</formula>
    </cfRule>
    <cfRule type="cellIs" dxfId="536" priority="24" operator="equal">
      <formula>"Y"</formula>
    </cfRule>
  </conditionalFormatting>
  <conditionalFormatting sqref="R16:Y19">
    <cfRule type="cellIs" dxfId="535" priority="5" operator="equal">
      <formula>"N"</formula>
    </cfRule>
    <cfRule type="cellIs" dxfId="534" priority="6" operator="equal">
      <formula>"Y"</formula>
    </cfRule>
    <cfRule type="cellIs" dxfId="533" priority="7" operator="equal">
      <formula>"N"</formula>
    </cfRule>
    <cfRule type="cellIs" dxfId="532" priority="8" operator="equal">
      <formula>"Y"</formula>
    </cfRule>
  </conditionalFormatting>
  <conditionalFormatting sqref="S20:T20 U20:V22">
    <cfRule type="cellIs" dxfId="531" priority="29" operator="equal">
      <formula>"S"</formula>
    </cfRule>
    <cfRule type="cellIs" dxfId="530" priority="30" operator="equal">
      <formula>"C"</formula>
    </cfRule>
  </conditionalFormatting>
  <conditionalFormatting sqref="S22:T22">
    <cfRule type="cellIs" dxfId="529" priority="19" operator="equal">
      <formula>"S"</formula>
    </cfRule>
    <cfRule type="cellIs" dxfId="528" priority="20" operator="equal">
      <formula>"C"</formula>
    </cfRule>
  </conditionalFormatting>
  <conditionalFormatting sqref="S16:V19">
    <cfRule type="cellIs" dxfId="527" priority="3" operator="equal">
      <formula>"S"</formula>
    </cfRule>
    <cfRule type="cellIs" dxfId="526" priority="4" operator="equal">
      <formula>"C"</formula>
    </cfRule>
  </conditionalFormatting>
  <conditionalFormatting sqref="S12:W14">
    <cfRule type="cellIs" dxfId="525" priority="60" operator="equal">
      <formula>"C"</formula>
    </cfRule>
    <cfRule type="cellIs" dxfId="524" priority="59" operator="equal">
      <formula>"S"</formula>
    </cfRule>
  </conditionalFormatting>
  <conditionalFormatting sqref="S6:Z15">
    <cfRule type="cellIs" dxfId="523" priority="52" operator="equal">
      <formula>"Y"</formula>
    </cfRule>
    <cfRule type="cellIs" dxfId="522" priority="49" operator="equal">
      <formula>"N"</formula>
    </cfRule>
    <cfRule type="cellIs" dxfId="521" priority="50" operator="equal">
      <formula>"Y"</formula>
    </cfRule>
    <cfRule type="cellIs" dxfId="520" priority="51" operator="equal">
      <formula>"N"</formula>
    </cfRule>
  </conditionalFormatting>
  <conditionalFormatting sqref="S23:Z33">
    <cfRule type="cellIs" dxfId="519" priority="39" operator="equal">
      <formula>"N"</formula>
    </cfRule>
    <cfRule type="cellIs" dxfId="518" priority="40" operator="equal">
      <formula>"Y"</formula>
    </cfRule>
    <cfRule type="cellIs" dxfId="517" priority="37" operator="equal">
      <formula>"N"</formula>
    </cfRule>
    <cfRule type="cellIs" dxfId="516" priority="38" operator="equal">
      <formula>"Y"</formula>
    </cfRule>
  </conditionalFormatting>
  <conditionalFormatting sqref="T15 T23:W23 T24 T33">
    <cfRule type="cellIs" dxfId="515" priority="79" operator="equal">
      <formula>"S"</formula>
    </cfRule>
    <cfRule type="cellIs" dxfId="514" priority="80" operator="equal">
      <formula>"C"</formula>
    </cfRule>
  </conditionalFormatting>
  <conditionalFormatting sqref="T6:W11">
    <cfRule type="cellIs" dxfId="513" priority="48" operator="equal">
      <formula>"C"</formula>
    </cfRule>
    <cfRule type="cellIs" dxfId="512" priority="47" operator="equal">
      <formula>"S"</formula>
    </cfRule>
  </conditionalFormatting>
  <conditionalFormatting sqref="T25:W32">
    <cfRule type="cellIs" dxfId="511" priority="35" operator="equal">
      <formula>"S"</formula>
    </cfRule>
    <cfRule type="cellIs" dxfId="510" priority="36" operator="equal">
      <formula>"C"</formula>
    </cfRule>
  </conditionalFormatting>
  <conditionalFormatting sqref="U20:Y22">
    <cfRule type="cellIs" dxfId="509" priority="28" operator="equal">
      <formula>"Y"</formula>
    </cfRule>
    <cfRule type="cellIs" dxfId="508" priority="27" operator="equal">
      <formula>"N"</formula>
    </cfRule>
    <cfRule type="cellIs" dxfId="507" priority="26" operator="equal">
      <formula>"Y"</formula>
    </cfRule>
    <cfRule type="cellIs" dxfId="506" priority="25" operator="equal">
      <formula>"N"</formula>
    </cfRule>
  </conditionalFormatting>
  <conditionalFormatting sqref="AP4:AP5">
    <cfRule type="iconSet" priority="89">
      <iconSet iconSet="3Symbols2">
        <cfvo type="percent" val="0"/>
        <cfvo type="percent" val="33"/>
        <cfvo type="percent" val="67"/>
      </iconSet>
    </cfRule>
  </conditionalFormatting>
  <conditionalFormatting sqref="AP6">
    <cfRule type="iconSet" priority="88">
      <iconSet iconSet="3Symbols2">
        <cfvo type="percent" val="0"/>
        <cfvo type="percent" val="33"/>
        <cfvo type="percent" val="67"/>
      </iconSet>
    </cfRule>
  </conditionalFormatting>
  <conditionalFormatting sqref="AP7:AP14">
    <cfRule type="iconSet" priority="87">
      <iconSet iconSet="3Symbols2">
        <cfvo type="percent" val="0"/>
        <cfvo type="percent" val="33"/>
        <cfvo type="percent" val="67"/>
      </iconSet>
    </cfRule>
  </conditionalFormatting>
  <conditionalFormatting sqref="AP15 AP24">
    <cfRule type="iconSet" priority="92">
      <iconSet iconSet="3Symbols2">
        <cfvo type="percent" val="0"/>
        <cfvo type="percent" val="33"/>
        <cfvo type="percent" val="67"/>
      </iconSet>
    </cfRule>
  </conditionalFormatting>
  <conditionalFormatting sqref="AP16:AP2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AP25:AP3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796C-A0DC-49FD-8537-374DE325BEDF}">
  <sheetPr>
    <pageSetUpPr fitToPage="1"/>
  </sheetPr>
  <dimension ref="A1:AV71"/>
  <sheetViews>
    <sheetView showGridLines="0" zoomScaleNormal="100" workbookViewId="0">
      <pane xSplit="2" ySplit="6" topLeftCell="C36" activePane="bottomRight" state="frozen"/>
      <selection pane="topRight" activeCell="C1" sqref="C1"/>
      <selection pane="bottomLeft" activeCell="A7" sqref="A7"/>
      <selection pane="bottomRight" activeCell="L41" sqref="L41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'05 Aug 23'!_10_Jul_23+1</f>
        <v>45144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45143.958333333336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45144.916666666672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45143.958333333336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45144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45143.958333333336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45144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45144.041666666664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45144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45144.041666666664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45144.083333333336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45144.041666666672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45144.083333333336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45144.125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45144.083333333336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45144.125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45144.166666666664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45144.125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45144.166666666664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45144.208333333336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45144.166666666672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45144.208333333336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45144.25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45144.208333333336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45144.25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45144.291666666664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45144.25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45144.291666666664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45144.333333333336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45144.291666666672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45144.333333333336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45144.375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45144.333333333336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45144.375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45144.416666666664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45144.375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45144.416666666664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45144.458333333336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45144.416666666672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45144.458333333336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45144.5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45144.458333333336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45144.5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45144.541666666664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45144.5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45144.541666666664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45144.583333333336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45144.541666666672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45144.583333333336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45144.625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45144.583333333336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45144.625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45144.666666666664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45144.625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45144.666666666664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45144.708333333336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45144.666666666672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45144.708333333336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45144.75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45144.708333333336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45144.75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45144.791666666664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45144.75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45144.791666666664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45144.833333333336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45144.791666666672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45144.833333333336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45144.875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45144.833333333336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45144.875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45144.916666666664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45144.875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45144.916666666664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45144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+J40+I40+H40</f>
        <v>0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G2:H2"/>
    <mergeCell ref="I2:I3"/>
    <mergeCell ref="N2:O2"/>
    <mergeCell ref="R2:R3"/>
    <mergeCell ref="AT5:AU5"/>
    <mergeCell ref="J2:J3"/>
    <mergeCell ref="K2:K3"/>
    <mergeCell ref="C1:F1"/>
    <mergeCell ref="L2:M2"/>
    <mergeCell ref="P2:P3"/>
    <mergeCell ref="AA1:AD1"/>
    <mergeCell ref="AE1:AF1"/>
    <mergeCell ref="AG1:AH1"/>
    <mergeCell ref="Q2:Q3"/>
    <mergeCell ref="T2:U2"/>
    <mergeCell ref="S2:S3"/>
    <mergeCell ref="G1:M1"/>
    <mergeCell ref="N1:U1"/>
    <mergeCell ref="V1:X1"/>
    <mergeCell ref="Y1:Z1"/>
  </mergeCells>
  <conditionalFormatting sqref="I6">
    <cfRule type="cellIs" dxfId="505" priority="40" operator="greaterThan">
      <formula>$I$4</formula>
    </cfRule>
    <cfRule type="cellIs" dxfId="504" priority="39" operator="lessThan">
      <formula>$I$4</formula>
    </cfRule>
  </conditionalFormatting>
  <conditionalFormatting sqref="N33">
    <cfRule type="cellIs" dxfId="503" priority="49" operator="greaterThan">
      <formula>75</formula>
    </cfRule>
    <cfRule type="cellIs" dxfId="502" priority="48" operator="lessThan">
      <formula>75</formula>
    </cfRule>
  </conditionalFormatting>
  <conditionalFormatting sqref="P15 P24 P33">
    <cfRule type="cellIs" dxfId="501" priority="38" operator="greaterThan">
      <formula>52.5</formula>
    </cfRule>
    <cfRule type="cellIs" dxfId="500" priority="37" operator="lessThan">
      <formula>52.5</formula>
    </cfRule>
  </conditionalFormatting>
  <conditionalFormatting sqref="S18:S22 U18:U22 S23:U23">
    <cfRule type="cellIs" dxfId="499" priority="17" operator="equal">
      <formula>"N"</formula>
    </cfRule>
    <cfRule type="cellIs" dxfId="498" priority="18" operator="equal">
      <formula>"Y"</formula>
    </cfRule>
  </conditionalFormatting>
  <conditionalFormatting sqref="S18:S22 U18:AB22 S23:AB23">
    <cfRule type="cellIs" dxfId="497" priority="11" operator="equal">
      <formula>"N"</formula>
    </cfRule>
    <cfRule type="cellIs" dxfId="496" priority="12" operator="equal">
      <formula>"Y"</formula>
    </cfRule>
  </conditionalFormatting>
  <conditionalFormatting sqref="T23">
    <cfRule type="cellIs" dxfId="495" priority="9" operator="equal">
      <formula>"S"</formula>
    </cfRule>
    <cfRule type="cellIs" dxfId="494" priority="10" operator="equal">
      <formula>"C"</formula>
    </cfRule>
    <cfRule type="cellIs" dxfId="493" priority="21" operator="equal">
      <formula>"N"</formula>
    </cfRule>
    <cfRule type="cellIs" dxfId="492" priority="22" operator="equal">
      <formula>"Y"</formula>
    </cfRule>
    <cfRule type="cellIs" dxfId="491" priority="23" operator="equal">
      <formula>"N"</formula>
    </cfRule>
    <cfRule type="cellIs" dxfId="490" priority="24" operator="equal">
      <formula>"Y"</formula>
    </cfRule>
  </conditionalFormatting>
  <conditionalFormatting sqref="T15:Z15">
    <cfRule type="cellIs" dxfId="489" priority="44" operator="equal">
      <formula>"N"</formula>
    </cfRule>
    <cfRule type="cellIs" dxfId="488" priority="45" operator="equal">
      <formula>"Y"</formula>
    </cfRule>
  </conditionalFormatting>
  <conditionalFormatting sqref="T6:AA14">
    <cfRule type="cellIs" dxfId="487" priority="32" operator="equal">
      <formula>"Y"</formula>
    </cfRule>
    <cfRule type="cellIs" dxfId="486" priority="31" operator="equal">
      <formula>"N"</formula>
    </cfRule>
  </conditionalFormatting>
  <conditionalFormatting sqref="T16:AA16 U17:AA17 T17:T22">
    <cfRule type="cellIs" dxfId="485" priority="7" operator="equal">
      <formula>"N"</formula>
    </cfRule>
    <cfRule type="cellIs" dxfId="484" priority="8" operator="equal">
      <formula>"Y"</formula>
    </cfRule>
  </conditionalFormatting>
  <conditionalFormatting sqref="T24:AA24 T33:AA33">
    <cfRule type="cellIs" dxfId="483" priority="35" operator="equal">
      <formula>"N"</formula>
    </cfRule>
    <cfRule type="cellIs" dxfId="482" priority="36" operator="equal">
      <formula>"Y"</formula>
    </cfRule>
  </conditionalFormatting>
  <conditionalFormatting sqref="T6:AC16 U17:AC17 T17:T22">
    <cfRule type="cellIs" dxfId="481" priority="3" operator="equal">
      <formula>"N"</formula>
    </cfRule>
    <cfRule type="cellIs" dxfId="480" priority="4" operator="equal">
      <formula>"Y"</formula>
    </cfRule>
  </conditionalFormatting>
  <conditionalFormatting sqref="T24:AC24 T33:AC33">
    <cfRule type="cellIs" dxfId="479" priority="28" operator="equal">
      <formula>"Y"</formula>
    </cfRule>
    <cfRule type="cellIs" dxfId="478" priority="27" operator="equal">
      <formula>"N"</formula>
    </cfRule>
  </conditionalFormatting>
  <conditionalFormatting sqref="U6:U24">
    <cfRule type="cellIs" dxfId="477" priority="1" operator="equal">
      <formula>"S"</formula>
    </cfRule>
    <cfRule type="cellIs" dxfId="476" priority="2" operator="equal">
      <formula>"C"</formula>
    </cfRule>
  </conditionalFormatting>
  <conditionalFormatting sqref="U33">
    <cfRule type="cellIs" dxfId="475" priority="26" operator="equal">
      <formula>"C"</formula>
    </cfRule>
    <cfRule type="cellIs" dxfId="474" priority="25" operator="equal">
      <formula>"S"</formula>
    </cfRule>
  </conditionalFormatting>
  <conditionalFormatting sqref="V15">
    <cfRule type="cellIs" dxfId="473" priority="42" operator="equal">
      <formula>"S"</formula>
    </cfRule>
    <cfRule type="cellIs" dxfId="472" priority="43" operator="equal">
      <formula>"C"</formula>
    </cfRule>
  </conditionalFormatting>
  <conditionalFormatting sqref="V18:W23">
    <cfRule type="cellIs" dxfId="471" priority="20" operator="equal">
      <formula>"C"</formula>
    </cfRule>
    <cfRule type="cellIs" dxfId="470" priority="19" operator="equal">
      <formula>"S"</formula>
    </cfRule>
  </conditionalFormatting>
  <conditionalFormatting sqref="V6:X14">
    <cfRule type="cellIs" dxfId="469" priority="29" operator="equal">
      <formula>"S"</formula>
    </cfRule>
    <cfRule type="cellIs" dxfId="468" priority="30" operator="equal">
      <formula>"C"</formula>
    </cfRule>
  </conditionalFormatting>
  <conditionalFormatting sqref="V16:X17">
    <cfRule type="cellIs" dxfId="467" priority="6" operator="equal">
      <formula>"C"</formula>
    </cfRule>
    <cfRule type="cellIs" dxfId="466" priority="5" operator="equal">
      <formula>"S"</formula>
    </cfRule>
  </conditionalFormatting>
  <conditionalFormatting sqref="V18:Z23">
    <cfRule type="cellIs" dxfId="465" priority="14" operator="equal">
      <formula>"Y"</formula>
    </cfRule>
    <cfRule type="cellIs" dxfId="464" priority="13" operator="equal">
      <formula>"N"</formula>
    </cfRule>
  </conditionalFormatting>
  <conditionalFormatting sqref="AG6:AG14">
    <cfRule type="cellIs" dxfId="463" priority="33" operator="lessThan">
      <formula>1.19</formula>
    </cfRule>
    <cfRule type="cellIs" dxfId="462" priority="34" operator="greaterThan">
      <formula>1.19</formula>
    </cfRule>
  </conditionalFormatting>
  <conditionalFormatting sqref="AG16:AG23">
    <cfRule type="cellIs" dxfId="461" priority="46" operator="lessThan">
      <formula>1.19</formula>
    </cfRule>
    <cfRule type="cellIs" dxfId="460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DC90-20BD-473E-9998-90E1C2A234CF}">
  <sheetPr>
    <pageSetUpPr fitToPage="1"/>
  </sheetPr>
  <dimension ref="A1:AV71"/>
  <sheetViews>
    <sheetView showGridLines="0" zoomScaleNormal="100" workbookViewId="0">
      <pane xSplit="2" ySplit="6" topLeftCell="C122" activePane="bottomRight" state="frozen"/>
      <selection pane="topRight" activeCell="C1" sqref="C1"/>
      <selection pane="bottomLeft" activeCell="A7" sqref="A7"/>
      <selection pane="bottomRight" activeCell="Q33" sqref="Q33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'06 Aug 23'!B1+1</f>
        <v>45145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819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v>76403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45144.958333333336</v>
      </c>
      <c r="B7" s="198">
        <v>0.95833333333333304</v>
      </c>
      <c r="C7" s="199" t="s">
        <v>130</v>
      </c>
      <c r="D7" s="79">
        <v>76403</v>
      </c>
      <c r="E7" s="80">
        <f t="shared" ref="E7:E14" si="0">IF(D7&gt;0,D7-D6,"")</f>
        <v>0</v>
      </c>
      <c r="F7" s="200">
        <f>F6</f>
        <v>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>
        <v>0.91736111111111107</v>
      </c>
      <c r="AJ7" s="101"/>
      <c r="AK7" s="102">
        <f t="shared" ref="AK7:AK13" si="1">AO7</f>
        <v>0</v>
      </c>
      <c r="AL7" s="103">
        <f>IF(AI7&lt;&gt;"",AI7+$B$1-1,B7+$B$1-1/24)</f>
        <v>45144.917361111111</v>
      </c>
      <c r="AM7" s="102">
        <f>AK6</f>
        <v>1</v>
      </c>
      <c r="AN7" s="102">
        <f t="shared" ref="AN7:AN14" si="2">IF(AI7="",AM7,0)</f>
        <v>0</v>
      </c>
      <c r="AO7" s="102">
        <f t="shared" ref="AO7:AO14" si="3">IF(AJ7&lt;&gt;"",1,AN7)</f>
        <v>0</v>
      </c>
      <c r="AP7" s="103">
        <f>IF(AJ7&lt;&gt;"",AJ7+$B$1-1,B7+$B$1-1)</f>
        <v>45144.958333333336</v>
      </c>
      <c r="AQ7" s="103">
        <f t="shared" ref="AQ7:AQ14" si="4">AL7-A7+1/24</f>
        <v>6.9444444185743498E-4</v>
      </c>
      <c r="AR7" s="103">
        <f>AP7-AL7</f>
        <v>4.0972222224809229E-2</v>
      </c>
      <c r="AS7" s="103">
        <f t="shared" ref="AS7:AS14" si="5">A7-AP7</f>
        <v>0</v>
      </c>
      <c r="AT7" s="103">
        <f t="shared" ref="AT7:AT14" ca="1" si="6">IF(A7&lt;$AU$1,SUMPRODUCT(AM7:AO7,AQ7:AS7),0)</f>
        <v>6.9444444185743498E-4</v>
      </c>
      <c r="AU7" s="104">
        <f t="shared" ref="AU7:AU14" ca="1" si="7">IF(A7&lt;$AU$1,1/24-AT7,0)</f>
        <v>4.0972222224809229E-2</v>
      </c>
      <c r="AV7" s="239" t="s">
        <v>289</v>
      </c>
    </row>
    <row r="8" spans="1:48" x14ac:dyDescent="0.25">
      <c r="A8" s="96">
        <f t="shared" ref="A8:A23" si="8">B8+$B$1</f>
        <v>45145</v>
      </c>
      <c r="B8" s="198">
        <v>0</v>
      </c>
      <c r="C8" s="199" t="s">
        <v>130</v>
      </c>
      <c r="D8" s="79">
        <v>76403</v>
      </c>
      <c r="E8" s="80">
        <f t="shared" si="0"/>
        <v>0</v>
      </c>
      <c r="F8" s="200">
        <f t="shared" ref="F8:F33" si="9">F7</f>
        <v>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0</v>
      </c>
      <c r="AL8" s="103">
        <f>IF(AI8&lt;&gt;"",AI8+$B$1-1,B8+$B$1-1/24)</f>
        <v>45144.958333333336</v>
      </c>
      <c r="AM8" s="102">
        <f t="shared" ref="AM8:AM14" si="10">AK7</f>
        <v>0</v>
      </c>
      <c r="AN8" s="102">
        <f t="shared" si="2"/>
        <v>0</v>
      </c>
      <c r="AO8" s="102">
        <f t="shared" si="3"/>
        <v>0</v>
      </c>
      <c r="AP8" s="103">
        <f>IF(AJ8&lt;&gt;"",AJ8+$B$1-1,B8+$B$1)</f>
        <v>45145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4.1666666666666664E-2</v>
      </c>
      <c r="AV8" s="239" t="s">
        <v>289</v>
      </c>
    </row>
    <row r="9" spans="1:48" x14ac:dyDescent="0.25">
      <c r="A9" s="96">
        <f t="shared" si="8"/>
        <v>45145.041666666664</v>
      </c>
      <c r="B9" s="198">
        <v>4.1666666666666664E-2</v>
      </c>
      <c r="C9" s="199" t="s">
        <v>130</v>
      </c>
      <c r="D9" s="79">
        <v>76403</v>
      </c>
      <c r="E9" s="80">
        <f t="shared" si="0"/>
        <v>0</v>
      </c>
      <c r="F9" s="200">
        <f t="shared" si="9"/>
        <v>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0</v>
      </c>
      <c r="AL9" s="103">
        <f t="shared" ref="AL9:AL14" si="12">IF(AI9&lt;&gt;"",AI9+$B$1,B9+$B$1-1/24)</f>
        <v>45145</v>
      </c>
      <c r="AM9" s="102">
        <f t="shared" si="10"/>
        <v>0</v>
      </c>
      <c r="AN9" s="102">
        <f t="shared" si="2"/>
        <v>0</v>
      </c>
      <c r="AO9" s="102">
        <f t="shared" si="3"/>
        <v>0</v>
      </c>
      <c r="AP9" s="103">
        <f t="shared" ref="AP9:AP14" si="13">IF(AJ9&lt;&gt;"",AJ9+$B$1,B9+$B$1)</f>
        <v>45145.041666666664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4.1666666666666664E-2</v>
      </c>
      <c r="AV9" s="239" t="s">
        <v>289</v>
      </c>
    </row>
    <row r="10" spans="1:48" ht="15" customHeight="1" x14ac:dyDescent="0.25">
      <c r="A10" s="96">
        <f t="shared" si="8"/>
        <v>45145.083333333336</v>
      </c>
      <c r="B10" s="198">
        <v>8.3333333333333329E-2</v>
      </c>
      <c r="C10" s="199" t="s">
        <v>130</v>
      </c>
      <c r="D10" s="79">
        <v>76403</v>
      </c>
      <c r="E10" s="80">
        <f t="shared" si="0"/>
        <v>0</v>
      </c>
      <c r="F10" s="200">
        <f t="shared" si="9"/>
        <v>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0</v>
      </c>
      <c r="AL10" s="103">
        <f t="shared" si="12"/>
        <v>45145.041666666672</v>
      </c>
      <c r="AM10" s="102">
        <f t="shared" si="10"/>
        <v>0</v>
      </c>
      <c r="AN10" s="102">
        <f t="shared" si="2"/>
        <v>0</v>
      </c>
      <c r="AO10" s="102">
        <f t="shared" si="3"/>
        <v>0</v>
      </c>
      <c r="AP10" s="103">
        <f t="shared" si="13"/>
        <v>45145.083333333336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4.1666666666666664E-2</v>
      </c>
      <c r="AV10" s="239" t="s">
        <v>289</v>
      </c>
    </row>
    <row r="11" spans="1:48" ht="15" customHeight="1" x14ac:dyDescent="0.25">
      <c r="A11" s="96">
        <f t="shared" si="8"/>
        <v>45145.125</v>
      </c>
      <c r="B11" s="198">
        <v>0.125</v>
      </c>
      <c r="C11" s="199" t="s">
        <v>130</v>
      </c>
      <c r="D11" s="79">
        <v>76403</v>
      </c>
      <c r="E11" s="80">
        <f t="shared" si="0"/>
        <v>0</v>
      </c>
      <c r="F11" s="200">
        <f t="shared" si="9"/>
        <v>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0</v>
      </c>
      <c r="AL11" s="103">
        <f t="shared" si="12"/>
        <v>45145.083333333336</v>
      </c>
      <c r="AM11" s="102">
        <f t="shared" si="10"/>
        <v>0</v>
      </c>
      <c r="AN11" s="102">
        <f>IF(AI11="",AM11,0)</f>
        <v>0</v>
      </c>
      <c r="AO11" s="102">
        <f t="shared" si="3"/>
        <v>0</v>
      </c>
      <c r="AP11" s="103">
        <f t="shared" si="13"/>
        <v>45145.125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4.1666666666666664E-2</v>
      </c>
      <c r="AV11" s="239" t="s">
        <v>289</v>
      </c>
    </row>
    <row r="12" spans="1:48" ht="14.45" customHeight="1" x14ac:dyDescent="0.25">
      <c r="A12" s="96">
        <f t="shared" si="8"/>
        <v>45145.166666666664</v>
      </c>
      <c r="B12" s="198">
        <v>0.16666666666666666</v>
      </c>
      <c r="C12" s="199" t="s">
        <v>130</v>
      </c>
      <c r="D12" s="79">
        <v>76403</v>
      </c>
      <c r="E12" s="80">
        <f t="shared" si="0"/>
        <v>0</v>
      </c>
      <c r="F12" s="200">
        <f t="shared" si="9"/>
        <v>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0</v>
      </c>
      <c r="AL12" s="103">
        <f t="shared" si="12"/>
        <v>45145.125</v>
      </c>
      <c r="AM12" s="102">
        <f t="shared" si="10"/>
        <v>0</v>
      </c>
      <c r="AN12" s="102">
        <f>IF(AI12="",AM12,0)</f>
        <v>0</v>
      </c>
      <c r="AO12" s="102">
        <f t="shared" si="3"/>
        <v>0</v>
      </c>
      <c r="AP12" s="103">
        <f t="shared" si="13"/>
        <v>45145.166666666664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4.1666666666666664E-2</v>
      </c>
      <c r="AV12" s="239" t="s">
        <v>289</v>
      </c>
    </row>
    <row r="13" spans="1:48" ht="15" customHeight="1" x14ac:dyDescent="0.25">
      <c r="A13" s="96">
        <f t="shared" si="8"/>
        <v>45145.208333333336</v>
      </c>
      <c r="B13" s="198">
        <v>0.20833333333333334</v>
      </c>
      <c r="C13" s="199" t="s">
        <v>130</v>
      </c>
      <c r="D13" s="79">
        <v>76403</v>
      </c>
      <c r="E13" s="80">
        <f t="shared" si="0"/>
        <v>0</v>
      </c>
      <c r="F13" s="200">
        <f t="shared" si="9"/>
        <v>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0</v>
      </c>
      <c r="AL13" s="103">
        <f t="shared" si="12"/>
        <v>45145.166666666672</v>
      </c>
      <c r="AM13" s="102">
        <f t="shared" si="10"/>
        <v>0</v>
      </c>
      <c r="AN13" s="102">
        <f t="shared" si="2"/>
        <v>0</v>
      </c>
      <c r="AO13" s="102">
        <f t="shared" si="3"/>
        <v>0</v>
      </c>
      <c r="AP13" s="103">
        <f t="shared" si="13"/>
        <v>45145.208333333336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4.1666666666666664E-2</v>
      </c>
      <c r="AV13" s="239" t="s">
        <v>289</v>
      </c>
    </row>
    <row r="14" spans="1:48" x14ac:dyDescent="0.25">
      <c r="A14" s="96">
        <f t="shared" si="8"/>
        <v>45145.25</v>
      </c>
      <c r="B14" s="198">
        <v>0.25</v>
      </c>
      <c r="C14" s="199" t="s">
        <v>130</v>
      </c>
      <c r="D14" s="79">
        <v>76403</v>
      </c>
      <c r="E14" s="80">
        <f t="shared" si="0"/>
        <v>0</v>
      </c>
      <c r="F14" s="204">
        <f t="shared" si="9"/>
        <v>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0</v>
      </c>
      <c r="AL14" s="103">
        <f t="shared" si="12"/>
        <v>45145.208333333336</v>
      </c>
      <c r="AM14" s="102">
        <f t="shared" si="10"/>
        <v>0</v>
      </c>
      <c r="AN14" s="102">
        <f t="shared" si="2"/>
        <v>0</v>
      </c>
      <c r="AO14" s="102">
        <f t="shared" si="3"/>
        <v>0</v>
      </c>
      <c r="AP14" s="103">
        <f t="shared" si="13"/>
        <v>45145.25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0</v>
      </c>
      <c r="AU14" s="104">
        <f t="shared" ca="1" si="7"/>
        <v>4.1666666666666664E-2</v>
      </c>
      <c r="AV14" s="239" t="s">
        <v>289</v>
      </c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0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6.9444444185743498E-4</v>
      </c>
      <c r="AU15" s="133">
        <f ca="1">SUM(AU7:AU14)</f>
        <v>0.33263888889147586</v>
      </c>
      <c r="AV15" s="132"/>
    </row>
    <row r="16" spans="1:48" ht="13.15" customHeight="1" x14ac:dyDescent="0.25">
      <c r="A16" s="96">
        <f t="shared" si="8"/>
        <v>45145.291666666664</v>
      </c>
      <c r="B16" s="198">
        <v>0.29166666666666669</v>
      </c>
      <c r="C16" s="199" t="s">
        <v>130</v>
      </c>
      <c r="D16" s="79">
        <v>76403</v>
      </c>
      <c r="E16" s="80">
        <f>IF(D16&gt;0,D16-D14,"")</f>
        <v>0</v>
      </c>
      <c r="F16" s="200">
        <v>160</v>
      </c>
      <c r="G16" s="210">
        <v>25</v>
      </c>
      <c r="H16" s="210">
        <v>39</v>
      </c>
      <c r="I16" s="209">
        <v>15</v>
      </c>
      <c r="J16" s="211">
        <v>20</v>
      </c>
      <c r="K16" s="211"/>
      <c r="L16" s="209"/>
      <c r="M16" s="209"/>
      <c r="N16" s="79">
        <v>25.3</v>
      </c>
      <c r="O16" s="79">
        <v>28.6</v>
      </c>
      <c r="P16" s="79">
        <v>2.9</v>
      </c>
      <c r="Q16" s="79">
        <v>20</v>
      </c>
      <c r="R16" s="79" t="s">
        <v>136</v>
      </c>
      <c r="S16" s="85"/>
      <c r="T16" s="85" t="s">
        <v>136</v>
      </c>
      <c r="U16" s="86"/>
      <c r="V16" s="86">
        <v>62</v>
      </c>
      <c r="W16" s="86">
        <v>21</v>
      </c>
      <c r="X16" s="86">
        <v>73</v>
      </c>
      <c r="Y16" s="85">
        <v>100</v>
      </c>
      <c r="Z16" s="85"/>
      <c r="AA16" s="85">
        <v>100</v>
      </c>
      <c r="AB16" s="86">
        <v>54</v>
      </c>
      <c r="AC16" s="86">
        <v>100</v>
      </c>
      <c r="AD16" s="213">
        <v>50</v>
      </c>
      <c r="AE16" s="209" t="s">
        <v>134</v>
      </c>
      <c r="AF16" s="209" t="s">
        <v>134</v>
      </c>
      <c r="AG16" s="209"/>
      <c r="AH16" s="209"/>
      <c r="AI16" s="101">
        <v>0.25069444444444444</v>
      </c>
      <c r="AJ16" s="101">
        <v>0.28819444444444448</v>
      </c>
      <c r="AK16" s="102">
        <f t="shared" ref="AK16:AK23" si="15">AO16</f>
        <v>1</v>
      </c>
      <c r="AL16" s="103">
        <f t="shared" ref="AL16:AL23" si="16">IF(AI16&lt;&gt;"",AI16+$B$1,B16+$B$1-1/24)</f>
        <v>45145.250694444447</v>
      </c>
      <c r="AM16" s="102">
        <f t="shared" ref="AM16:AM23" si="17">AK15</f>
        <v>0</v>
      </c>
      <c r="AN16" s="102">
        <f t="shared" ref="AN16:AN23" si="18">IF(AI16="",AM16,0)</f>
        <v>0</v>
      </c>
      <c r="AO16" s="102">
        <f t="shared" ref="AO16:AO23" si="19">IF(AJ16&lt;&gt;"",1,AN16)</f>
        <v>1</v>
      </c>
      <c r="AP16" s="103">
        <f t="shared" ref="AP16:AP23" si="20">IF(AJ16&lt;&gt;"",AJ16+$B$1,B16+$B$1)</f>
        <v>45145.288194444445</v>
      </c>
      <c r="AQ16" s="103">
        <f t="shared" ref="AQ16:AQ23" si="21">AL16-A16+1/24</f>
        <v>6.9444444913339259E-4</v>
      </c>
      <c r="AR16" s="103">
        <f>AP16-AL16</f>
        <v>3.7499999998544808E-2</v>
      </c>
      <c r="AS16" s="103">
        <f t="shared" ref="AS16:AS23" si="22">A16-AP16</f>
        <v>3.4722222189884633E-3</v>
      </c>
      <c r="AT16" s="103">
        <f t="shared" ref="AT16:AT23" ca="1" si="23">IF(A16&lt;$AU$1,SUMPRODUCT(AM16:AO16,AQ16:AS16),0)</f>
        <v>3.4722222189884633E-3</v>
      </c>
      <c r="AU16" s="104">
        <f t="shared" ref="AU16:AU23" ca="1" si="24">IF(A16&lt;$AU$1,1/24-AT16,0)</f>
        <v>3.8194444447678201E-2</v>
      </c>
      <c r="AV16" s="239" t="s">
        <v>290</v>
      </c>
    </row>
    <row r="17" spans="1:48" x14ac:dyDescent="0.25">
      <c r="A17" s="96">
        <f t="shared" si="8"/>
        <v>45145.333333333336</v>
      </c>
      <c r="B17" s="198">
        <v>0.33333333333333331</v>
      </c>
      <c r="C17" s="199" t="s">
        <v>130</v>
      </c>
      <c r="D17" s="79">
        <v>76430</v>
      </c>
      <c r="E17" s="80">
        <f>IF(D17&gt;0,D17-D16,"")</f>
        <v>27</v>
      </c>
      <c r="F17" s="200">
        <f t="shared" si="9"/>
        <v>160</v>
      </c>
      <c r="G17" s="210">
        <v>25</v>
      </c>
      <c r="H17" s="210">
        <v>40</v>
      </c>
      <c r="I17" s="209">
        <v>16</v>
      </c>
      <c r="J17" s="211">
        <v>20</v>
      </c>
      <c r="K17" s="211"/>
      <c r="L17" s="209"/>
      <c r="M17" s="209"/>
      <c r="N17" s="79">
        <v>30.1</v>
      </c>
      <c r="O17" s="79">
        <v>30.1</v>
      </c>
      <c r="P17" s="79">
        <v>1.6</v>
      </c>
      <c r="Q17" s="79">
        <v>20</v>
      </c>
      <c r="R17" s="79" t="s">
        <v>136</v>
      </c>
      <c r="S17" s="85"/>
      <c r="T17" s="85" t="s">
        <v>136</v>
      </c>
      <c r="U17" s="86"/>
      <c r="V17" s="86">
        <v>87</v>
      </c>
      <c r="W17" s="86">
        <v>52</v>
      </c>
      <c r="X17" s="86">
        <v>98</v>
      </c>
      <c r="Y17" s="85">
        <v>100</v>
      </c>
      <c r="Z17" s="85"/>
      <c r="AA17" s="85">
        <v>100</v>
      </c>
      <c r="AB17" s="86">
        <v>50</v>
      </c>
      <c r="AC17" s="86">
        <v>90</v>
      </c>
      <c r="AD17" s="213">
        <v>50</v>
      </c>
      <c r="AE17" s="209" t="s">
        <v>134</v>
      </c>
      <c r="AF17" s="209" t="s">
        <v>134</v>
      </c>
      <c r="AG17" s="209"/>
      <c r="AH17" s="209"/>
      <c r="AI17" s="101">
        <v>0.32569444444444445</v>
      </c>
      <c r="AJ17" s="101"/>
      <c r="AK17" s="102">
        <f t="shared" si="15"/>
        <v>0</v>
      </c>
      <c r="AL17" s="103">
        <f t="shared" si="16"/>
        <v>45145.325694444444</v>
      </c>
      <c r="AM17" s="102">
        <f t="shared" si="17"/>
        <v>1</v>
      </c>
      <c r="AN17" s="102">
        <f t="shared" si="18"/>
        <v>0</v>
      </c>
      <c r="AO17" s="102">
        <f t="shared" si="19"/>
        <v>0</v>
      </c>
      <c r="AP17" s="103">
        <f t="shared" si="20"/>
        <v>45145.333333333336</v>
      </c>
      <c r="AQ17" s="103">
        <f t="shared" si="21"/>
        <v>3.4027777774705704E-2</v>
      </c>
      <c r="AR17" s="103">
        <f t="shared" ref="AR17:AR23" si="25">AP17-AL17</f>
        <v>7.6388888919609599E-3</v>
      </c>
      <c r="AS17" s="103">
        <f t="shared" si="22"/>
        <v>0</v>
      </c>
      <c r="AT17" s="103">
        <f t="shared" ca="1" si="23"/>
        <v>3.4027777774705704E-2</v>
      </c>
      <c r="AU17" s="104">
        <f t="shared" ca="1" si="24"/>
        <v>7.6388888919609599E-3</v>
      </c>
      <c r="AV17" s="239" t="s">
        <v>291</v>
      </c>
    </row>
    <row r="18" spans="1:48" x14ac:dyDescent="0.25">
      <c r="A18" s="96">
        <f t="shared" si="8"/>
        <v>45145.375</v>
      </c>
      <c r="B18" s="198">
        <v>0.375</v>
      </c>
      <c r="C18" s="199" t="s">
        <v>130</v>
      </c>
      <c r="D18" s="79">
        <v>76463</v>
      </c>
      <c r="E18" s="80">
        <f>IF(D18&gt;0,D18-D17,"")</f>
        <v>33</v>
      </c>
      <c r="F18" s="200">
        <f t="shared" si="9"/>
        <v>160</v>
      </c>
      <c r="G18" s="210">
        <v>22</v>
      </c>
      <c r="H18" s="209">
        <v>40</v>
      </c>
      <c r="I18" s="210">
        <v>16</v>
      </c>
      <c r="J18" s="211">
        <v>20</v>
      </c>
      <c r="K18" s="209"/>
      <c r="L18" s="209"/>
      <c r="M18" s="209"/>
      <c r="N18" s="209">
        <v>30.6</v>
      </c>
      <c r="O18" s="209">
        <v>31.3</v>
      </c>
      <c r="P18" s="79">
        <v>1.9</v>
      </c>
      <c r="Q18" s="79">
        <v>20</v>
      </c>
      <c r="R18" s="79" t="s">
        <v>136</v>
      </c>
      <c r="S18" s="209"/>
      <c r="T18" s="85" t="s">
        <v>136</v>
      </c>
      <c r="U18" s="209"/>
      <c r="V18" s="212">
        <v>87</v>
      </c>
      <c r="W18" s="212">
        <v>52</v>
      </c>
      <c r="X18" s="209">
        <v>98</v>
      </c>
      <c r="Y18" s="209">
        <v>100</v>
      </c>
      <c r="Z18" s="209"/>
      <c r="AA18" s="212">
        <v>100</v>
      </c>
      <c r="AB18" s="212">
        <v>54</v>
      </c>
      <c r="AC18" s="213">
        <v>90</v>
      </c>
      <c r="AD18" s="213">
        <v>50</v>
      </c>
      <c r="AE18" s="209" t="s">
        <v>134</v>
      </c>
      <c r="AF18" s="209" t="s">
        <v>134</v>
      </c>
      <c r="AG18" s="209"/>
      <c r="AH18" s="209"/>
      <c r="AI18" s="101"/>
      <c r="AJ18" s="101">
        <v>0.36527777777777781</v>
      </c>
      <c r="AK18" s="102">
        <f t="shared" si="15"/>
        <v>1</v>
      </c>
      <c r="AL18" s="103">
        <f t="shared" si="16"/>
        <v>45145.333333333336</v>
      </c>
      <c r="AM18" s="102">
        <f t="shared" si="17"/>
        <v>0</v>
      </c>
      <c r="AN18" s="102">
        <f t="shared" si="18"/>
        <v>0</v>
      </c>
      <c r="AO18" s="102">
        <f t="shared" si="19"/>
        <v>1</v>
      </c>
      <c r="AP18" s="103">
        <f t="shared" si="20"/>
        <v>45145.365277777775</v>
      </c>
      <c r="AQ18" s="103">
        <f t="shared" si="21"/>
        <v>2.425316891763174E-12</v>
      </c>
      <c r="AR18" s="103">
        <f t="shared" si="25"/>
        <v>3.1944444439432118E-2</v>
      </c>
      <c r="AS18" s="103">
        <f t="shared" si="22"/>
        <v>9.7222222248092294E-3</v>
      </c>
      <c r="AT18" s="103">
        <f t="shared" ca="1" si="23"/>
        <v>9.7222222248092294E-3</v>
      </c>
      <c r="AU18" s="104">
        <f t="shared" ca="1" si="24"/>
        <v>3.1944444441857435E-2</v>
      </c>
      <c r="AV18" s="239" t="s">
        <v>292</v>
      </c>
    </row>
    <row r="19" spans="1:48" ht="15.75" customHeight="1" x14ac:dyDescent="0.25">
      <c r="A19" s="96">
        <f t="shared" si="8"/>
        <v>45145.416666666664</v>
      </c>
      <c r="B19" s="198">
        <v>0.41666666666666702</v>
      </c>
      <c r="C19" s="199" t="s">
        <v>130</v>
      </c>
      <c r="D19" s="79">
        <v>76593</v>
      </c>
      <c r="E19" s="80">
        <f t="shared" ref="E19:E35" si="26">IF(D19&gt;0,D19-D18,"")</f>
        <v>130</v>
      </c>
      <c r="F19" s="200">
        <f t="shared" si="9"/>
        <v>160</v>
      </c>
      <c r="G19" s="210">
        <v>23</v>
      </c>
      <c r="H19" s="209">
        <v>39</v>
      </c>
      <c r="I19" s="210">
        <v>15</v>
      </c>
      <c r="J19" s="211">
        <v>20</v>
      </c>
      <c r="K19" s="209"/>
      <c r="L19" s="209"/>
      <c r="M19" s="209"/>
      <c r="N19" s="209">
        <v>39.1</v>
      </c>
      <c r="O19" s="209">
        <v>41.2</v>
      </c>
      <c r="P19" s="79">
        <v>1.7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82</v>
      </c>
      <c r="W19" s="212">
        <v>54</v>
      </c>
      <c r="X19" s="209">
        <v>68</v>
      </c>
      <c r="Y19" s="209">
        <v>100</v>
      </c>
      <c r="Z19" s="209"/>
      <c r="AA19" s="212">
        <v>100</v>
      </c>
      <c r="AB19" s="212">
        <v>54</v>
      </c>
      <c r="AC19" s="213">
        <v>100</v>
      </c>
      <c r="AD19" s="213">
        <v>39</v>
      </c>
      <c r="AE19" s="209" t="s">
        <v>134</v>
      </c>
      <c r="AF19" s="209" t="s">
        <v>134</v>
      </c>
      <c r="AG19" s="209"/>
      <c r="AH19" s="209"/>
      <c r="AI19" s="101"/>
      <c r="AJ19" s="101"/>
      <c r="AK19" s="102">
        <f t="shared" si="15"/>
        <v>1</v>
      </c>
      <c r="AL19" s="103">
        <f t="shared" si="16"/>
        <v>45145.375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45145.416666666664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45145.458333333336</v>
      </c>
      <c r="B20" s="198">
        <v>0.45833333333333331</v>
      </c>
      <c r="C20" s="199" t="s">
        <v>130</v>
      </c>
      <c r="D20" s="79">
        <v>76728</v>
      </c>
      <c r="E20" s="80">
        <f t="shared" si="26"/>
        <v>135</v>
      </c>
      <c r="F20" s="200">
        <f t="shared" si="9"/>
        <v>160</v>
      </c>
      <c r="G20" s="210">
        <v>23</v>
      </c>
      <c r="H20" s="209">
        <v>40</v>
      </c>
      <c r="I20" s="210">
        <v>15</v>
      </c>
      <c r="J20" s="211">
        <v>20</v>
      </c>
      <c r="K20" s="209"/>
      <c r="L20" s="209"/>
      <c r="M20" s="209"/>
      <c r="N20" s="209">
        <v>39.200000000000003</v>
      </c>
      <c r="O20" s="209">
        <v>38.5</v>
      </c>
      <c r="P20" s="79">
        <v>2.8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87</v>
      </c>
      <c r="W20" s="212">
        <v>54</v>
      </c>
      <c r="X20" s="209">
        <v>63</v>
      </c>
      <c r="Y20" s="209">
        <v>100</v>
      </c>
      <c r="Z20" s="209"/>
      <c r="AA20" s="212">
        <v>90</v>
      </c>
      <c r="AB20" s="212">
        <v>54</v>
      </c>
      <c r="AC20" s="213">
        <v>100</v>
      </c>
      <c r="AD20" s="213">
        <v>39</v>
      </c>
      <c r="AE20" s="209" t="s">
        <v>134</v>
      </c>
      <c r="AF20" s="209" t="s">
        <v>134</v>
      </c>
      <c r="AG20" s="209"/>
      <c r="AH20" s="209"/>
      <c r="AI20" s="101"/>
      <c r="AJ20" s="101"/>
      <c r="AK20" s="102">
        <f t="shared" si="15"/>
        <v>1</v>
      </c>
      <c r="AL20" s="103">
        <f t="shared" si="16"/>
        <v>45145.416666666672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45145.458333333336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 t="s">
        <v>294</v>
      </c>
    </row>
    <row r="21" spans="1:48" x14ac:dyDescent="0.25">
      <c r="A21" s="96">
        <f t="shared" si="8"/>
        <v>45145.5</v>
      </c>
      <c r="B21" s="214">
        <v>0.5</v>
      </c>
      <c r="C21" s="199" t="s">
        <v>130</v>
      </c>
      <c r="D21" s="79">
        <v>76872</v>
      </c>
      <c r="E21" s="80">
        <f t="shared" si="26"/>
        <v>144</v>
      </c>
      <c r="F21" s="200">
        <f t="shared" si="9"/>
        <v>160</v>
      </c>
      <c r="G21" s="210">
        <v>22</v>
      </c>
      <c r="H21" s="209">
        <v>39</v>
      </c>
      <c r="I21" s="210">
        <v>16</v>
      </c>
      <c r="J21" s="211">
        <v>20</v>
      </c>
      <c r="K21" s="209"/>
      <c r="L21" s="209"/>
      <c r="M21" s="209"/>
      <c r="N21" s="209">
        <v>34.200000000000003</v>
      </c>
      <c r="O21" s="209">
        <v>40</v>
      </c>
      <c r="P21" s="79">
        <v>2.1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83</v>
      </c>
      <c r="W21" s="212">
        <v>25</v>
      </c>
      <c r="X21" s="209">
        <v>62</v>
      </c>
      <c r="Y21" s="209">
        <v>100</v>
      </c>
      <c r="Z21" s="209"/>
      <c r="AA21" s="212">
        <v>40</v>
      </c>
      <c r="AB21" s="212">
        <v>54</v>
      </c>
      <c r="AC21" s="213">
        <v>100</v>
      </c>
      <c r="AD21" s="213">
        <v>37</v>
      </c>
      <c r="AE21" s="209" t="s">
        <v>134</v>
      </c>
      <c r="AF21" s="209" t="s">
        <v>134</v>
      </c>
      <c r="AG21" s="209"/>
      <c r="AH21" s="209"/>
      <c r="AI21" s="101"/>
      <c r="AJ21" s="101"/>
      <c r="AK21" s="102">
        <f t="shared" si="15"/>
        <v>1</v>
      </c>
      <c r="AL21" s="103">
        <f t="shared" si="16"/>
        <v>45145.458333333336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45145.5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45145.541666666664</v>
      </c>
      <c r="B22" s="214">
        <v>0.54166666666666663</v>
      </c>
      <c r="C22" s="199" t="s">
        <v>130</v>
      </c>
      <c r="D22" s="79">
        <v>76995</v>
      </c>
      <c r="E22" s="80">
        <f t="shared" si="26"/>
        <v>123</v>
      </c>
      <c r="F22" s="200">
        <f t="shared" si="9"/>
        <v>160</v>
      </c>
      <c r="G22" s="210">
        <v>22</v>
      </c>
      <c r="H22" s="209">
        <v>39</v>
      </c>
      <c r="I22" s="210">
        <v>16</v>
      </c>
      <c r="J22" s="211">
        <v>20</v>
      </c>
      <c r="K22" s="209"/>
      <c r="L22" s="209"/>
      <c r="M22" s="209"/>
      <c r="N22" s="209">
        <v>33.6</v>
      </c>
      <c r="O22" s="209">
        <v>39.200000000000003</v>
      </c>
      <c r="P22" s="79">
        <v>2.1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80</v>
      </c>
      <c r="W22" s="212">
        <v>15</v>
      </c>
      <c r="X22" s="209">
        <v>62</v>
      </c>
      <c r="Y22" s="209">
        <v>100</v>
      </c>
      <c r="Z22" s="209"/>
      <c r="AA22" s="212">
        <v>40</v>
      </c>
      <c r="AB22" s="212">
        <v>54</v>
      </c>
      <c r="AC22" s="213">
        <v>100</v>
      </c>
      <c r="AD22" s="213">
        <v>39</v>
      </c>
      <c r="AE22" s="209" t="s">
        <v>134</v>
      </c>
      <c r="AF22" s="209" t="s">
        <v>134</v>
      </c>
      <c r="AG22" s="209"/>
      <c r="AH22" s="209"/>
      <c r="AI22" s="101"/>
      <c r="AJ22" s="101"/>
      <c r="AK22" s="102">
        <f t="shared" si="15"/>
        <v>1</v>
      </c>
      <c r="AL22" s="103">
        <f t="shared" si="16"/>
        <v>45145.5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45145.541666666664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45145.583333333336</v>
      </c>
      <c r="B23" s="215">
        <v>0.58333333333333337</v>
      </c>
      <c r="C23" s="199" t="s">
        <v>130</v>
      </c>
      <c r="D23" s="79">
        <v>77152</v>
      </c>
      <c r="E23" s="80">
        <f t="shared" si="26"/>
        <v>157</v>
      </c>
      <c r="F23" s="200">
        <f t="shared" si="9"/>
        <v>160</v>
      </c>
      <c r="G23" s="210">
        <v>32</v>
      </c>
      <c r="H23" s="209">
        <v>40</v>
      </c>
      <c r="I23" s="210">
        <v>15</v>
      </c>
      <c r="J23" s="211">
        <v>20</v>
      </c>
      <c r="K23" s="209" t="s">
        <v>136</v>
      </c>
      <c r="L23" s="209" t="s">
        <v>136</v>
      </c>
      <c r="M23" s="209"/>
      <c r="N23" s="209" t="s">
        <v>185</v>
      </c>
      <c r="O23" s="209" t="s">
        <v>137</v>
      </c>
      <c r="P23" s="79" t="s">
        <v>116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83</v>
      </c>
      <c r="W23" s="212">
        <v>12</v>
      </c>
      <c r="X23" s="209">
        <v>80</v>
      </c>
      <c r="Y23" s="209">
        <v>100</v>
      </c>
      <c r="Z23" s="209"/>
      <c r="AA23" s="212">
        <v>40</v>
      </c>
      <c r="AB23" s="212">
        <v>54</v>
      </c>
      <c r="AC23" s="213">
        <v>100</v>
      </c>
      <c r="AD23" s="213">
        <v>43</v>
      </c>
      <c r="AE23" s="209" t="s">
        <v>134</v>
      </c>
      <c r="AF23" s="209" t="s">
        <v>134</v>
      </c>
      <c r="AG23" s="209"/>
      <c r="AH23" s="209"/>
      <c r="AI23" s="101"/>
      <c r="AJ23" s="101"/>
      <c r="AK23" s="102">
        <f t="shared" si="15"/>
        <v>1</v>
      </c>
      <c r="AL23" s="103">
        <f t="shared" si="16"/>
        <v>45145.541666666672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45145.583333333336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 t="s">
        <v>295</v>
      </c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749</v>
      </c>
      <c r="E24" s="121">
        <f ca="1">IFERROR(D24/24/AT24,"")</f>
        <v>122.11956521916838</v>
      </c>
      <c r="F24" s="125">
        <f t="shared" si="9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0.25555555555183673</v>
      </c>
      <c r="AU24" s="143">
        <f ca="1">SUM(AU16:AU23)</f>
        <v>7.7777777781496596E-2</v>
      </c>
      <c r="AV24" s="239"/>
    </row>
    <row r="25" spans="1:48" ht="13.15" customHeight="1" thickTop="1" x14ac:dyDescent="0.25">
      <c r="A25" s="96">
        <f t="shared" ref="A25:A32" si="28">B25+$B$1</f>
        <v>45145.625</v>
      </c>
      <c r="B25" s="198">
        <v>0.625</v>
      </c>
      <c r="C25" s="199" t="s">
        <v>130</v>
      </c>
      <c r="D25" s="79">
        <v>77278</v>
      </c>
      <c r="E25" s="80">
        <f>IF(D25&gt;0,D25-D23,"")</f>
        <v>126</v>
      </c>
      <c r="F25" s="200">
        <f t="shared" si="9"/>
        <v>160</v>
      </c>
      <c r="G25" s="210">
        <v>33</v>
      </c>
      <c r="H25" s="210">
        <v>43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 t="s">
        <v>296</v>
      </c>
      <c r="O25" s="209" t="s">
        <v>297</v>
      </c>
      <c r="P25" s="209" t="s">
        <v>276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76</v>
      </c>
      <c r="W25" s="212">
        <v>13</v>
      </c>
      <c r="X25" s="212">
        <v>72</v>
      </c>
      <c r="Y25" s="209">
        <v>100</v>
      </c>
      <c r="Z25" s="209"/>
      <c r="AA25" s="209">
        <v>40</v>
      </c>
      <c r="AB25" s="212">
        <v>54</v>
      </c>
      <c r="AC25" s="209">
        <v>100</v>
      </c>
      <c r="AD25" s="213">
        <v>40</v>
      </c>
      <c r="AE25" s="209" t="s">
        <v>134</v>
      </c>
      <c r="AF25" s="209" t="s">
        <v>134</v>
      </c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45145.583333333336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45145.625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 t="s">
        <v>298</v>
      </c>
    </row>
    <row r="26" spans="1:48" x14ac:dyDescent="0.25">
      <c r="A26" s="96">
        <f t="shared" si="28"/>
        <v>45145.666666666664</v>
      </c>
      <c r="B26" s="198">
        <v>0.66666666666666663</v>
      </c>
      <c r="C26" s="199" t="s">
        <v>130</v>
      </c>
      <c r="D26" s="79">
        <v>77388</v>
      </c>
      <c r="E26" s="80">
        <f t="shared" si="26"/>
        <v>110</v>
      </c>
      <c r="F26" s="200">
        <f t="shared" si="9"/>
        <v>160</v>
      </c>
      <c r="G26" s="210">
        <v>32</v>
      </c>
      <c r="H26" s="210">
        <v>41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 t="s">
        <v>249</v>
      </c>
      <c r="O26" s="209" t="s">
        <v>161</v>
      </c>
      <c r="P26" s="209" t="s">
        <v>118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66</v>
      </c>
      <c r="W26" s="212">
        <v>20</v>
      </c>
      <c r="X26" s="212">
        <v>84</v>
      </c>
      <c r="Y26" s="209">
        <v>100</v>
      </c>
      <c r="Z26" s="209"/>
      <c r="AA26" s="209">
        <v>50</v>
      </c>
      <c r="AB26" s="212">
        <v>54</v>
      </c>
      <c r="AC26" s="209">
        <v>100</v>
      </c>
      <c r="AD26" s="213">
        <v>0</v>
      </c>
      <c r="AE26" s="209" t="s">
        <v>134</v>
      </c>
      <c r="AF26" s="209" t="s">
        <v>134</v>
      </c>
      <c r="AG26" s="209"/>
      <c r="AH26" s="209"/>
      <c r="AI26" s="134"/>
      <c r="AJ26" s="145"/>
      <c r="AK26" s="102">
        <f t="shared" si="29"/>
        <v>1</v>
      </c>
      <c r="AL26" s="103">
        <f t="shared" si="30"/>
        <v>45145.625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45145.666666666664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 t="s">
        <v>299</v>
      </c>
    </row>
    <row r="27" spans="1:48" x14ac:dyDescent="0.25">
      <c r="A27" s="96">
        <f t="shared" si="28"/>
        <v>45145.708333333336</v>
      </c>
      <c r="B27" s="198">
        <v>0.70833333333333337</v>
      </c>
      <c r="C27" s="199" t="s">
        <v>130</v>
      </c>
      <c r="D27" s="79">
        <v>77388</v>
      </c>
      <c r="E27" s="80">
        <f t="shared" si="26"/>
        <v>0</v>
      </c>
      <c r="F27" s="200">
        <f t="shared" si="9"/>
        <v>160</v>
      </c>
      <c r="G27" s="210">
        <v>32</v>
      </c>
      <c r="H27" s="210">
        <v>41</v>
      </c>
      <c r="I27" s="209">
        <v>15</v>
      </c>
      <c r="J27" s="211">
        <v>20</v>
      </c>
      <c r="K27" s="211" t="s">
        <v>136</v>
      </c>
      <c r="L27" s="209" t="s">
        <v>136</v>
      </c>
      <c r="M27" s="209"/>
      <c r="N27" s="209" t="s">
        <v>178</v>
      </c>
      <c r="O27" s="209" t="s">
        <v>302</v>
      </c>
      <c r="P27" s="209" t="s">
        <v>303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67</v>
      </c>
      <c r="W27" s="212">
        <v>19</v>
      </c>
      <c r="X27" s="212">
        <v>85</v>
      </c>
      <c r="Y27" s="209">
        <v>100</v>
      </c>
      <c r="Z27" s="209"/>
      <c r="AA27" s="209">
        <v>50</v>
      </c>
      <c r="AB27" s="212">
        <v>54</v>
      </c>
      <c r="AC27" s="209">
        <v>100</v>
      </c>
      <c r="AD27" s="213">
        <v>42</v>
      </c>
      <c r="AE27" s="209" t="s">
        <v>134</v>
      </c>
      <c r="AF27" s="209" t="s">
        <v>134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45145.666666666672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45145.708333333336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 t="s">
        <v>300</v>
      </c>
    </row>
    <row r="28" spans="1:48" ht="14.25" customHeight="1" x14ac:dyDescent="0.25">
      <c r="A28" s="96">
        <f t="shared" si="28"/>
        <v>45145.75</v>
      </c>
      <c r="B28" s="198">
        <v>0.75</v>
      </c>
      <c r="C28" s="199" t="s">
        <v>305</v>
      </c>
      <c r="D28" s="79">
        <v>77581</v>
      </c>
      <c r="E28" s="80">
        <f t="shared" si="26"/>
        <v>193</v>
      </c>
      <c r="F28" s="200">
        <f t="shared" si="9"/>
        <v>160</v>
      </c>
      <c r="G28" s="210">
        <v>35</v>
      </c>
      <c r="H28" s="210">
        <v>45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 t="s">
        <v>137</v>
      </c>
      <c r="O28" s="209" t="s">
        <v>262</v>
      </c>
      <c r="P28" s="209" t="s">
        <v>217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65</v>
      </c>
      <c r="W28" s="212">
        <v>43</v>
      </c>
      <c r="X28" s="212">
        <v>75</v>
      </c>
      <c r="Y28" s="209">
        <v>40</v>
      </c>
      <c r="Z28" s="209"/>
      <c r="AA28" s="209">
        <v>100</v>
      </c>
      <c r="AB28" s="212">
        <v>54</v>
      </c>
      <c r="AC28" s="212">
        <v>100</v>
      </c>
      <c r="AD28" s="213">
        <v>41</v>
      </c>
      <c r="AE28" s="209" t="s">
        <v>134</v>
      </c>
      <c r="AF28" s="209" t="s">
        <v>134</v>
      </c>
      <c r="AG28" s="209"/>
      <c r="AH28" s="209"/>
      <c r="AI28" s="101"/>
      <c r="AJ28" s="101"/>
      <c r="AK28" s="102">
        <f t="shared" si="29"/>
        <v>1</v>
      </c>
      <c r="AL28" s="103">
        <f t="shared" si="30"/>
        <v>45145.708333333336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45145.75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 t="s">
        <v>301</v>
      </c>
    </row>
    <row r="29" spans="1:48" ht="15" customHeight="1" x14ac:dyDescent="0.25">
      <c r="A29" s="96">
        <f t="shared" si="28"/>
        <v>45145.791666666664</v>
      </c>
      <c r="B29" s="198">
        <v>0.79166666666666663</v>
      </c>
      <c r="C29" s="199" t="s">
        <v>305</v>
      </c>
      <c r="D29" s="79">
        <v>77752</v>
      </c>
      <c r="E29" s="80">
        <f t="shared" si="26"/>
        <v>171</v>
      </c>
      <c r="F29" s="200">
        <f t="shared" si="9"/>
        <v>160</v>
      </c>
      <c r="G29" s="210">
        <v>28</v>
      </c>
      <c r="H29" s="210">
        <v>42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 t="s">
        <v>306</v>
      </c>
      <c r="O29" s="209" t="s">
        <v>161</v>
      </c>
      <c r="P29" s="209" t="s">
        <v>180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73</v>
      </c>
      <c r="W29" s="212">
        <v>21</v>
      </c>
      <c r="X29" s="212">
        <v>67</v>
      </c>
      <c r="Y29" s="209">
        <v>90</v>
      </c>
      <c r="Z29" s="209"/>
      <c r="AA29" s="209">
        <v>100</v>
      </c>
      <c r="AB29" s="212">
        <v>54</v>
      </c>
      <c r="AC29" s="212">
        <v>100</v>
      </c>
      <c r="AD29" s="213">
        <v>39</v>
      </c>
      <c r="AE29" s="209" t="s">
        <v>134</v>
      </c>
      <c r="AF29" s="209" t="s">
        <v>134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45145.75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45145.791666666664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 t="s">
        <v>304</v>
      </c>
    </row>
    <row r="30" spans="1:48" x14ac:dyDescent="0.25">
      <c r="A30" s="96">
        <f t="shared" si="28"/>
        <v>45145.833333333336</v>
      </c>
      <c r="B30" s="198">
        <v>0.83333333333333337</v>
      </c>
      <c r="C30" s="199" t="s">
        <v>305</v>
      </c>
      <c r="D30" s="79">
        <v>77927</v>
      </c>
      <c r="E30" s="80">
        <f t="shared" si="26"/>
        <v>175</v>
      </c>
      <c r="F30" s="200">
        <f t="shared" si="9"/>
        <v>160</v>
      </c>
      <c r="G30" s="210">
        <v>28</v>
      </c>
      <c r="H30" s="210">
        <v>40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 t="s">
        <v>182</v>
      </c>
      <c r="O30" s="209" t="s">
        <v>254</v>
      </c>
      <c r="P30" s="209" t="s">
        <v>171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80</v>
      </c>
      <c r="W30" s="212">
        <v>35</v>
      </c>
      <c r="X30" s="212">
        <v>94</v>
      </c>
      <c r="Y30" s="209">
        <v>80</v>
      </c>
      <c r="Z30" s="209"/>
      <c r="AA30" s="209">
        <v>100</v>
      </c>
      <c r="AB30" s="212">
        <v>54</v>
      </c>
      <c r="AC30" s="212">
        <v>100</v>
      </c>
      <c r="AD30" s="213">
        <v>0</v>
      </c>
      <c r="AE30" s="209" t="s">
        <v>134</v>
      </c>
      <c r="AF30" s="209" t="s">
        <v>134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45145.791666666672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45145.833333333336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 t="s">
        <v>307</v>
      </c>
    </row>
    <row r="31" spans="1:48" ht="14.25" customHeight="1" x14ac:dyDescent="0.25">
      <c r="A31" s="96">
        <f t="shared" si="28"/>
        <v>45145.875</v>
      </c>
      <c r="B31" s="198">
        <v>0.875</v>
      </c>
      <c r="C31" s="199" t="s">
        <v>305</v>
      </c>
      <c r="D31" s="79">
        <v>77966</v>
      </c>
      <c r="E31" s="80">
        <f t="shared" si="26"/>
        <v>39</v>
      </c>
      <c r="F31" s="200">
        <f t="shared" si="9"/>
        <v>160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45145.833333333336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45145.875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45145.916666666664</v>
      </c>
      <c r="B32" s="198">
        <v>0.91666666666666663</v>
      </c>
      <c r="C32" s="199" t="s">
        <v>305</v>
      </c>
      <c r="D32" s="79"/>
      <c r="E32" s="80" t="str">
        <f t="shared" si="26"/>
        <v/>
      </c>
      <c r="F32" s="200">
        <f t="shared" si="9"/>
        <v>160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45145.875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45145.916666666664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814</v>
      </c>
      <c r="E33" s="121">
        <f ca="1">IFERROR(D33/24/AT33,"")</f>
        <v>101.75</v>
      </c>
      <c r="F33" s="121">
        <f t="shared" si="9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1563</v>
      </c>
      <c r="E35" s="80">
        <f t="shared" si="26"/>
        <v>1563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0.58958333332702739</v>
      </c>
      <c r="AU35" s="162">
        <f ca="1">+AU33+AU24+AU15</f>
        <v>0.41041666667297244</v>
      </c>
    </row>
    <row r="36" spans="1:48" ht="13.5" thickTop="1" x14ac:dyDescent="0.25">
      <c r="I36" s="233"/>
    </row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45145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749</v>
      </c>
      <c r="J40" s="171">
        <f>D33</f>
        <v>814</v>
      </c>
      <c r="K40" s="171">
        <f>H40+I40+J40</f>
        <v>1563</v>
      </c>
      <c r="L40" s="194">
        <f>819*2</f>
        <v>1638</v>
      </c>
      <c r="M40" s="255"/>
      <c r="Q40" s="177"/>
    </row>
    <row r="41" spans="1:48" x14ac:dyDescent="0.25">
      <c r="G41" s="79" t="s">
        <v>125</v>
      </c>
      <c r="H41" s="235">
        <f ca="1">AT15</f>
        <v>6.9444444185743498E-4</v>
      </c>
      <c r="I41" s="235">
        <f ca="1">AT24</f>
        <v>0.25555555555183673</v>
      </c>
      <c r="J41" s="235">
        <f ca="1">AT33</f>
        <v>0.33333333333333331</v>
      </c>
      <c r="K41" s="235">
        <f ca="1">IF(SUM(H41:J41)=1,"24 h",SUM(H41:J41))</f>
        <v>0.5895833333270275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122.11956521916838</v>
      </c>
      <c r="J42" s="171">
        <f ca="1">E33</f>
        <v>101.75</v>
      </c>
      <c r="K42" s="171">
        <f>E35</f>
        <v>1563</v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76403</v>
      </c>
      <c r="H46" s="79">
        <f>+D32</f>
        <v>0</v>
      </c>
      <c r="I46" s="79">
        <f>+D35</f>
        <v>1563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0.58958333332702739</v>
      </c>
      <c r="N46" s="79">
        <f>+L46*24</f>
        <v>16</v>
      </c>
      <c r="O46" s="238">
        <f ca="1">+AU35</f>
        <v>0.41041666667297244</v>
      </c>
      <c r="P46" s="79">
        <v>160</v>
      </c>
      <c r="Q46" s="111">
        <f ca="1">+I46/M46/24</f>
        <v>110.45936395877861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76403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4.0972222224809229E-2</v>
      </c>
      <c r="M48" s="175" t="str">
        <f>AV7</f>
        <v>No Night shift</v>
      </c>
    </row>
    <row r="49" spans="6:13" ht="12.75" hidden="1" customHeight="1" x14ac:dyDescent="0.25">
      <c r="F49" s="1">
        <v>2</v>
      </c>
      <c r="G49" s="79">
        <f t="shared" si="41"/>
        <v>76403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4.1666666666666664E-2</v>
      </c>
      <c r="M49" s="175" t="str">
        <f t="shared" si="44"/>
        <v>No Night shift</v>
      </c>
    </row>
    <row r="50" spans="6:13" ht="12.75" hidden="1" customHeight="1" x14ac:dyDescent="0.25">
      <c r="F50" s="1">
        <v>3</v>
      </c>
      <c r="G50" s="79">
        <f t="shared" si="41"/>
        <v>76403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4.1666666666666664E-2</v>
      </c>
      <c r="M50" s="175" t="str">
        <f t="shared" si="44"/>
        <v>No Night shift</v>
      </c>
    </row>
    <row r="51" spans="6:13" ht="12.75" hidden="1" customHeight="1" x14ac:dyDescent="0.25">
      <c r="F51" s="1">
        <v>4</v>
      </c>
      <c r="G51" s="79">
        <f t="shared" si="41"/>
        <v>76403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4.1666666666666664E-2</v>
      </c>
      <c r="M51" s="175" t="str">
        <f t="shared" si="44"/>
        <v>No Night shift</v>
      </c>
    </row>
    <row r="52" spans="6:13" ht="12.75" hidden="1" customHeight="1" x14ac:dyDescent="0.25">
      <c r="F52" s="1">
        <v>5</v>
      </c>
      <c r="G52" s="79">
        <f t="shared" si="41"/>
        <v>76403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4.1666666666666664E-2</v>
      </c>
      <c r="M52" s="175" t="str">
        <f t="shared" si="44"/>
        <v>No Night shift</v>
      </c>
    </row>
    <row r="53" spans="6:13" ht="12.75" hidden="1" customHeight="1" x14ac:dyDescent="0.25">
      <c r="F53" s="1">
        <v>6</v>
      </c>
      <c r="G53" s="79">
        <f t="shared" si="41"/>
        <v>76403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4.1666666666666664E-2</v>
      </c>
      <c r="M53" s="175" t="str">
        <f t="shared" si="44"/>
        <v>No Night shift</v>
      </c>
    </row>
    <row r="54" spans="6:13" ht="12.75" hidden="1" customHeight="1" x14ac:dyDescent="0.25">
      <c r="F54" s="1">
        <v>7</v>
      </c>
      <c r="G54" s="79">
        <f t="shared" si="41"/>
        <v>76403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4.1666666666666664E-2</v>
      </c>
      <c r="M54" s="175" t="str">
        <f t="shared" si="44"/>
        <v>No Night shift</v>
      </c>
    </row>
    <row r="55" spans="6:13" ht="12.75" hidden="1" customHeight="1" x14ac:dyDescent="0.25">
      <c r="F55" s="1">
        <v>8</v>
      </c>
      <c r="G55" s="79">
        <f t="shared" si="41"/>
        <v>76403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4.1666666666666664E-2</v>
      </c>
      <c r="M55" s="175" t="str">
        <f t="shared" si="44"/>
        <v>No Night shift</v>
      </c>
    </row>
    <row r="56" spans="6:13" ht="12.75" hidden="1" customHeight="1" x14ac:dyDescent="0.25">
      <c r="F56" s="1">
        <v>9</v>
      </c>
      <c r="G56" s="79">
        <f t="shared" ref="G56:G63" si="45">D16</f>
        <v>76403</v>
      </c>
      <c r="H56" s="79" t="e">
        <f>#REF!</f>
        <v>#REF!</v>
      </c>
      <c r="I56" s="79">
        <f t="shared" ref="I56:I63" si="46">O16</f>
        <v>28.6</v>
      </c>
      <c r="J56" s="111" t="str">
        <f t="shared" ref="J56:K63" si="47">AE16</f>
        <v>Clean</v>
      </c>
      <c r="K56" s="111" t="str">
        <f t="shared" si="47"/>
        <v>Clean</v>
      </c>
      <c r="L56" s="162">
        <f t="shared" ref="L56:M63" ca="1" si="48">AU16</f>
        <v>3.8194444447678201E-2</v>
      </c>
      <c r="M56" s="175" t="str">
        <f t="shared" si="48"/>
        <v>06:00 - 06:55&gt; Waiting for the front loader</v>
      </c>
    </row>
    <row r="57" spans="6:13" ht="12.75" hidden="1" customHeight="1" x14ac:dyDescent="0.25">
      <c r="F57" s="1">
        <v>10</v>
      </c>
      <c r="G57" s="79">
        <f t="shared" si="45"/>
        <v>76430</v>
      </c>
      <c r="H57" s="79" t="e">
        <f>#REF!</f>
        <v>#REF!</v>
      </c>
      <c r="I57" s="79">
        <f t="shared" si="46"/>
        <v>30.1</v>
      </c>
      <c r="J57" s="111" t="str">
        <f t="shared" si="47"/>
        <v>Clean</v>
      </c>
      <c r="K57" s="111" t="str">
        <f t="shared" si="47"/>
        <v>Clean</v>
      </c>
      <c r="L57" s="162">
        <f t="shared" ca="1" si="48"/>
        <v>7.6388888919609599E-3</v>
      </c>
      <c r="M57" s="175" t="str">
        <f t="shared" si="48"/>
        <v>07:00&gt; we started the feed now; 07:49 - 08:00&gt; Tertiary crusher trip the power. Calling the AMSA electrician</v>
      </c>
    </row>
    <row r="58" spans="6:13" ht="12.75" hidden="1" customHeight="1" x14ac:dyDescent="0.25">
      <c r="F58" s="1">
        <v>11</v>
      </c>
      <c r="G58" s="79">
        <f t="shared" si="45"/>
        <v>76463</v>
      </c>
      <c r="H58" s="79" t="e">
        <f>#REF!</f>
        <v>#REF!</v>
      </c>
      <c r="I58" s="79">
        <f t="shared" si="46"/>
        <v>31.3</v>
      </c>
      <c r="J58" s="111" t="str">
        <f t="shared" si="47"/>
        <v>Clean</v>
      </c>
      <c r="K58" s="111" t="str">
        <f t="shared" si="47"/>
        <v>Clean</v>
      </c>
      <c r="L58" s="162">
        <f t="shared" ca="1" si="48"/>
        <v>3.1944444441857435E-2</v>
      </c>
      <c r="M58" s="175" t="str">
        <f t="shared" si="48"/>
        <v>08:00 - 08:46&gt; Tertiary crusher trip the power. Calling the AMSA electrician; 08:51&gt; Tertiary crusher trip Again due to starting the CC01</v>
      </c>
    </row>
    <row r="59" spans="6:13" ht="12.75" hidden="1" customHeight="1" x14ac:dyDescent="0.25">
      <c r="F59" s="1">
        <v>12</v>
      </c>
      <c r="G59" s="79">
        <f t="shared" si="45"/>
        <v>76593</v>
      </c>
      <c r="H59" s="79" t="e">
        <f>#REF!</f>
        <v>#REF!</v>
      </c>
      <c r="I59" s="79">
        <f t="shared" si="46"/>
        <v>41.2</v>
      </c>
      <c r="J59" s="111" t="str">
        <f t="shared" si="47"/>
        <v>Clean</v>
      </c>
      <c r="K59" s="111" t="str">
        <f t="shared" si="47"/>
        <v>Clean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76728</v>
      </c>
      <c r="H60" s="79" t="e">
        <f>#REF!</f>
        <v>#REF!</v>
      </c>
      <c r="I60" s="79">
        <f t="shared" si="46"/>
        <v>38.5</v>
      </c>
      <c r="J60" s="111" t="str">
        <f t="shared" si="47"/>
        <v>Clean</v>
      </c>
      <c r="K60" s="111" t="str">
        <f t="shared" si="47"/>
        <v>Clean</v>
      </c>
      <c r="L60" s="162">
        <f t="shared" ca="1" si="48"/>
        <v>0</v>
      </c>
      <c r="M60" s="175" t="str">
        <f t="shared" si="48"/>
        <v>10:50-11:02&gt; FE01 Was Blocked</v>
      </c>
    </row>
    <row r="61" spans="6:13" ht="12.75" hidden="1" customHeight="1" x14ac:dyDescent="0.25">
      <c r="F61" s="1">
        <v>14</v>
      </c>
      <c r="G61" s="79">
        <f t="shared" si="45"/>
        <v>76872</v>
      </c>
      <c r="H61" s="79" t="e">
        <f>#REF!</f>
        <v>#REF!</v>
      </c>
      <c r="I61" s="79">
        <f t="shared" si="46"/>
        <v>40</v>
      </c>
      <c r="J61" s="111" t="str">
        <f t="shared" si="47"/>
        <v>Clean</v>
      </c>
      <c r="K61" s="111" t="str">
        <f t="shared" si="47"/>
        <v>Clean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76995</v>
      </c>
      <c r="H62" s="79" t="e">
        <f>#REF!</f>
        <v>#REF!</v>
      </c>
      <c r="I62" s="79">
        <f t="shared" si="46"/>
        <v>39.200000000000003</v>
      </c>
      <c r="J62" s="111" t="str">
        <f t="shared" si="47"/>
        <v>Clean</v>
      </c>
      <c r="K62" s="111" t="str">
        <f t="shared" si="47"/>
        <v>Clean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77152</v>
      </c>
      <c r="H63" s="79" t="e">
        <f>#REF!</f>
        <v>#REF!</v>
      </c>
      <c r="I63" s="79" t="str">
        <f t="shared" si="46"/>
        <v>38.8</v>
      </c>
      <c r="J63" s="111" t="str">
        <f t="shared" si="47"/>
        <v>Clean</v>
      </c>
      <c r="K63" s="111" t="str">
        <f t="shared" si="47"/>
        <v>Clean</v>
      </c>
      <c r="L63" s="162">
        <f t="shared" ca="1" si="48"/>
        <v>0</v>
      </c>
      <c r="M63" s="175" t="str">
        <f t="shared" si="48"/>
        <v>14:00 TO 14:30&gt; Doing inspection, caucus and clean build-up at FEO1, Plant running no problem</v>
      </c>
    </row>
    <row r="64" spans="6:13" ht="12.75" hidden="1" customHeight="1" x14ac:dyDescent="0.25">
      <c r="F64" s="1">
        <v>17</v>
      </c>
      <c r="G64" s="79">
        <f t="shared" ref="G64:G71" si="49">D25</f>
        <v>77278</v>
      </c>
      <c r="H64" s="79" t="e">
        <f>#REF!</f>
        <v>#REF!</v>
      </c>
      <c r="I64" s="79" t="str">
        <f t="shared" ref="I64:I71" si="50">O25</f>
        <v>36.1</v>
      </c>
      <c r="J64" s="111" t="str">
        <f t="shared" ref="J64:K71" si="51">AE25</f>
        <v>Clean</v>
      </c>
      <c r="K64" s="111" t="str">
        <f t="shared" si="51"/>
        <v>Clean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77388</v>
      </c>
      <c r="H65" s="79" t="e">
        <f>#REF!</f>
        <v>#REF!</v>
      </c>
      <c r="I65" s="79" t="str">
        <f t="shared" si="50"/>
        <v>37.8</v>
      </c>
      <c r="J65" s="111" t="str">
        <f t="shared" si="51"/>
        <v>Clean</v>
      </c>
      <c r="K65" s="111" t="str">
        <f t="shared" si="51"/>
        <v>Clean</v>
      </c>
      <c r="L65" s="162">
        <f t="shared" ca="1" si="52"/>
        <v>0</v>
      </c>
      <c r="M65" s="175" t="str">
        <f t="shared" si="52"/>
        <v>Secondary overfloawing at the setpoint of 10 /  SP-10</v>
      </c>
    </row>
    <row r="66" spans="6:13" ht="12.75" hidden="1" customHeight="1" x14ac:dyDescent="0.25">
      <c r="F66" s="1">
        <v>19</v>
      </c>
      <c r="G66" s="79">
        <f t="shared" si="49"/>
        <v>77388</v>
      </c>
      <c r="H66" s="79" t="e">
        <f>#REF!</f>
        <v>#REF!</v>
      </c>
      <c r="I66" s="79" t="str">
        <f t="shared" si="50"/>
        <v>38.6</v>
      </c>
      <c r="J66" s="111" t="str">
        <f t="shared" si="51"/>
        <v>Clean</v>
      </c>
      <c r="K66" s="111" t="str">
        <f t="shared" si="51"/>
        <v>Clean</v>
      </c>
      <c r="L66" s="162">
        <f t="shared" ca="1" si="52"/>
        <v>0</v>
      </c>
      <c r="M66" s="175" t="str">
        <f t="shared" si="52"/>
        <v>15:42&gt; Stop FEO1 due to clean SCO1 bottom deck Phoenix want to do trial</v>
      </c>
    </row>
    <row r="67" spans="6:13" ht="12.75" hidden="1" customHeight="1" x14ac:dyDescent="0.25">
      <c r="F67" s="1">
        <v>20</v>
      </c>
      <c r="G67" s="79">
        <f t="shared" si="49"/>
        <v>77581</v>
      </c>
      <c r="H67" s="79" t="e">
        <f>#REF!</f>
        <v>#REF!</v>
      </c>
      <c r="I67" s="79" t="str">
        <f t="shared" si="50"/>
        <v>41.8</v>
      </c>
      <c r="J67" s="111" t="str">
        <f t="shared" si="51"/>
        <v>Clean</v>
      </c>
      <c r="K67" s="111" t="str">
        <f t="shared" si="51"/>
        <v>Clean</v>
      </c>
      <c r="L67" s="162">
        <f t="shared" ca="1" si="52"/>
        <v>0</v>
      </c>
      <c r="M67" s="175" t="str">
        <f t="shared" si="52"/>
        <v>16:39&gt; Phoenix done with trial restart the plant ,Tertiary crusher tripped</v>
      </c>
    </row>
    <row r="68" spans="6:13" ht="12.75" hidden="1" customHeight="1" x14ac:dyDescent="0.25">
      <c r="F68" s="1">
        <v>21</v>
      </c>
      <c r="G68" s="79">
        <f t="shared" si="49"/>
        <v>77752</v>
      </c>
      <c r="H68" s="79" t="e">
        <f>#REF!</f>
        <v>#REF!</v>
      </c>
      <c r="I68" s="79" t="str">
        <f t="shared" si="50"/>
        <v>37.8</v>
      </c>
      <c r="J68" s="111" t="str">
        <f t="shared" si="51"/>
        <v>Clean</v>
      </c>
      <c r="K68" s="111" t="str">
        <f t="shared" si="51"/>
        <v>Clean</v>
      </c>
      <c r="L68" s="162">
        <f t="shared" ca="1" si="52"/>
        <v>0</v>
      </c>
      <c r="M68" s="175" t="str">
        <f t="shared" si="52"/>
        <v>17:03&gt;Electrician done recent Tertiary crusher ,feed back online</v>
      </c>
    </row>
    <row r="69" spans="6:13" ht="12.75" hidden="1" customHeight="1" x14ac:dyDescent="0.25">
      <c r="F69" s="1">
        <v>22</v>
      </c>
      <c r="G69" s="79">
        <f t="shared" si="49"/>
        <v>77927</v>
      </c>
      <c r="H69" s="79" t="e">
        <f>#REF!</f>
        <v>#REF!</v>
      </c>
      <c r="I69" s="79" t="str">
        <f t="shared" si="50"/>
        <v>39.9</v>
      </c>
      <c r="J69" s="111" t="str">
        <f t="shared" si="51"/>
        <v>Clean</v>
      </c>
      <c r="K69" s="111" t="str">
        <f t="shared" si="51"/>
        <v>Clean</v>
      </c>
      <c r="L69" s="162">
        <f t="shared" ca="1" si="52"/>
        <v>0</v>
      </c>
      <c r="M69" s="175" t="str">
        <f t="shared" si="52"/>
        <v>21:11&gt; Power dipped,reset all equipment are running ,but Tertiary crusher want to lift it up before we restart</v>
      </c>
    </row>
    <row r="70" spans="6:13" ht="13.5" hidden="1" customHeight="1" x14ac:dyDescent="0.25">
      <c r="F70" s="1">
        <v>23</v>
      </c>
      <c r="G70" s="79">
        <f t="shared" si="49"/>
        <v>77966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G2:H2"/>
    <mergeCell ref="I2:I3"/>
    <mergeCell ref="N2:O2"/>
    <mergeCell ref="R2:R3"/>
    <mergeCell ref="AT5:AU5"/>
    <mergeCell ref="C1:F1"/>
    <mergeCell ref="AA1:AD1"/>
    <mergeCell ref="AE1:AF1"/>
    <mergeCell ref="AG1:AH1"/>
    <mergeCell ref="J2:J3"/>
    <mergeCell ref="K2:K3"/>
    <mergeCell ref="L2:M2"/>
    <mergeCell ref="P2:P3"/>
    <mergeCell ref="Q2:Q3"/>
    <mergeCell ref="T2:U2"/>
    <mergeCell ref="S2:S3"/>
    <mergeCell ref="G1:M1"/>
    <mergeCell ref="N1:U1"/>
    <mergeCell ref="V1:X1"/>
    <mergeCell ref="Y1:Z1"/>
  </mergeCells>
  <conditionalFormatting sqref="I6">
    <cfRule type="cellIs" dxfId="459" priority="40" operator="greaterThan">
      <formula>$I$4</formula>
    </cfRule>
    <cfRule type="cellIs" dxfId="458" priority="39" operator="lessThan">
      <formula>$I$4</formula>
    </cfRule>
  </conditionalFormatting>
  <conditionalFormatting sqref="N33">
    <cfRule type="cellIs" dxfId="457" priority="49" operator="greaterThan">
      <formula>75</formula>
    </cfRule>
    <cfRule type="cellIs" dxfId="456" priority="48" operator="lessThan">
      <formula>75</formula>
    </cfRule>
  </conditionalFormatting>
  <conditionalFormatting sqref="P15 P24 P33">
    <cfRule type="cellIs" dxfId="455" priority="38" operator="greaterThan">
      <formula>52.5</formula>
    </cfRule>
    <cfRule type="cellIs" dxfId="454" priority="37" operator="lessThan">
      <formula>52.5</formula>
    </cfRule>
  </conditionalFormatting>
  <conditionalFormatting sqref="S18:S22 U18:U22 S23:U23">
    <cfRule type="cellIs" dxfId="453" priority="17" operator="equal">
      <formula>"N"</formula>
    </cfRule>
    <cfRule type="cellIs" dxfId="452" priority="18" operator="equal">
      <formula>"Y"</formula>
    </cfRule>
  </conditionalFormatting>
  <conditionalFormatting sqref="S18:S22 U18:AB22 S23:AB23">
    <cfRule type="cellIs" dxfId="451" priority="11" operator="equal">
      <formula>"N"</formula>
    </cfRule>
    <cfRule type="cellIs" dxfId="450" priority="12" operator="equal">
      <formula>"Y"</formula>
    </cfRule>
  </conditionalFormatting>
  <conditionalFormatting sqref="T23">
    <cfRule type="cellIs" dxfId="449" priority="9" operator="equal">
      <formula>"S"</formula>
    </cfRule>
    <cfRule type="cellIs" dxfId="448" priority="10" operator="equal">
      <formula>"C"</formula>
    </cfRule>
    <cfRule type="cellIs" dxfId="447" priority="21" operator="equal">
      <formula>"N"</formula>
    </cfRule>
    <cfRule type="cellIs" dxfId="446" priority="22" operator="equal">
      <formula>"Y"</formula>
    </cfRule>
    <cfRule type="cellIs" dxfId="445" priority="23" operator="equal">
      <formula>"N"</formula>
    </cfRule>
    <cfRule type="cellIs" dxfId="444" priority="24" operator="equal">
      <formula>"Y"</formula>
    </cfRule>
  </conditionalFormatting>
  <conditionalFormatting sqref="T15:Z15">
    <cfRule type="cellIs" dxfId="443" priority="44" operator="equal">
      <formula>"N"</formula>
    </cfRule>
    <cfRule type="cellIs" dxfId="442" priority="45" operator="equal">
      <formula>"Y"</formula>
    </cfRule>
  </conditionalFormatting>
  <conditionalFormatting sqref="T6:AA14">
    <cfRule type="cellIs" dxfId="441" priority="32" operator="equal">
      <formula>"Y"</formula>
    </cfRule>
    <cfRule type="cellIs" dxfId="440" priority="31" operator="equal">
      <formula>"N"</formula>
    </cfRule>
  </conditionalFormatting>
  <conditionalFormatting sqref="T16:AA16 U17:AA17 T17:T22">
    <cfRule type="cellIs" dxfId="439" priority="7" operator="equal">
      <formula>"N"</formula>
    </cfRule>
    <cfRule type="cellIs" dxfId="438" priority="8" operator="equal">
      <formula>"Y"</formula>
    </cfRule>
  </conditionalFormatting>
  <conditionalFormatting sqref="T24:AA24 T33:AA33">
    <cfRule type="cellIs" dxfId="437" priority="35" operator="equal">
      <formula>"N"</formula>
    </cfRule>
    <cfRule type="cellIs" dxfId="436" priority="36" operator="equal">
      <formula>"Y"</formula>
    </cfRule>
  </conditionalFormatting>
  <conditionalFormatting sqref="T6:AC16 U17:AC17 T17:T22">
    <cfRule type="cellIs" dxfId="435" priority="3" operator="equal">
      <formula>"N"</formula>
    </cfRule>
    <cfRule type="cellIs" dxfId="434" priority="4" operator="equal">
      <formula>"Y"</formula>
    </cfRule>
  </conditionalFormatting>
  <conditionalFormatting sqref="T24:AC24 T33:AC33">
    <cfRule type="cellIs" dxfId="433" priority="28" operator="equal">
      <formula>"Y"</formula>
    </cfRule>
    <cfRule type="cellIs" dxfId="432" priority="27" operator="equal">
      <formula>"N"</formula>
    </cfRule>
  </conditionalFormatting>
  <conditionalFormatting sqref="U6:U24">
    <cfRule type="cellIs" dxfId="431" priority="1" operator="equal">
      <formula>"S"</formula>
    </cfRule>
    <cfRule type="cellIs" dxfId="430" priority="2" operator="equal">
      <formula>"C"</formula>
    </cfRule>
  </conditionalFormatting>
  <conditionalFormatting sqref="U33">
    <cfRule type="cellIs" dxfId="429" priority="26" operator="equal">
      <formula>"C"</formula>
    </cfRule>
    <cfRule type="cellIs" dxfId="428" priority="25" operator="equal">
      <formula>"S"</formula>
    </cfRule>
  </conditionalFormatting>
  <conditionalFormatting sqref="V15">
    <cfRule type="cellIs" dxfId="427" priority="42" operator="equal">
      <formula>"S"</formula>
    </cfRule>
    <cfRule type="cellIs" dxfId="426" priority="43" operator="equal">
      <formula>"C"</formula>
    </cfRule>
  </conditionalFormatting>
  <conditionalFormatting sqref="V18:W23">
    <cfRule type="cellIs" dxfId="425" priority="20" operator="equal">
      <formula>"C"</formula>
    </cfRule>
    <cfRule type="cellIs" dxfId="424" priority="19" operator="equal">
      <formula>"S"</formula>
    </cfRule>
  </conditionalFormatting>
  <conditionalFormatting sqref="V6:X14">
    <cfRule type="cellIs" dxfId="423" priority="29" operator="equal">
      <formula>"S"</formula>
    </cfRule>
    <cfRule type="cellIs" dxfId="422" priority="30" operator="equal">
      <formula>"C"</formula>
    </cfRule>
  </conditionalFormatting>
  <conditionalFormatting sqref="V16:X17">
    <cfRule type="cellIs" dxfId="421" priority="6" operator="equal">
      <formula>"C"</formula>
    </cfRule>
    <cfRule type="cellIs" dxfId="420" priority="5" operator="equal">
      <formula>"S"</formula>
    </cfRule>
  </conditionalFormatting>
  <conditionalFormatting sqref="V18:Z23">
    <cfRule type="cellIs" dxfId="419" priority="14" operator="equal">
      <formula>"Y"</formula>
    </cfRule>
    <cfRule type="cellIs" dxfId="418" priority="13" operator="equal">
      <formula>"N"</formula>
    </cfRule>
  </conditionalFormatting>
  <conditionalFormatting sqref="AG6:AG14">
    <cfRule type="cellIs" dxfId="417" priority="33" operator="lessThan">
      <formula>1.19</formula>
    </cfRule>
    <cfRule type="cellIs" dxfId="416" priority="34" operator="greaterThan">
      <formula>1.19</formula>
    </cfRule>
  </conditionalFormatting>
  <conditionalFormatting sqref="AG16:AG23">
    <cfRule type="cellIs" dxfId="415" priority="46" operator="lessThan">
      <formula>1.19</formula>
    </cfRule>
    <cfRule type="cellIs" dxfId="414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78EF-4225-4F99-BDF6-458CAF3AEF82}">
  <sheetPr>
    <pageSetUpPr fitToPage="1"/>
  </sheetPr>
  <dimension ref="A1:AV71"/>
  <sheetViews>
    <sheetView showGridLines="0" zoomScaleNormal="100" workbookViewId="0">
      <pane xSplit="2" ySplit="6" topLeftCell="C24" activePane="bottomRight" state="frozen"/>
      <selection pane="topRight" activeCell="C1" sqref="C1"/>
      <selection pane="bottomLeft" activeCell="A7" sqref="A7"/>
      <selection pane="bottomRight" activeCell="AF32" sqref="AF32"/>
    </sheetView>
  </sheetViews>
  <sheetFormatPr defaultColWidth="9" defaultRowHeight="12.75" x14ac:dyDescent="0.25"/>
  <cols>
    <col min="1" max="1" width="0.28515625" style="1" customWidth="1"/>
    <col min="2" max="2" width="9" style="1"/>
    <col min="3" max="3" width="10" style="1" customWidth="1"/>
    <col min="4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'07 Aug 23'!B1+1</f>
        <v>45146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819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/>
      <c r="D6" s="79">
        <v>77966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45145.958333333336</v>
      </c>
      <c r="B7" s="198">
        <v>0.95833333333333304</v>
      </c>
      <c r="C7" s="199"/>
      <c r="D7" s="79">
        <v>77966</v>
      </c>
      <c r="E7" s="80">
        <f t="shared" ref="E7:E14" si="0">IF(D7&gt;0,D7-D6,"")</f>
        <v>0</v>
      </c>
      <c r="F7" s="200">
        <f>F6</f>
        <v>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>
        <v>0.91736111111111107</v>
      </c>
      <c r="AJ7" s="101"/>
      <c r="AK7" s="102">
        <f t="shared" ref="AK7:AK13" si="1">AO7</f>
        <v>0</v>
      </c>
      <c r="AL7" s="103">
        <f>IF(AI7&lt;&gt;"",AI7+$B$1-1,B7+$B$1-1/24)</f>
        <v>45145.917361111111</v>
      </c>
      <c r="AM7" s="102">
        <f>AK6</f>
        <v>1</v>
      </c>
      <c r="AN7" s="102">
        <f t="shared" ref="AN7:AN14" si="2">IF(AI7="",AM7,0)</f>
        <v>0</v>
      </c>
      <c r="AO7" s="102">
        <f t="shared" ref="AO7:AO14" si="3">IF(AJ7&lt;&gt;"",1,AN7)</f>
        <v>0</v>
      </c>
      <c r="AP7" s="103">
        <f>IF(AJ7&lt;&gt;"",AJ7+$B$1-1,B7+$B$1-1)</f>
        <v>45145.958333333336</v>
      </c>
      <c r="AQ7" s="103">
        <f t="shared" ref="AQ7:AQ14" si="4">AL7-A7+1/24</f>
        <v>6.9444444185743498E-4</v>
      </c>
      <c r="AR7" s="103">
        <f>AP7-AL7</f>
        <v>4.0972222224809229E-2</v>
      </c>
      <c r="AS7" s="103">
        <f t="shared" ref="AS7:AS14" si="5">A7-AP7</f>
        <v>0</v>
      </c>
      <c r="AT7" s="103">
        <f t="shared" ref="AT7:AT14" ca="1" si="6">IF(A7&lt;$AU$1,SUMPRODUCT(AM7:AO7,AQ7:AS7),0)</f>
        <v>6.9444444185743498E-4</v>
      </c>
      <c r="AU7" s="104">
        <f t="shared" ref="AU7:AU14" ca="1" si="7">IF(A7&lt;$AU$1,1/24-AT7,0)</f>
        <v>4.0972222224809229E-2</v>
      </c>
      <c r="AV7" s="239"/>
    </row>
    <row r="8" spans="1:48" x14ac:dyDescent="0.25">
      <c r="A8" s="96">
        <f t="shared" ref="A8:A23" si="8">B8+$B$1</f>
        <v>45146</v>
      </c>
      <c r="B8" s="198">
        <v>0</v>
      </c>
      <c r="C8" s="199"/>
      <c r="D8" s="79">
        <v>77966</v>
      </c>
      <c r="E8" s="80">
        <f t="shared" si="0"/>
        <v>0</v>
      </c>
      <c r="F8" s="200">
        <f t="shared" ref="F8:F33" si="9">F7</f>
        <v>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0</v>
      </c>
      <c r="AL8" s="103">
        <f>IF(AI8&lt;&gt;"",AI8+$B$1-1,B8+$B$1-1/24)</f>
        <v>45145.958333333336</v>
      </c>
      <c r="AM8" s="102">
        <f t="shared" ref="AM8:AM14" si="10">AK7</f>
        <v>0</v>
      </c>
      <c r="AN8" s="102">
        <f t="shared" si="2"/>
        <v>0</v>
      </c>
      <c r="AO8" s="102">
        <f t="shared" si="3"/>
        <v>0</v>
      </c>
      <c r="AP8" s="103">
        <f>IF(AJ8&lt;&gt;"",AJ8+$B$1-1,B8+$B$1)</f>
        <v>45146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4.1666666666666664E-2</v>
      </c>
      <c r="AV8" s="239"/>
    </row>
    <row r="9" spans="1:48" x14ac:dyDescent="0.25">
      <c r="A9" s="96">
        <f t="shared" si="8"/>
        <v>45146.041666666664</v>
      </c>
      <c r="B9" s="198">
        <v>4.1666666666666664E-2</v>
      </c>
      <c r="C9" s="199"/>
      <c r="D9" s="79">
        <v>77966</v>
      </c>
      <c r="E9" s="80">
        <f t="shared" si="0"/>
        <v>0</v>
      </c>
      <c r="F9" s="200">
        <f t="shared" si="9"/>
        <v>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0</v>
      </c>
      <c r="AL9" s="103">
        <f t="shared" ref="AL9:AL14" si="12">IF(AI9&lt;&gt;"",AI9+$B$1,B9+$B$1-1/24)</f>
        <v>45146</v>
      </c>
      <c r="AM9" s="102">
        <f t="shared" si="10"/>
        <v>0</v>
      </c>
      <c r="AN9" s="102">
        <f t="shared" si="2"/>
        <v>0</v>
      </c>
      <c r="AO9" s="102">
        <f t="shared" si="3"/>
        <v>0</v>
      </c>
      <c r="AP9" s="103">
        <f t="shared" ref="AP9:AP14" si="13">IF(AJ9&lt;&gt;"",AJ9+$B$1,B9+$B$1)</f>
        <v>45146.041666666664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4.1666666666666664E-2</v>
      </c>
      <c r="AV9" s="239"/>
    </row>
    <row r="10" spans="1:48" ht="15" customHeight="1" x14ac:dyDescent="0.25">
      <c r="A10" s="96">
        <f t="shared" si="8"/>
        <v>45146.083333333336</v>
      </c>
      <c r="B10" s="198">
        <v>8.3333333333333329E-2</v>
      </c>
      <c r="C10" s="199"/>
      <c r="D10" s="79">
        <v>77966</v>
      </c>
      <c r="E10" s="80">
        <f t="shared" si="0"/>
        <v>0</v>
      </c>
      <c r="F10" s="200">
        <f t="shared" si="9"/>
        <v>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0</v>
      </c>
      <c r="AL10" s="103">
        <f t="shared" si="12"/>
        <v>45146.041666666672</v>
      </c>
      <c r="AM10" s="102">
        <f t="shared" si="10"/>
        <v>0</v>
      </c>
      <c r="AN10" s="102">
        <f t="shared" si="2"/>
        <v>0</v>
      </c>
      <c r="AO10" s="102">
        <f t="shared" si="3"/>
        <v>0</v>
      </c>
      <c r="AP10" s="103">
        <f t="shared" si="13"/>
        <v>45146.083333333336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4.1666666666666664E-2</v>
      </c>
      <c r="AV10" s="239"/>
    </row>
    <row r="11" spans="1:48" ht="15" customHeight="1" x14ac:dyDescent="0.25">
      <c r="A11" s="96">
        <f t="shared" si="8"/>
        <v>45146.125</v>
      </c>
      <c r="B11" s="198">
        <v>0.125</v>
      </c>
      <c r="C11" s="199"/>
      <c r="D11" s="79">
        <v>77966</v>
      </c>
      <c r="E11" s="80">
        <f t="shared" si="0"/>
        <v>0</v>
      </c>
      <c r="F11" s="200">
        <f t="shared" si="9"/>
        <v>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0</v>
      </c>
      <c r="AL11" s="103">
        <f t="shared" si="12"/>
        <v>45146.083333333336</v>
      </c>
      <c r="AM11" s="102">
        <f t="shared" si="10"/>
        <v>0</v>
      </c>
      <c r="AN11" s="102">
        <f>IF(AI11="",AM11,0)</f>
        <v>0</v>
      </c>
      <c r="AO11" s="102">
        <f t="shared" si="3"/>
        <v>0</v>
      </c>
      <c r="AP11" s="103">
        <f t="shared" si="13"/>
        <v>45146.125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4.1666666666666664E-2</v>
      </c>
      <c r="AV11" s="239"/>
    </row>
    <row r="12" spans="1:48" ht="14.45" customHeight="1" x14ac:dyDescent="0.25">
      <c r="A12" s="96">
        <f t="shared" si="8"/>
        <v>45146.166666666664</v>
      </c>
      <c r="B12" s="198">
        <v>0.16666666666666666</v>
      </c>
      <c r="C12" s="199"/>
      <c r="D12" s="79">
        <v>77966</v>
      </c>
      <c r="E12" s="80">
        <f t="shared" si="0"/>
        <v>0</v>
      </c>
      <c r="F12" s="200">
        <f t="shared" si="9"/>
        <v>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0</v>
      </c>
      <c r="AL12" s="103">
        <f t="shared" si="12"/>
        <v>45146.125</v>
      </c>
      <c r="AM12" s="102">
        <f t="shared" si="10"/>
        <v>0</v>
      </c>
      <c r="AN12" s="102">
        <f>IF(AI12="",AM12,0)</f>
        <v>0</v>
      </c>
      <c r="AO12" s="102">
        <f t="shared" si="3"/>
        <v>0</v>
      </c>
      <c r="AP12" s="103">
        <f t="shared" si="13"/>
        <v>45146.166666666664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4.1666666666666664E-2</v>
      </c>
      <c r="AV12" s="239"/>
    </row>
    <row r="13" spans="1:48" ht="15" customHeight="1" x14ac:dyDescent="0.25">
      <c r="A13" s="96">
        <f t="shared" si="8"/>
        <v>45146.208333333336</v>
      </c>
      <c r="B13" s="198">
        <v>0.20833333333333334</v>
      </c>
      <c r="C13" s="199"/>
      <c r="D13" s="79">
        <v>77966</v>
      </c>
      <c r="E13" s="80">
        <f t="shared" si="0"/>
        <v>0</v>
      </c>
      <c r="F13" s="200">
        <f t="shared" si="9"/>
        <v>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0</v>
      </c>
      <c r="AL13" s="103">
        <f t="shared" si="12"/>
        <v>45146.166666666672</v>
      </c>
      <c r="AM13" s="102">
        <f t="shared" si="10"/>
        <v>0</v>
      </c>
      <c r="AN13" s="102">
        <f t="shared" si="2"/>
        <v>0</v>
      </c>
      <c r="AO13" s="102">
        <f t="shared" si="3"/>
        <v>0</v>
      </c>
      <c r="AP13" s="103">
        <f t="shared" si="13"/>
        <v>45146.208333333336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4.1666666666666664E-2</v>
      </c>
      <c r="AV13" s="239"/>
    </row>
    <row r="14" spans="1:48" x14ac:dyDescent="0.25">
      <c r="A14" s="96">
        <f t="shared" si="8"/>
        <v>45146.25</v>
      </c>
      <c r="B14" s="198">
        <v>0.25</v>
      </c>
      <c r="C14" s="199"/>
      <c r="D14" s="79">
        <v>77966</v>
      </c>
      <c r="E14" s="80">
        <f t="shared" si="0"/>
        <v>0</v>
      </c>
      <c r="F14" s="204">
        <f t="shared" si="9"/>
        <v>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>
        <v>0.25</v>
      </c>
      <c r="AK14" s="102">
        <f>AO14</f>
        <v>1</v>
      </c>
      <c r="AL14" s="103">
        <f t="shared" si="12"/>
        <v>45146.208333333336</v>
      </c>
      <c r="AM14" s="102">
        <f t="shared" si="10"/>
        <v>0</v>
      </c>
      <c r="AN14" s="102">
        <f t="shared" si="2"/>
        <v>0</v>
      </c>
      <c r="AO14" s="102">
        <f t="shared" si="3"/>
        <v>1</v>
      </c>
      <c r="AP14" s="103">
        <f t="shared" si="13"/>
        <v>45146.25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0</v>
      </c>
      <c r="AU14" s="104">
        <f t="shared" ca="1" si="7"/>
        <v>4.1666666666666664E-2</v>
      </c>
      <c r="AV14" s="239" t="s">
        <v>308</v>
      </c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6.9444444185743498E-4</v>
      </c>
      <c r="AU15" s="133">
        <f ca="1">SUM(AU7:AU14)</f>
        <v>0.33263888889147586</v>
      </c>
      <c r="AV15" s="132"/>
    </row>
    <row r="16" spans="1:48" ht="13.15" customHeight="1" x14ac:dyDescent="0.25">
      <c r="A16" s="96">
        <f t="shared" si="8"/>
        <v>45146.291666666664</v>
      </c>
      <c r="B16" s="198">
        <v>0.29166666666666669</v>
      </c>
      <c r="C16" s="199" t="s">
        <v>130</v>
      </c>
      <c r="D16" s="79">
        <v>78086</v>
      </c>
      <c r="E16" s="80">
        <f>IF(D16&gt;0,D16-D14,"")</f>
        <v>120</v>
      </c>
      <c r="F16" s="200">
        <v>160</v>
      </c>
      <c r="G16" s="210">
        <v>28</v>
      </c>
      <c r="H16" s="210">
        <v>41</v>
      </c>
      <c r="I16" s="209">
        <v>15</v>
      </c>
      <c r="J16" s="211">
        <v>20</v>
      </c>
      <c r="K16" s="211"/>
      <c r="L16" s="209"/>
      <c r="M16" s="209"/>
      <c r="N16" s="79">
        <v>39.700000000000003</v>
      </c>
      <c r="O16" s="79">
        <v>40.9</v>
      </c>
      <c r="P16" s="79">
        <v>1.8</v>
      </c>
      <c r="Q16" s="79">
        <v>20</v>
      </c>
      <c r="R16" s="79" t="s">
        <v>136</v>
      </c>
      <c r="S16" s="85"/>
      <c r="T16" s="85" t="s">
        <v>136</v>
      </c>
      <c r="U16" s="86"/>
      <c r="V16" s="86">
        <v>79</v>
      </c>
      <c r="W16" s="86">
        <v>20</v>
      </c>
      <c r="X16" s="86">
        <v>76</v>
      </c>
      <c r="Y16" s="85">
        <v>100</v>
      </c>
      <c r="Z16" s="85"/>
      <c r="AA16" s="85">
        <v>60</v>
      </c>
      <c r="AB16" s="86">
        <v>7</v>
      </c>
      <c r="AC16" s="86">
        <v>100</v>
      </c>
      <c r="AD16" s="213">
        <v>100</v>
      </c>
      <c r="AE16" s="209" t="s">
        <v>311</v>
      </c>
      <c r="AF16" s="209" t="s">
        <v>311</v>
      </c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45146.25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45146.291666666664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 t="s">
        <v>309</v>
      </c>
    </row>
    <row r="17" spans="1:48" x14ac:dyDescent="0.25">
      <c r="A17" s="96">
        <f t="shared" si="8"/>
        <v>45146.333333333336</v>
      </c>
      <c r="B17" s="198">
        <v>0.33333333333333331</v>
      </c>
      <c r="C17" s="199" t="s">
        <v>320</v>
      </c>
      <c r="D17" s="79">
        <v>78243</v>
      </c>
      <c r="E17" s="80">
        <f>IF(D17&gt;0,D17-D16,"")</f>
        <v>157</v>
      </c>
      <c r="F17" s="200">
        <f t="shared" si="9"/>
        <v>160</v>
      </c>
      <c r="G17" s="210">
        <v>29</v>
      </c>
      <c r="H17" s="210">
        <v>41</v>
      </c>
      <c r="I17" s="209">
        <v>15</v>
      </c>
      <c r="J17" s="211">
        <v>20</v>
      </c>
      <c r="K17" s="211"/>
      <c r="L17" s="209"/>
      <c r="M17" s="209"/>
      <c r="N17" s="79">
        <v>27.6</v>
      </c>
      <c r="O17" s="79">
        <v>36.5</v>
      </c>
      <c r="P17" s="79">
        <v>2.5</v>
      </c>
      <c r="Q17" s="79">
        <v>20</v>
      </c>
      <c r="R17" s="79" t="s">
        <v>136</v>
      </c>
      <c r="S17" s="85"/>
      <c r="T17" s="85" t="s">
        <v>136</v>
      </c>
      <c r="U17" s="86"/>
      <c r="V17" s="86">
        <v>81</v>
      </c>
      <c r="W17" s="86">
        <v>62</v>
      </c>
      <c r="X17" s="86">
        <v>63</v>
      </c>
      <c r="Y17" s="85">
        <v>100</v>
      </c>
      <c r="Z17" s="85"/>
      <c r="AA17" s="85">
        <v>50</v>
      </c>
      <c r="AB17" s="86">
        <v>9</v>
      </c>
      <c r="AC17" s="86">
        <v>100</v>
      </c>
      <c r="AD17" s="213">
        <v>100</v>
      </c>
      <c r="AE17" s="209" t="s">
        <v>134</v>
      </c>
      <c r="AF17" s="209" t="s">
        <v>134</v>
      </c>
      <c r="AG17" s="209"/>
      <c r="AH17" s="209"/>
      <c r="AI17" s="101"/>
      <c r="AJ17" s="101"/>
      <c r="AK17" s="102">
        <f t="shared" si="15"/>
        <v>1</v>
      </c>
      <c r="AL17" s="103">
        <f t="shared" si="16"/>
        <v>45146.291666666672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45146.333333333336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45146.375</v>
      </c>
      <c r="B18" s="198">
        <v>0.375</v>
      </c>
      <c r="C18" s="199" t="s">
        <v>320</v>
      </c>
      <c r="D18" s="79">
        <v>78385</v>
      </c>
      <c r="E18" s="80">
        <f>IF(D18&gt;0,D18-D17,"")</f>
        <v>142</v>
      </c>
      <c r="F18" s="200">
        <f t="shared" si="9"/>
        <v>160</v>
      </c>
      <c r="G18" s="210">
        <v>28</v>
      </c>
      <c r="H18" s="209">
        <v>42</v>
      </c>
      <c r="I18" s="210">
        <v>16</v>
      </c>
      <c r="J18" s="211">
        <v>20</v>
      </c>
      <c r="K18" s="209"/>
      <c r="L18" s="209"/>
      <c r="M18" s="209"/>
      <c r="N18" s="209">
        <v>39.229999999999997</v>
      </c>
      <c r="O18" s="209">
        <v>40.5</v>
      </c>
      <c r="P18" s="79">
        <v>2.4</v>
      </c>
      <c r="Q18" s="79">
        <v>20</v>
      </c>
      <c r="R18" s="79" t="s">
        <v>136</v>
      </c>
      <c r="S18" s="209"/>
      <c r="T18" s="85" t="s">
        <v>136</v>
      </c>
      <c r="U18" s="209"/>
      <c r="V18" s="212">
        <v>79</v>
      </c>
      <c r="W18" s="212">
        <v>8</v>
      </c>
      <c r="X18" s="209">
        <v>63</v>
      </c>
      <c r="Y18" s="209">
        <v>100</v>
      </c>
      <c r="Z18" s="209"/>
      <c r="AA18" s="212">
        <v>30</v>
      </c>
      <c r="AB18" s="212">
        <v>6</v>
      </c>
      <c r="AC18" s="213">
        <v>100</v>
      </c>
      <c r="AD18" s="213">
        <v>48</v>
      </c>
      <c r="AE18" s="209" t="s">
        <v>134</v>
      </c>
      <c r="AF18" s="209" t="s">
        <v>134</v>
      </c>
      <c r="AG18" s="209"/>
      <c r="AH18" s="209"/>
      <c r="AI18" s="101"/>
      <c r="AJ18" s="101"/>
      <c r="AK18" s="102">
        <f t="shared" si="15"/>
        <v>1</v>
      </c>
      <c r="AL18" s="103">
        <f t="shared" si="16"/>
        <v>45146.333333333336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45146.375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 t="s">
        <v>310</v>
      </c>
    </row>
    <row r="19" spans="1:48" ht="15.75" customHeight="1" x14ac:dyDescent="0.25">
      <c r="A19" s="96">
        <f t="shared" si="8"/>
        <v>45146.416666666664</v>
      </c>
      <c r="B19" s="198">
        <v>0.41666666666666702</v>
      </c>
      <c r="C19" s="199" t="s">
        <v>320</v>
      </c>
      <c r="D19" s="79">
        <v>78580</v>
      </c>
      <c r="E19" s="80">
        <f t="shared" ref="E19:E35" si="26">IF(D19&gt;0,D19-D18,"")</f>
        <v>195</v>
      </c>
      <c r="F19" s="200">
        <f t="shared" si="9"/>
        <v>160</v>
      </c>
      <c r="G19" s="210">
        <v>27</v>
      </c>
      <c r="H19" s="209">
        <v>41</v>
      </c>
      <c r="I19" s="210">
        <v>15</v>
      </c>
      <c r="J19" s="211">
        <v>20</v>
      </c>
      <c r="K19" s="209"/>
      <c r="L19" s="209"/>
      <c r="M19" s="209"/>
      <c r="N19" s="209">
        <v>30.6</v>
      </c>
      <c r="O19" s="209">
        <v>39.6</v>
      </c>
      <c r="P19" s="79">
        <v>2.1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80</v>
      </c>
      <c r="W19" s="212">
        <v>28</v>
      </c>
      <c r="X19" s="209">
        <v>73</v>
      </c>
      <c r="Y19" s="209">
        <v>100</v>
      </c>
      <c r="Z19" s="209"/>
      <c r="AA19" s="212">
        <v>30</v>
      </c>
      <c r="AB19" s="212">
        <v>6</v>
      </c>
      <c r="AC19" s="213">
        <v>100</v>
      </c>
      <c r="AD19" s="213">
        <v>43</v>
      </c>
      <c r="AE19" s="209" t="s">
        <v>134</v>
      </c>
      <c r="AF19" s="209" t="s">
        <v>134</v>
      </c>
      <c r="AG19" s="209"/>
      <c r="AH19" s="209"/>
      <c r="AI19" s="101"/>
      <c r="AJ19" s="101"/>
      <c r="AK19" s="102">
        <f t="shared" si="15"/>
        <v>1</v>
      </c>
      <c r="AL19" s="103">
        <f t="shared" si="16"/>
        <v>45146.375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45146.416666666664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45146.458333333336</v>
      </c>
      <c r="B20" s="198">
        <v>0.45833333333333331</v>
      </c>
      <c r="C20" s="199" t="s">
        <v>320</v>
      </c>
      <c r="D20" s="79">
        <v>78750</v>
      </c>
      <c r="E20" s="80">
        <f t="shared" si="26"/>
        <v>170</v>
      </c>
      <c r="F20" s="200">
        <v>190</v>
      </c>
      <c r="G20" s="210">
        <v>28</v>
      </c>
      <c r="H20" s="209">
        <v>40</v>
      </c>
      <c r="I20" s="210">
        <v>16</v>
      </c>
      <c r="J20" s="211">
        <v>20</v>
      </c>
      <c r="K20" s="209"/>
      <c r="L20" s="209"/>
      <c r="M20" s="209"/>
      <c r="N20" s="209">
        <v>38.4</v>
      </c>
      <c r="O20" s="209">
        <v>32.1</v>
      </c>
      <c r="P20" s="79">
        <v>2.1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79</v>
      </c>
      <c r="W20" s="212">
        <v>5</v>
      </c>
      <c r="X20" s="209">
        <v>64</v>
      </c>
      <c r="Y20" s="209">
        <v>100</v>
      </c>
      <c r="Z20" s="209"/>
      <c r="AA20" s="212">
        <v>40</v>
      </c>
      <c r="AB20" s="212">
        <v>53</v>
      </c>
      <c r="AC20" s="213">
        <v>100</v>
      </c>
      <c r="AD20" s="213">
        <v>42</v>
      </c>
      <c r="AE20" s="209" t="s">
        <v>311</v>
      </c>
      <c r="AF20" s="209" t="s">
        <v>134</v>
      </c>
      <c r="AG20" s="209"/>
      <c r="AH20" s="209"/>
      <c r="AI20" s="101"/>
      <c r="AJ20" s="101"/>
      <c r="AK20" s="102">
        <f t="shared" si="15"/>
        <v>1</v>
      </c>
      <c r="AL20" s="103">
        <f t="shared" si="16"/>
        <v>45146.416666666672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45146.458333333336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 t="s">
        <v>312</v>
      </c>
    </row>
    <row r="21" spans="1:48" x14ac:dyDescent="0.25">
      <c r="A21" s="96">
        <f t="shared" si="8"/>
        <v>45146.5</v>
      </c>
      <c r="B21" s="214">
        <v>0.5</v>
      </c>
      <c r="C21" s="199" t="s">
        <v>320</v>
      </c>
      <c r="D21" s="79">
        <v>78870</v>
      </c>
      <c r="E21" s="80">
        <f t="shared" si="26"/>
        <v>120</v>
      </c>
      <c r="F21" s="200">
        <f t="shared" si="9"/>
        <v>190</v>
      </c>
      <c r="G21" s="210">
        <v>28</v>
      </c>
      <c r="H21" s="209">
        <v>41</v>
      </c>
      <c r="I21" s="210">
        <v>16</v>
      </c>
      <c r="J21" s="211">
        <v>20</v>
      </c>
      <c r="K21" s="209"/>
      <c r="L21" s="209"/>
      <c r="M21" s="209"/>
      <c r="N21" s="209">
        <v>40.6</v>
      </c>
      <c r="O21" s="209">
        <v>39.6</v>
      </c>
      <c r="P21" s="79">
        <v>1.8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92</v>
      </c>
      <c r="W21" s="212">
        <v>52</v>
      </c>
      <c r="X21" s="209">
        <v>87</v>
      </c>
      <c r="Y21" s="209">
        <v>100</v>
      </c>
      <c r="Z21" s="209"/>
      <c r="AA21" s="212">
        <v>40</v>
      </c>
      <c r="AB21" s="212">
        <v>54</v>
      </c>
      <c r="AC21" s="213">
        <v>100</v>
      </c>
      <c r="AD21" s="213">
        <v>45</v>
      </c>
      <c r="AE21" s="209" t="s">
        <v>134</v>
      </c>
      <c r="AF21" s="209" t="s">
        <v>134</v>
      </c>
      <c r="AG21" s="209"/>
      <c r="AH21" s="209"/>
      <c r="AI21" s="101"/>
      <c r="AJ21" s="101"/>
      <c r="AK21" s="102">
        <f t="shared" si="15"/>
        <v>1</v>
      </c>
      <c r="AL21" s="103">
        <f t="shared" si="16"/>
        <v>45146.458333333336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45146.5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 t="s">
        <v>313</v>
      </c>
    </row>
    <row r="22" spans="1:48" ht="13.5" customHeight="1" x14ac:dyDescent="0.25">
      <c r="A22" s="96">
        <f t="shared" si="8"/>
        <v>45146.541666666664</v>
      </c>
      <c r="B22" s="214">
        <v>0.54166666666666663</v>
      </c>
      <c r="C22" s="199" t="s">
        <v>320</v>
      </c>
      <c r="D22" s="79">
        <v>79019</v>
      </c>
      <c r="E22" s="80">
        <f t="shared" si="26"/>
        <v>149</v>
      </c>
      <c r="F22" s="200">
        <f t="shared" si="9"/>
        <v>190</v>
      </c>
      <c r="G22" s="210">
        <v>27</v>
      </c>
      <c r="H22" s="209">
        <v>41</v>
      </c>
      <c r="I22" s="210">
        <v>15</v>
      </c>
      <c r="J22" s="211">
        <v>20</v>
      </c>
      <c r="K22" s="209"/>
      <c r="L22" s="209"/>
      <c r="M22" s="209"/>
      <c r="N22" s="209">
        <v>37.200000000000003</v>
      </c>
      <c r="O22" s="209">
        <v>32.4</v>
      </c>
      <c r="P22" s="79">
        <v>2.1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78</v>
      </c>
      <c r="W22" s="212">
        <v>31</v>
      </c>
      <c r="X22" s="209">
        <v>77</v>
      </c>
      <c r="Y22" s="209">
        <v>100</v>
      </c>
      <c r="Z22" s="209"/>
      <c r="AA22" s="212">
        <v>40</v>
      </c>
      <c r="AB22" s="212">
        <v>52</v>
      </c>
      <c r="AC22" s="213">
        <v>100</v>
      </c>
      <c r="AD22" s="213">
        <v>44</v>
      </c>
      <c r="AE22" s="209" t="s">
        <v>134</v>
      </c>
      <c r="AF22" s="209" t="s">
        <v>311</v>
      </c>
      <c r="AG22" s="209"/>
      <c r="AH22" s="209"/>
      <c r="AI22" s="101"/>
      <c r="AJ22" s="101"/>
      <c r="AK22" s="102">
        <f t="shared" si="15"/>
        <v>1</v>
      </c>
      <c r="AL22" s="103">
        <f t="shared" si="16"/>
        <v>45146.5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45146.541666666664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 t="s">
        <v>314</v>
      </c>
    </row>
    <row r="23" spans="1:48" x14ac:dyDescent="0.25">
      <c r="A23" s="96">
        <f t="shared" si="8"/>
        <v>45146.583333333336</v>
      </c>
      <c r="B23" s="215">
        <v>0.58333333333333337</v>
      </c>
      <c r="C23" s="199" t="s">
        <v>320</v>
      </c>
      <c r="D23" s="79">
        <v>79230</v>
      </c>
      <c r="E23" s="80">
        <f t="shared" si="26"/>
        <v>211</v>
      </c>
      <c r="F23" s="200">
        <f t="shared" si="9"/>
        <v>190</v>
      </c>
      <c r="G23" s="210">
        <v>27</v>
      </c>
      <c r="H23" s="209">
        <v>40</v>
      </c>
      <c r="I23" s="210">
        <v>15</v>
      </c>
      <c r="J23" s="211">
        <v>20</v>
      </c>
      <c r="K23" s="209"/>
      <c r="L23" s="209"/>
      <c r="M23" s="209"/>
      <c r="N23" s="209">
        <v>37.200000000000003</v>
      </c>
      <c r="O23" s="209">
        <v>32.299999999999997</v>
      </c>
      <c r="P23" s="79">
        <v>2.1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87</v>
      </c>
      <c r="W23" s="212">
        <v>43</v>
      </c>
      <c r="X23" s="209">
        <v>71</v>
      </c>
      <c r="Y23" s="209">
        <v>100</v>
      </c>
      <c r="Z23" s="209"/>
      <c r="AA23" s="212">
        <v>40</v>
      </c>
      <c r="AB23" s="212">
        <v>53</v>
      </c>
      <c r="AC23" s="213">
        <v>100</v>
      </c>
      <c r="AD23" s="213">
        <v>42</v>
      </c>
      <c r="AE23" s="209" t="s">
        <v>311</v>
      </c>
      <c r="AF23" s="209" t="s">
        <v>134</v>
      </c>
      <c r="AG23" s="209"/>
      <c r="AH23" s="209"/>
      <c r="AI23" s="101"/>
      <c r="AJ23" s="101"/>
      <c r="AK23" s="102">
        <f t="shared" si="15"/>
        <v>1</v>
      </c>
      <c r="AL23" s="103">
        <f t="shared" si="16"/>
        <v>45146.541666666672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45146.583333333336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 t="s">
        <v>315</v>
      </c>
    </row>
    <row r="24" spans="1:48" ht="13.5" thickBot="1" x14ac:dyDescent="0.3">
      <c r="A24" s="96"/>
      <c r="B24" s="7" t="s">
        <v>59</v>
      </c>
      <c r="C24" s="199" t="s">
        <v>320</v>
      </c>
      <c r="D24" s="125">
        <f>IF(D23=0,SUM(E16:E23),D23-D14)</f>
        <v>1264</v>
      </c>
      <c r="E24" s="121">
        <f ca="1">IFERROR(D24/24/AT24,"")</f>
        <v>158</v>
      </c>
      <c r="F24" s="125">
        <f t="shared" si="9"/>
        <v>190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 t="s">
        <v>317</v>
      </c>
    </row>
    <row r="25" spans="1:48" ht="13.15" customHeight="1" thickTop="1" x14ac:dyDescent="0.25">
      <c r="A25" s="96">
        <f t="shared" ref="A25:A32" si="28">B25+$B$1</f>
        <v>45146.625</v>
      </c>
      <c r="B25" s="198">
        <v>0.625</v>
      </c>
      <c r="C25" s="199" t="s">
        <v>320</v>
      </c>
      <c r="D25" s="79">
        <v>79362</v>
      </c>
      <c r="E25" s="80">
        <f>IF(D25&gt;0,D25-D23,"")</f>
        <v>132</v>
      </c>
      <c r="F25" s="200">
        <f t="shared" si="9"/>
        <v>190</v>
      </c>
      <c r="G25" s="210">
        <v>27</v>
      </c>
      <c r="H25" s="210">
        <v>40</v>
      </c>
      <c r="I25" s="209">
        <v>16</v>
      </c>
      <c r="J25" s="211">
        <v>20</v>
      </c>
      <c r="K25" s="211"/>
      <c r="L25" s="209"/>
      <c r="M25" s="209"/>
      <c r="N25" s="209">
        <v>40.700000000000003</v>
      </c>
      <c r="O25" s="209">
        <v>39.200000000000003</v>
      </c>
      <c r="P25" s="209">
        <v>2.5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78</v>
      </c>
      <c r="W25" s="212">
        <v>55</v>
      </c>
      <c r="X25" s="212">
        <v>69</v>
      </c>
      <c r="Y25" s="209">
        <v>100</v>
      </c>
      <c r="Z25" s="209"/>
      <c r="AA25" s="209">
        <v>40</v>
      </c>
      <c r="AB25" s="212">
        <v>53</v>
      </c>
      <c r="AC25" s="209">
        <v>100</v>
      </c>
      <c r="AD25" s="213">
        <v>42</v>
      </c>
      <c r="AE25" s="209" t="s">
        <v>134</v>
      </c>
      <c r="AF25" s="209" t="s">
        <v>134</v>
      </c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45146.583333333336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45146.625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 t="s">
        <v>316</v>
      </c>
    </row>
    <row r="26" spans="1:48" x14ac:dyDescent="0.25">
      <c r="A26" s="96">
        <f t="shared" si="28"/>
        <v>45146.666666666664</v>
      </c>
      <c r="B26" s="198">
        <v>0.66666666666666663</v>
      </c>
      <c r="C26" s="199" t="s">
        <v>320</v>
      </c>
      <c r="D26" s="79">
        <v>79400</v>
      </c>
      <c r="E26" s="80">
        <f t="shared" si="26"/>
        <v>38</v>
      </c>
      <c r="F26" s="200">
        <f t="shared" si="9"/>
        <v>190</v>
      </c>
      <c r="G26" s="210">
        <v>25</v>
      </c>
      <c r="H26" s="210">
        <v>41</v>
      </c>
      <c r="I26" s="209">
        <v>15</v>
      </c>
      <c r="J26" s="211">
        <v>20</v>
      </c>
      <c r="K26" s="211"/>
      <c r="L26" s="209"/>
      <c r="M26" s="209"/>
      <c r="N26" s="209">
        <v>40.5</v>
      </c>
      <c r="O26" s="209">
        <v>38.5</v>
      </c>
      <c r="P26" s="209">
        <v>2.1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87</v>
      </c>
      <c r="W26" s="212">
        <v>29</v>
      </c>
      <c r="X26" s="212">
        <v>99</v>
      </c>
      <c r="Y26" s="209">
        <v>100</v>
      </c>
      <c r="Z26" s="209"/>
      <c r="AA26" s="209">
        <v>40</v>
      </c>
      <c r="AB26" s="212">
        <v>53</v>
      </c>
      <c r="AC26" s="209">
        <v>100</v>
      </c>
      <c r="AD26" s="213">
        <v>43</v>
      </c>
      <c r="AE26" s="209" t="s">
        <v>134</v>
      </c>
      <c r="AF26" s="209" t="s">
        <v>134</v>
      </c>
      <c r="AG26" s="209"/>
      <c r="AH26" s="209"/>
      <c r="AI26" s="134"/>
      <c r="AJ26" s="145"/>
      <c r="AK26" s="102">
        <f t="shared" si="29"/>
        <v>1</v>
      </c>
      <c r="AL26" s="103">
        <f t="shared" si="30"/>
        <v>45146.625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45146.666666666664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 t="s">
        <v>318</v>
      </c>
    </row>
    <row r="27" spans="1:48" x14ac:dyDescent="0.25">
      <c r="A27" s="96">
        <f t="shared" si="28"/>
        <v>45146.708333333336</v>
      </c>
      <c r="B27" s="198">
        <v>0.70833333333333337</v>
      </c>
      <c r="C27" s="199" t="s">
        <v>320</v>
      </c>
      <c r="D27" s="79">
        <v>79408</v>
      </c>
      <c r="E27" s="80">
        <f t="shared" si="26"/>
        <v>8</v>
      </c>
      <c r="F27" s="200">
        <f t="shared" si="9"/>
        <v>190</v>
      </c>
      <c r="G27" s="210">
        <v>25</v>
      </c>
      <c r="H27" s="210">
        <v>41</v>
      </c>
      <c r="I27" s="209">
        <v>15</v>
      </c>
      <c r="J27" s="211">
        <v>20</v>
      </c>
      <c r="K27" s="211"/>
      <c r="L27" s="209">
        <v>0</v>
      </c>
      <c r="M27" s="209"/>
      <c r="N27" s="209">
        <v>39.700000000000003</v>
      </c>
      <c r="O27" s="209">
        <v>39.200000000000003</v>
      </c>
      <c r="P27" s="209">
        <v>2.2000000000000002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90</v>
      </c>
      <c r="W27" s="212">
        <v>29</v>
      </c>
      <c r="X27" s="212">
        <v>99</v>
      </c>
      <c r="Y27" s="209">
        <v>100</v>
      </c>
      <c r="Z27" s="209"/>
      <c r="AA27" s="209">
        <v>40</v>
      </c>
      <c r="AB27" s="212">
        <v>53</v>
      </c>
      <c r="AC27" s="209">
        <v>100</v>
      </c>
      <c r="AD27" s="213">
        <v>0</v>
      </c>
      <c r="AE27" s="209" t="s">
        <v>134</v>
      </c>
      <c r="AF27" s="209" t="s">
        <v>311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45146.666666666672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45146.708333333336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 t="s">
        <v>319</v>
      </c>
    </row>
    <row r="28" spans="1:48" ht="14.25" customHeight="1" x14ac:dyDescent="0.25">
      <c r="A28" s="96">
        <f t="shared" si="28"/>
        <v>45146.75</v>
      </c>
      <c r="B28" s="198">
        <v>0.75</v>
      </c>
      <c r="C28" s="199" t="s">
        <v>320</v>
      </c>
      <c r="D28" s="79">
        <v>79408</v>
      </c>
      <c r="E28" s="80">
        <f t="shared" si="26"/>
        <v>0</v>
      </c>
      <c r="F28" s="200">
        <f t="shared" si="9"/>
        <v>190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45146.708333333336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45146.75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45146.791666666664</v>
      </c>
      <c r="B29" s="198">
        <v>0.79166666666666663</v>
      </c>
      <c r="C29" s="199" t="s">
        <v>320</v>
      </c>
      <c r="D29" s="79">
        <v>79450</v>
      </c>
      <c r="E29" s="80">
        <f t="shared" si="26"/>
        <v>42</v>
      </c>
      <c r="F29" s="200">
        <f t="shared" si="9"/>
        <v>190</v>
      </c>
      <c r="G29" s="210">
        <v>31</v>
      </c>
      <c r="H29" s="210">
        <v>43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 t="s">
        <v>274</v>
      </c>
      <c r="O29" s="209" t="s">
        <v>256</v>
      </c>
      <c r="P29" s="209" t="s">
        <v>180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82</v>
      </c>
      <c r="W29" s="212">
        <v>21</v>
      </c>
      <c r="X29" s="212">
        <v>62</v>
      </c>
      <c r="Y29" s="209">
        <v>80</v>
      </c>
      <c r="Z29" s="209"/>
      <c r="AA29" s="209">
        <v>50</v>
      </c>
      <c r="AB29" s="212">
        <v>53</v>
      </c>
      <c r="AC29" s="212">
        <v>100</v>
      </c>
      <c r="AD29" s="213">
        <v>37</v>
      </c>
      <c r="AE29" s="209" t="s">
        <v>134</v>
      </c>
      <c r="AF29" s="209" t="s">
        <v>135</v>
      </c>
      <c r="AG29" s="209"/>
      <c r="AH29" s="209"/>
      <c r="AI29" s="100"/>
      <c r="AJ29" s="101"/>
      <c r="AK29" s="102">
        <f t="shared" si="29"/>
        <v>1</v>
      </c>
      <c r="AL29" s="103">
        <f t="shared" si="30"/>
        <v>45146.75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45146.791666666664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 t="s">
        <v>321</v>
      </c>
    </row>
    <row r="30" spans="1:48" x14ac:dyDescent="0.25">
      <c r="A30" s="96">
        <f t="shared" si="28"/>
        <v>45146.833333333336</v>
      </c>
      <c r="B30" s="198">
        <v>0.83333333333333337</v>
      </c>
      <c r="C30" s="199" t="s">
        <v>320</v>
      </c>
      <c r="D30" s="79">
        <v>79607</v>
      </c>
      <c r="E30" s="80">
        <f t="shared" si="26"/>
        <v>157</v>
      </c>
      <c r="F30" s="200">
        <f t="shared" si="9"/>
        <v>190</v>
      </c>
      <c r="G30" s="210">
        <v>37</v>
      </c>
      <c r="H30" s="210">
        <v>41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 t="s">
        <v>323</v>
      </c>
      <c r="O30" s="209" t="s">
        <v>262</v>
      </c>
      <c r="P30" s="209" t="s">
        <v>118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86</v>
      </c>
      <c r="W30" s="212">
        <v>12</v>
      </c>
      <c r="X30" s="212">
        <v>63</v>
      </c>
      <c r="Y30" s="209">
        <v>100</v>
      </c>
      <c r="Z30" s="209"/>
      <c r="AA30" s="209">
        <v>50</v>
      </c>
      <c r="AB30" s="212">
        <v>55</v>
      </c>
      <c r="AC30" s="212">
        <v>100</v>
      </c>
      <c r="AD30" s="213">
        <v>42</v>
      </c>
      <c r="AE30" s="209" t="s">
        <v>134</v>
      </c>
      <c r="AF30" s="209" t="s">
        <v>134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45146.791666666672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45146.833333333336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 t="s">
        <v>322</v>
      </c>
    </row>
    <row r="31" spans="1:48" ht="14.25" customHeight="1" x14ac:dyDescent="0.25">
      <c r="A31" s="96">
        <f t="shared" si="28"/>
        <v>45146.875</v>
      </c>
      <c r="B31" s="198">
        <v>0.875</v>
      </c>
      <c r="C31" s="199" t="s">
        <v>320</v>
      </c>
      <c r="D31" s="79">
        <v>79794</v>
      </c>
      <c r="E31" s="80">
        <f t="shared" si="26"/>
        <v>187</v>
      </c>
      <c r="F31" s="200">
        <f t="shared" si="9"/>
        <v>190</v>
      </c>
      <c r="G31" s="210">
        <v>27</v>
      </c>
      <c r="H31" s="210">
        <v>41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 t="s">
        <v>324</v>
      </c>
      <c r="O31" s="209" t="s">
        <v>199</v>
      </c>
      <c r="P31" s="209" t="s">
        <v>191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85</v>
      </c>
      <c r="W31" s="212">
        <v>3</v>
      </c>
      <c r="X31" s="212">
        <v>63</v>
      </c>
      <c r="Y31" s="209">
        <v>100</v>
      </c>
      <c r="Z31" s="209"/>
      <c r="AA31" s="209">
        <v>50</v>
      </c>
      <c r="AB31" s="212">
        <v>59</v>
      </c>
      <c r="AC31" s="212">
        <v>100</v>
      </c>
      <c r="AD31" s="213">
        <v>43</v>
      </c>
      <c r="AE31" s="209" t="s">
        <v>134</v>
      </c>
      <c r="AF31" s="209" t="s">
        <v>135</v>
      </c>
      <c r="AG31" s="209"/>
      <c r="AH31" s="209"/>
      <c r="AI31" s="101"/>
      <c r="AJ31" s="101"/>
      <c r="AK31" s="102">
        <f t="shared" si="29"/>
        <v>1</v>
      </c>
      <c r="AL31" s="103">
        <f t="shared" si="30"/>
        <v>45146.833333333336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45146.875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45146.916666666664</v>
      </c>
      <c r="B32" s="198">
        <v>0.91666666666666663</v>
      </c>
      <c r="C32" s="199" t="s">
        <v>320</v>
      </c>
      <c r="D32" s="79">
        <v>79961</v>
      </c>
      <c r="E32" s="80">
        <f t="shared" si="26"/>
        <v>167</v>
      </c>
      <c r="F32" s="200">
        <f t="shared" si="9"/>
        <v>190</v>
      </c>
      <c r="G32" s="210">
        <v>27</v>
      </c>
      <c r="H32" s="210">
        <v>42</v>
      </c>
      <c r="I32" s="209">
        <v>15</v>
      </c>
      <c r="J32" s="211">
        <v>20</v>
      </c>
      <c r="K32" s="211" t="s">
        <v>136</v>
      </c>
      <c r="L32" s="209" t="s">
        <v>136</v>
      </c>
      <c r="M32" s="209"/>
      <c r="N32" s="209" t="s">
        <v>325</v>
      </c>
      <c r="O32" s="209" t="s">
        <v>197</v>
      </c>
      <c r="P32" s="209" t="s">
        <v>180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80</v>
      </c>
      <c r="W32" s="212">
        <v>11</v>
      </c>
      <c r="X32" s="212">
        <v>75</v>
      </c>
      <c r="Y32" s="209">
        <v>100</v>
      </c>
      <c r="Z32" s="209"/>
      <c r="AA32" s="209">
        <v>50</v>
      </c>
      <c r="AB32" s="212">
        <v>53</v>
      </c>
      <c r="AC32" s="212">
        <v>100</v>
      </c>
      <c r="AD32" s="213">
        <v>42</v>
      </c>
      <c r="AE32" s="209" t="s">
        <v>134</v>
      </c>
      <c r="AF32" s="209" t="s">
        <v>134</v>
      </c>
      <c r="AG32" s="209"/>
      <c r="AH32" s="209"/>
      <c r="AI32" s="101"/>
      <c r="AJ32" s="101"/>
      <c r="AK32" s="102">
        <f t="shared" si="29"/>
        <v>1</v>
      </c>
      <c r="AL32" s="103">
        <f t="shared" si="30"/>
        <v>45146.875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45146.916666666664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731</v>
      </c>
      <c r="E33" s="121">
        <f ca="1">IFERROR(D33/24/AT33,"")</f>
        <v>91.375</v>
      </c>
      <c r="F33" s="121">
        <f t="shared" si="9"/>
        <v>190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1995</v>
      </c>
      <c r="E35" s="80">
        <f t="shared" si="26"/>
        <v>1995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0.66736111110852403</v>
      </c>
      <c r="AU35" s="162">
        <f ca="1">+AU33+AU24+AU15</f>
        <v>0.33263888889147586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45146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1264</v>
      </c>
      <c r="J40" s="171">
        <f>D33</f>
        <v>731</v>
      </c>
      <c r="K40" s="171">
        <f>+H40+I40+J40</f>
        <v>1995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6.9444444185743498E-4</v>
      </c>
      <c r="I41" s="235">
        <f ca="1">AT24</f>
        <v>0.33333333333333331</v>
      </c>
      <c r="J41" s="235">
        <f ca="1">AT33</f>
        <v>0.33333333333333331</v>
      </c>
      <c r="K41" s="235">
        <f ca="1">IF(SUM(H41:J41)=1,"24 h",SUM(H41:J41))</f>
        <v>0.66736111110852403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158</v>
      </c>
      <c r="J42" s="171">
        <f ca="1">E33</f>
        <v>91.375</v>
      </c>
      <c r="K42" s="171">
        <f>E35</f>
        <v>1995</v>
      </c>
      <c r="L42" s="171">
        <f>F33</f>
        <v>190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77966</v>
      </c>
      <c r="H46" s="79">
        <f>+D32</f>
        <v>79961</v>
      </c>
      <c r="I46" s="79">
        <f>+D35</f>
        <v>1995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0.66736111110852403</v>
      </c>
      <c r="N46" s="79">
        <f>+L46*24</f>
        <v>16</v>
      </c>
      <c r="O46" s="238">
        <f ca="1">+AU35</f>
        <v>0.33263888889147586</v>
      </c>
      <c r="P46" s="79">
        <v>160</v>
      </c>
      <c r="Q46" s="111">
        <f ca="1">+I46/M46/24</f>
        <v>124.557752341794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77966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4.0972222224809229E-2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77966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4.1666666666666664E-2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77966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4.1666666666666664E-2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77966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4.1666666666666664E-2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77966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4.1666666666666664E-2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77966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4.1666666666666664E-2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77966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4.1666666666666664E-2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77966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4.1666666666666664E-2</v>
      </c>
      <c r="M55" s="175" t="str">
        <f t="shared" si="44"/>
        <v>06:00&gt; the plant is running now</v>
      </c>
    </row>
    <row r="56" spans="6:13" ht="12.75" hidden="1" customHeight="1" x14ac:dyDescent="0.25">
      <c r="F56" s="1">
        <v>9</v>
      </c>
      <c r="G56" s="79">
        <f t="shared" ref="G56:G63" si="45">D16</f>
        <v>78086</v>
      </c>
      <c r="H56" s="79" t="e">
        <f>#REF!</f>
        <v>#REF!</v>
      </c>
      <c r="I56" s="79">
        <f t="shared" ref="I56:I63" si="46">O16</f>
        <v>40.9</v>
      </c>
      <c r="J56" s="111" t="str">
        <f t="shared" ref="J56:K63" si="47">AE16</f>
        <v>Build up</v>
      </c>
      <c r="K56" s="111" t="str">
        <f t="shared" si="47"/>
        <v>Build up</v>
      </c>
      <c r="L56" s="162">
        <f t="shared" ref="L56:M63" ca="1" si="48">AU16</f>
        <v>0</v>
      </c>
      <c r="M56" s="175" t="str">
        <f t="shared" si="48"/>
        <v xml:space="preserve"> 06:30-06:40&gt;stop FE01 clening build up on tertiary crusher and secondary</v>
      </c>
    </row>
    <row r="57" spans="6:13" ht="12.75" hidden="1" customHeight="1" x14ac:dyDescent="0.25">
      <c r="F57" s="1">
        <v>10</v>
      </c>
      <c r="G57" s="79">
        <f t="shared" si="45"/>
        <v>78243</v>
      </c>
      <c r="H57" s="79" t="e">
        <f>#REF!</f>
        <v>#REF!</v>
      </c>
      <c r="I57" s="79">
        <f t="shared" si="46"/>
        <v>36.5</v>
      </c>
      <c r="J57" s="111" t="str">
        <f t="shared" si="47"/>
        <v>Clean</v>
      </c>
      <c r="K57" s="111" t="str">
        <f t="shared" si="47"/>
        <v>Clean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78385</v>
      </c>
      <c r="H58" s="79" t="e">
        <f>#REF!</f>
        <v>#REF!</v>
      </c>
      <c r="I58" s="79">
        <f t="shared" si="46"/>
        <v>40.5</v>
      </c>
      <c r="J58" s="111" t="str">
        <f t="shared" si="47"/>
        <v>Clean</v>
      </c>
      <c r="K58" s="111" t="str">
        <f t="shared" si="47"/>
        <v>Clean</v>
      </c>
      <c r="L58" s="162">
        <f t="shared" ca="1" si="48"/>
        <v>0</v>
      </c>
      <c r="M58" s="175" t="str">
        <f t="shared" si="48"/>
        <v>The plant still running good and no problems for now</v>
      </c>
    </row>
    <row r="59" spans="6:13" ht="12.75" hidden="1" customHeight="1" x14ac:dyDescent="0.25">
      <c r="F59" s="1">
        <v>12</v>
      </c>
      <c r="G59" s="79">
        <f t="shared" si="45"/>
        <v>78580</v>
      </c>
      <c r="H59" s="79" t="e">
        <f>#REF!</f>
        <v>#REF!</v>
      </c>
      <c r="I59" s="79">
        <f t="shared" si="46"/>
        <v>39.6</v>
      </c>
      <c r="J59" s="111" t="str">
        <f t="shared" si="47"/>
        <v>Clean</v>
      </c>
      <c r="K59" s="111" t="str">
        <f t="shared" si="47"/>
        <v>Clean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78750</v>
      </c>
      <c r="H60" s="79" t="e">
        <f>#REF!</f>
        <v>#REF!</v>
      </c>
      <c r="I60" s="79">
        <f t="shared" si="46"/>
        <v>32.1</v>
      </c>
      <c r="J60" s="111" t="str">
        <f t="shared" si="47"/>
        <v>Build up</v>
      </c>
      <c r="K60" s="111" t="str">
        <f t="shared" si="47"/>
        <v>Clean</v>
      </c>
      <c r="L60" s="162">
        <f t="shared" ca="1" si="48"/>
        <v>0</v>
      </c>
      <c r="M60" s="175" t="str">
        <f t="shared" si="48"/>
        <v>10:12-10:35&gt; Reduce FE01 SPEED to clean build up on FE02</v>
      </c>
    </row>
    <row r="61" spans="6:13" ht="12.75" hidden="1" customHeight="1" x14ac:dyDescent="0.25">
      <c r="F61" s="1">
        <v>14</v>
      </c>
      <c r="G61" s="79">
        <f t="shared" si="45"/>
        <v>78870</v>
      </c>
      <c r="H61" s="79" t="e">
        <f>#REF!</f>
        <v>#REF!</v>
      </c>
      <c r="I61" s="79">
        <f t="shared" si="46"/>
        <v>39.6</v>
      </c>
      <c r="J61" s="111" t="str">
        <f t="shared" si="47"/>
        <v>Clean</v>
      </c>
      <c r="K61" s="111" t="str">
        <f t="shared" si="47"/>
        <v>Clean</v>
      </c>
      <c r="L61" s="162">
        <f t="shared" ca="1" si="48"/>
        <v>0</v>
      </c>
      <c r="M61" s="175" t="str">
        <f t="shared" si="48"/>
        <v>11:30-11:45&gt; Stopped front End loader to clean build up on FE01</v>
      </c>
    </row>
    <row r="62" spans="6:13" ht="12.75" hidden="1" customHeight="1" x14ac:dyDescent="0.25">
      <c r="F62" s="1">
        <v>15</v>
      </c>
      <c r="G62" s="79">
        <f t="shared" si="45"/>
        <v>79019</v>
      </c>
      <c r="H62" s="79" t="e">
        <f>#REF!</f>
        <v>#REF!</v>
      </c>
      <c r="I62" s="79">
        <f t="shared" si="46"/>
        <v>32.4</v>
      </c>
      <c r="J62" s="111" t="str">
        <f t="shared" si="47"/>
        <v>Clean</v>
      </c>
      <c r="K62" s="111" t="str">
        <f t="shared" si="47"/>
        <v>Build up</v>
      </c>
      <c r="L62" s="162">
        <f t="shared" ca="1" si="48"/>
        <v>0</v>
      </c>
      <c r="M62" s="175" t="str">
        <f t="shared" si="48"/>
        <v>12:22-12:38&gt; Stopped FE01 due to build up on FE03</v>
      </c>
    </row>
    <row r="63" spans="6:13" ht="12.75" hidden="1" customHeight="1" x14ac:dyDescent="0.25">
      <c r="F63" s="1">
        <v>16</v>
      </c>
      <c r="G63" s="79">
        <f t="shared" si="45"/>
        <v>79230</v>
      </c>
      <c r="H63" s="79" t="e">
        <f>#REF!</f>
        <v>#REF!</v>
      </c>
      <c r="I63" s="79">
        <f t="shared" si="46"/>
        <v>32.299999999999997</v>
      </c>
      <c r="J63" s="111" t="str">
        <f t="shared" si="47"/>
        <v>Build up</v>
      </c>
      <c r="K63" s="111" t="str">
        <f t="shared" si="47"/>
        <v>Clean</v>
      </c>
      <c r="L63" s="162">
        <f t="shared" ca="1" si="48"/>
        <v>0</v>
      </c>
      <c r="M63" s="175" t="str">
        <f t="shared" si="48"/>
        <v>14:05-14:10&gt; Stopped FE01 to clean FE02 BUILD UP</v>
      </c>
    </row>
    <row r="64" spans="6:13" ht="12.75" hidden="1" customHeight="1" x14ac:dyDescent="0.25">
      <c r="F64" s="1">
        <v>17</v>
      </c>
      <c r="G64" s="79">
        <f t="shared" ref="G64:G71" si="49">D25</f>
        <v>79362</v>
      </c>
      <c r="H64" s="79" t="e">
        <f>#REF!</f>
        <v>#REF!</v>
      </c>
      <c r="I64" s="79">
        <f t="shared" ref="I64:I71" si="50">O25</f>
        <v>39.200000000000003</v>
      </c>
      <c r="J64" s="111" t="str">
        <f t="shared" ref="J64:K71" si="51">AE25</f>
        <v>Clean</v>
      </c>
      <c r="K64" s="111" t="str">
        <f t="shared" si="51"/>
        <v>Clean</v>
      </c>
      <c r="L64" s="162">
        <f t="shared" ref="L64:M71" ca="1" si="52">AU25</f>
        <v>0</v>
      </c>
      <c r="M64" s="175" t="str">
        <f>AV24</f>
        <v>14:12-14:30&gt; FE01 also have build up and we Stopped front End loader to clean it</v>
      </c>
    </row>
    <row r="65" spans="6:13" ht="12.75" hidden="1" customHeight="1" x14ac:dyDescent="0.25">
      <c r="F65" s="1">
        <v>18</v>
      </c>
      <c r="G65" s="79">
        <f t="shared" si="49"/>
        <v>79400</v>
      </c>
      <c r="H65" s="79" t="e">
        <f>#REF!</f>
        <v>#REF!</v>
      </c>
      <c r="I65" s="79">
        <f t="shared" si="50"/>
        <v>38.5</v>
      </c>
      <c r="J65" s="111" t="str">
        <f t="shared" si="51"/>
        <v>Clean</v>
      </c>
      <c r="K65" s="111" t="str">
        <f t="shared" si="51"/>
        <v>Clean</v>
      </c>
      <c r="L65" s="162">
        <f t="shared" ca="1" si="52"/>
        <v>0</v>
      </c>
      <c r="M65" s="175" t="str">
        <f t="shared" si="52"/>
        <v>16,10-17:20&gt; We called the fitter to adjust the tertiary crusher gaps, there is high recirculation load and tertiary bin gets full very fast.</v>
      </c>
    </row>
    <row r="66" spans="6:13" ht="12.75" hidden="1" customHeight="1" x14ac:dyDescent="0.25">
      <c r="F66" s="1">
        <v>19</v>
      </c>
      <c r="G66" s="79">
        <f t="shared" si="49"/>
        <v>79408</v>
      </c>
      <c r="H66" s="79" t="e">
        <f>#REF!</f>
        <v>#REF!</v>
      </c>
      <c r="I66" s="79">
        <f t="shared" si="50"/>
        <v>39.200000000000003</v>
      </c>
      <c r="J66" s="111" t="str">
        <f t="shared" si="51"/>
        <v>Clean</v>
      </c>
      <c r="K66" s="111" t="str">
        <f t="shared" si="51"/>
        <v>Build up</v>
      </c>
      <c r="L66" s="162">
        <f t="shared" ca="1" si="52"/>
        <v>0</v>
      </c>
      <c r="M66" s="175" t="str">
        <f t="shared" si="52"/>
        <v>17:28-We have offloaded CVO8 and does not want to start so we have called the electrician to come and reset it.</v>
      </c>
    </row>
    <row r="67" spans="6:13" ht="12.75" hidden="1" customHeight="1" x14ac:dyDescent="0.25">
      <c r="F67" s="1">
        <v>20</v>
      </c>
      <c r="G67" s="79">
        <f t="shared" si="49"/>
        <v>79408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79450</v>
      </c>
      <c r="H68" s="79" t="e">
        <f>#REF!</f>
        <v>#REF!</v>
      </c>
      <c r="I68" s="79" t="str">
        <f t="shared" si="50"/>
        <v>41.1</v>
      </c>
      <c r="J68" s="111" t="str">
        <f t="shared" si="51"/>
        <v>Clean</v>
      </c>
      <c r="K68" s="111" t="str">
        <f t="shared" si="51"/>
        <v>build-up</v>
      </c>
      <c r="L68" s="162">
        <f t="shared" ca="1" si="52"/>
        <v>0</v>
      </c>
      <c r="M68" s="175" t="str">
        <f t="shared" si="52"/>
        <v>18:52&gt;Done with offloading conveyor no 8 and no 1,Plant now is running</v>
      </c>
    </row>
    <row r="69" spans="6:13" ht="12.75" hidden="1" customHeight="1" x14ac:dyDescent="0.25">
      <c r="F69" s="1">
        <v>22</v>
      </c>
      <c r="G69" s="79">
        <f t="shared" si="49"/>
        <v>79607</v>
      </c>
      <c r="H69" s="79" t="e">
        <f>#REF!</f>
        <v>#REF!</v>
      </c>
      <c r="I69" s="79" t="str">
        <f t="shared" si="50"/>
        <v>41.8</v>
      </c>
      <c r="J69" s="111" t="str">
        <f t="shared" si="51"/>
        <v>Clean</v>
      </c>
      <c r="K69" s="111" t="str">
        <f t="shared" si="51"/>
        <v>Clean</v>
      </c>
      <c r="L69" s="162">
        <f t="shared" ca="1" si="52"/>
        <v>0</v>
      </c>
      <c r="M69" s="175" t="str">
        <f t="shared" si="52"/>
        <v>19:00 TO 20:00&gt; Plant running no problem</v>
      </c>
    </row>
    <row r="70" spans="6:13" ht="13.5" hidden="1" customHeight="1" x14ac:dyDescent="0.25">
      <c r="F70" s="1">
        <v>23</v>
      </c>
      <c r="G70" s="79">
        <f t="shared" si="49"/>
        <v>79794</v>
      </c>
      <c r="H70" s="79" t="e">
        <f>#REF!</f>
        <v>#REF!</v>
      </c>
      <c r="I70" s="79" t="str">
        <f t="shared" si="50"/>
        <v>38.0</v>
      </c>
      <c r="J70" s="111" t="str">
        <f t="shared" si="51"/>
        <v>Clean</v>
      </c>
      <c r="K70" s="111" t="str">
        <f t="shared" si="51"/>
        <v>build-up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79961</v>
      </c>
      <c r="H71" s="79" t="e">
        <f>#REF!</f>
        <v>#REF!</v>
      </c>
      <c r="I71" s="79" t="str">
        <f t="shared" si="50"/>
        <v>37.2</v>
      </c>
      <c r="J71" s="111" t="str">
        <f t="shared" si="51"/>
        <v>Clean</v>
      </c>
      <c r="K71" s="111" t="str">
        <f t="shared" si="51"/>
        <v>Clean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413" priority="40" operator="greaterThan">
      <formula>$I$4</formula>
    </cfRule>
    <cfRule type="cellIs" dxfId="412" priority="39" operator="lessThan">
      <formula>$I$4</formula>
    </cfRule>
  </conditionalFormatting>
  <conditionalFormatting sqref="N33">
    <cfRule type="cellIs" dxfId="411" priority="49" operator="greaterThan">
      <formula>75</formula>
    </cfRule>
    <cfRule type="cellIs" dxfId="410" priority="48" operator="lessThan">
      <formula>75</formula>
    </cfRule>
  </conditionalFormatting>
  <conditionalFormatting sqref="P15 P24 P33">
    <cfRule type="cellIs" dxfId="409" priority="38" operator="greaterThan">
      <formula>52.5</formula>
    </cfRule>
    <cfRule type="cellIs" dxfId="408" priority="37" operator="lessThan">
      <formula>52.5</formula>
    </cfRule>
  </conditionalFormatting>
  <conditionalFormatting sqref="S18:S22 U18:U22 S23:U23">
    <cfRule type="cellIs" dxfId="407" priority="17" operator="equal">
      <formula>"N"</formula>
    </cfRule>
    <cfRule type="cellIs" dxfId="406" priority="18" operator="equal">
      <formula>"Y"</formula>
    </cfRule>
  </conditionalFormatting>
  <conditionalFormatting sqref="S18:S22 U18:AB22 S23:AB23">
    <cfRule type="cellIs" dxfId="405" priority="11" operator="equal">
      <formula>"N"</formula>
    </cfRule>
    <cfRule type="cellIs" dxfId="404" priority="12" operator="equal">
      <formula>"Y"</formula>
    </cfRule>
  </conditionalFormatting>
  <conditionalFormatting sqref="T23">
    <cfRule type="cellIs" dxfId="403" priority="9" operator="equal">
      <formula>"S"</formula>
    </cfRule>
    <cfRule type="cellIs" dxfId="402" priority="10" operator="equal">
      <formula>"C"</formula>
    </cfRule>
    <cfRule type="cellIs" dxfId="401" priority="21" operator="equal">
      <formula>"N"</formula>
    </cfRule>
    <cfRule type="cellIs" dxfId="400" priority="22" operator="equal">
      <formula>"Y"</formula>
    </cfRule>
    <cfRule type="cellIs" dxfId="399" priority="23" operator="equal">
      <formula>"N"</formula>
    </cfRule>
    <cfRule type="cellIs" dxfId="398" priority="24" operator="equal">
      <formula>"Y"</formula>
    </cfRule>
  </conditionalFormatting>
  <conditionalFormatting sqref="T15:Z15">
    <cfRule type="cellIs" dxfId="397" priority="44" operator="equal">
      <formula>"N"</formula>
    </cfRule>
    <cfRule type="cellIs" dxfId="396" priority="45" operator="equal">
      <formula>"Y"</formula>
    </cfRule>
  </conditionalFormatting>
  <conditionalFormatting sqref="T6:AA14">
    <cfRule type="cellIs" dxfId="395" priority="32" operator="equal">
      <formula>"Y"</formula>
    </cfRule>
    <cfRule type="cellIs" dxfId="394" priority="31" operator="equal">
      <formula>"N"</formula>
    </cfRule>
  </conditionalFormatting>
  <conditionalFormatting sqref="T16:AA16 U17:AA17 T17:T22">
    <cfRule type="cellIs" dxfId="393" priority="7" operator="equal">
      <formula>"N"</formula>
    </cfRule>
    <cfRule type="cellIs" dxfId="392" priority="8" operator="equal">
      <formula>"Y"</formula>
    </cfRule>
  </conditionalFormatting>
  <conditionalFormatting sqref="T24:AA24 T33:AA33">
    <cfRule type="cellIs" dxfId="391" priority="35" operator="equal">
      <formula>"N"</formula>
    </cfRule>
    <cfRule type="cellIs" dxfId="390" priority="36" operator="equal">
      <formula>"Y"</formula>
    </cfRule>
  </conditionalFormatting>
  <conditionalFormatting sqref="T6:AC16 U17:AC17 T17:T22">
    <cfRule type="cellIs" dxfId="389" priority="3" operator="equal">
      <formula>"N"</formula>
    </cfRule>
    <cfRule type="cellIs" dxfId="388" priority="4" operator="equal">
      <formula>"Y"</formula>
    </cfRule>
  </conditionalFormatting>
  <conditionalFormatting sqref="T24:AC24 T33:AC33">
    <cfRule type="cellIs" dxfId="387" priority="28" operator="equal">
      <formula>"Y"</formula>
    </cfRule>
    <cfRule type="cellIs" dxfId="386" priority="27" operator="equal">
      <formula>"N"</formula>
    </cfRule>
  </conditionalFormatting>
  <conditionalFormatting sqref="U6:U24">
    <cfRule type="cellIs" dxfId="385" priority="1" operator="equal">
      <formula>"S"</formula>
    </cfRule>
    <cfRule type="cellIs" dxfId="384" priority="2" operator="equal">
      <formula>"C"</formula>
    </cfRule>
  </conditionalFormatting>
  <conditionalFormatting sqref="U33">
    <cfRule type="cellIs" dxfId="383" priority="26" operator="equal">
      <formula>"C"</formula>
    </cfRule>
    <cfRule type="cellIs" dxfId="382" priority="25" operator="equal">
      <formula>"S"</formula>
    </cfRule>
  </conditionalFormatting>
  <conditionalFormatting sqref="V15">
    <cfRule type="cellIs" dxfId="381" priority="42" operator="equal">
      <formula>"S"</formula>
    </cfRule>
    <cfRule type="cellIs" dxfId="380" priority="43" operator="equal">
      <formula>"C"</formula>
    </cfRule>
  </conditionalFormatting>
  <conditionalFormatting sqref="V18:W23">
    <cfRule type="cellIs" dxfId="379" priority="20" operator="equal">
      <formula>"C"</formula>
    </cfRule>
    <cfRule type="cellIs" dxfId="378" priority="19" operator="equal">
      <formula>"S"</formula>
    </cfRule>
  </conditionalFormatting>
  <conditionalFormatting sqref="V6:X14">
    <cfRule type="cellIs" dxfId="377" priority="29" operator="equal">
      <formula>"S"</formula>
    </cfRule>
    <cfRule type="cellIs" dxfId="376" priority="30" operator="equal">
      <formula>"C"</formula>
    </cfRule>
  </conditionalFormatting>
  <conditionalFormatting sqref="V16:X17">
    <cfRule type="cellIs" dxfId="375" priority="6" operator="equal">
      <formula>"C"</formula>
    </cfRule>
    <cfRule type="cellIs" dxfId="374" priority="5" operator="equal">
      <formula>"S"</formula>
    </cfRule>
  </conditionalFormatting>
  <conditionalFormatting sqref="V18:Z23">
    <cfRule type="cellIs" dxfId="373" priority="14" operator="equal">
      <formula>"Y"</formula>
    </cfRule>
    <cfRule type="cellIs" dxfId="372" priority="13" operator="equal">
      <formula>"N"</formula>
    </cfRule>
  </conditionalFormatting>
  <conditionalFormatting sqref="AG6:AG14">
    <cfRule type="cellIs" dxfId="371" priority="33" operator="lessThan">
      <formula>1.19</formula>
    </cfRule>
    <cfRule type="cellIs" dxfId="370" priority="34" operator="greaterThan">
      <formula>1.19</formula>
    </cfRule>
  </conditionalFormatting>
  <conditionalFormatting sqref="AG16:AG23">
    <cfRule type="cellIs" dxfId="369" priority="46" operator="lessThan">
      <formula>1.19</formula>
    </cfRule>
    <cfRule type="cellIs" dxfId="368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FD7-09E2-4815-9AA1-8222DDE540B3}">
  <sheetPr>
    <pageSetUpPr fitToPage="1"/>
  </sheetPr>
  <dimension ref="A1:AV71"/>
  <sheetViews>
    <sheetView showGridLines="0" tabSelected="1" zoomScaleNormal="100" workbookViewId="0">
      <pane xSplit="2" ySplit="6" topLeftCell="AD23" activePane="bottomRight" state="frozen"/>
      <selection pane="topRight" activeCell="C1" sqref="C1"/>
      <selection pane="bottomLeft" activeCell="A7" sqref="A7"/>
      <selection pane="bottomRight" activeCell="B25" sqref="B25:AV32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'08 Aug 23'!B1+1</f>
        <v>45147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320</v>
      </c>
      <c r="D6" s="79">
        <v>79961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45146.958333333336</v>
      </c>
      <c r="B7" s="198">
        <v>0.95833333333333304</v>
      </c>
      <c r="C7" s="199" t="s">
        <v>320</v>
      </c>
      <c r="D7" s="79">
        <v>80125</v>
      </c>
      <c r="E7" s="80">
        <f t="shared" ref="E7:E14" si="0">IF(D7&gt;0,D7-D6,"")</f>
        <v>164</v>
      </c>
      <c r="F7" s="200">
        <v>190</v>
      </c>
      <c r="G7" s="79">
        <v>25</v>
      </c>
      <c r="H7" s="79">
        <v>41</v>
      </c>
      <c r="I7" s="79">
        <v>15</v>
      </c>
      <c r="J7" s="202"/>
      <c r="K7" s="202" t="s">
        <v>136</v>
      </c>
      <c r="L7" s="85" t="s">
        <v>136</v>
      </c>
      <c r="M7" s="85"/>
      <c r="N7" s="79" t="s">
        <v>254</v>
      </c>
      <c r="O7" s="79" t="s">
        <v>326</v>
      </c>
      <c r="P7" s="79" t="s">
        <v>217</v>
      </c>
      <c r="Q7" s="79">
        <v>20</v>
      </c>
      <c r="R7" s="79" t="s">
        <v>136</v>
      </c>
      <c r="S7" s="85"/>
      <c r="T7" s="85" t="s">
        <v>136</v>
      </c>
      <c r="U7" s="86"/>
      <c r="V7" s="86">
        <v>85</v>
      </c>
      <c r="W7" s="86">
        <v>22</v>
      </c>
      <c r="X7" s="86">
        <v>62</v>
      </c>
      <c r="Y7" s="85">
        <v>100</v>
      </c>
      <c r="Z7" s="85"/>
      <c r="AA7" s="85">
        <v>40</v>
      </c>
      <c r="AB7" s="86">
        <v>53</v>
      </c>
      <c r="AC7" s="86">
        <v>100</v>
      </c>
      <c r="AD7" s="203">
        <v>43</v>
      </c>
      <c r="AE7" s="79" t="s">
        <v>134</v>
      </c>
      <c r="AF7" s="115" t="s">
        <v>134</v>
      </c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45147.916666666672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45146.958333333336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 t="s">
        <v>327</v>
      </c>
    </row>
    <row r="8" spans="1:48" x14ac:dyDescent="0.25">
      <c r="A8" s="96">
        <f t="shared" ref="A8:A23" si="8">B8+$B$1</f>
        <v>45147</v>
      </c>
      <c r="B8" s="198">
        <v>0</v>
      </c>
      <c r="C8" s="199" t="s">
        <v>320</v>
      </c>
      <c r="D8" s="79">
        <v>80266</v>
      </c>
      <c r="E8" s="80">
        <f t="shared" si="0"/>
        <v>141</v>
      </c>
      <c r="F8" s="200">
        <f t="shared" ref="F8:F33" si="9">F7</f>
        <v>190</v>
      </c>
      <c r="G8" s="79">
        <v>25</v>
      </c>
      <c r="H8" s="79">
        <v>40</v>
      </c>
      <c r="I8" s="79">
        <v>15</v>
      </c>
      <c r="J8" s="257"/>
      <c r="K8" s="202" t="s">
        <v>136</v>
      </c>
      <c r="L8" s="85" t="s">
        <v>136</v>
      </c>
      <c r="M8" s="85"/>
      <c r="N8" s="79" t="s">
        <v>328</v>
      </c>
      <c r="O8" s="79" t="s">
        <v>161</v>
      </c>
      <c r="P8" s="79" t="s">
        <v>240</v>
      </c>
      <c r="Q8" s="79">
        <v>20</v>
      </c>
      <c r="R8" s="79" t="s">
        <v>136</v>
      </c>
      <c r="S8" s="85"/>
      <c r="T8" s="85" t="s">
        <v>136</v>
      </c>
      <c r="U8" s="86"/>
      <c r="V8" s="86">
        <v>84</v>
      </c>
      <c r="W8" s="86">
        <v>20</v>
      </c>
      <c r="X8" s="86">
        <v>76</v>
      </c>
      <c r="Y8" s="85">
        <v>100</v>
      </c>
      <c r="Z8" s="85"/>
      <c r="AA8" s="85">
        <v>40</v>
      </c>
      <c r="AB8" s="86">
        <v>53</v>
      </c>
      <c r="AC8" s="86">
        <v>100</v>
      </c>
      <c r="AD8" s="203">
        <v>61</v>
      </c>
      <c r="AE8" s="115" t="s">
        <v>134</v>
      </c>
      <c r="AF8" s="115" t="s">
        <v>135</v>
      </c>
      <c r="AG8" s="115"/>
      <c r="AH8" s="115"/>
      <c r="AI8" s="101">
        <v>0.99583333333333324</v>
      </c>
      <c r="AJ8" s="101"/>
      <c r="AK8" s="102">
        <f t="shared" si="1"/>
        <v>0</v>
      </c>
      <c r="AL8" s="103">
        <f>IF(AI8&lt;&gt;"",AI8+$B$1-1,B8+$B$1-1/24)</f>
        <v>45146.995833333334</v>
      </c>
      <c r="AM8" s="102">
        <f t="shared" ref="AM8:AM14" si="10">AK7</f>
        <v>1</v>
      </c>
      <c r="AN8" s="102">
        <f t="shared" si="2"/>
        <v>0</v>
      </c>
      <c r="AO8" s="102">
        <f t="shared" si="3"/>
        <v>0</v>
      </c>
      <c r="AP8" s="103">
        <f>IF(AJ8&lt;&gt;"",AJ8+$B$1-1,B8+$B$1)</f>
        <v>45147</v>
      </c>
      <c r="AQ8" s="103">
        <f t="shared" si="4"/>
        <v>3.7500000000970125E-2</v>
      </c>
      <c r="AR8" s="103">
        <f t="shared" ref="AR8:AR14" si="11">AP8-AL8</f>
        <v>4.166666665696539E-3</v>
      </c>
      <c r="AS8" s="103">
        <f t="shared" si="5"/>
        <v>0</v>
      </c>
      <c r="AT8" s="103">
        <f t="shared" ca="1" si="6"/>
        <v>3.7500000000970125E-2</v>
      </c>
      <c r="AU8" s="104">
        <f t="shared" ca="1" si="7"/>
        <v>4.166666665696539E-3</v>
      </c>
      <c r="AV8" s="239" t="s">
        <v>329</v>
      </c>
    </row>
    <row r="9" spans="1:48" x14ac:dyDescent="0.25">
      <c r="A9" s="96">
        <f t="shared" si="8"/>
        <v>45147.041666666664</v>
      </c>
      <c r="B9" s="198">
        <v>4.1666666666666664E-2</v>
      </c>
      <c r="C9" s="199" t="s">
        <v>320</v>
      </c>
      <c r="D9" s="79">
        <v>80389</v>
      </c>
      <c r="E9" s="80">
        <f t="shared" si="0"/>
        <v>123</v>
      </c>
      <c r="F9" s="200">
        <f t="shared" si="9"/>
        <v>190</v>
      </c>
      <c r="G9" s="79">
        <v>23</v>
      </c>
      <c r="H9" s="79">
        <v>37</v>
      </c>
      <c r="I9" s="79">
        <v>15</v>
      </c>
      <c r="J9" s="202"/>
      <c r="K9" s="202" t="s">
        <v>136</v>
      </c>
      <c r="L9" s="85" t="s">
        <v>136</v>
      </c>
      <c r="M9" s="85"/>
      <c r="N9" s="79" t="s">
        <v>331</v>
      </c>
      <c r="O9" s="79" t="s">
        <v>190</v>
      </c>
      <c r="P9" s="79" t="s">
        <v>180</v>
      </c>
      <c r="Q9" s="79">
        <v>20</v>
      </c>
      <c r="R9" s="79" t="s">
        <v>136</v>
      </c>
      <c r="S9" s="85"/>
      <c r="T9" s="85" t="s">
        <v>136</v>
      </c>
      <c r="U9" s="86"/>
      <c r="V9" s="86">
        <v>78</v>
      </c>
      <c r="W9" s="86">
        <v>14</v>
      </c>
      <c r="X9" s="86">
        <v>63</v>
      </c>
      <c r="Y9" s="85">
        <v>80</v>
      </c>
      <c r="Z9" s="85"/>
      <c r="AA9" s="85">
        <v>30</v>
      </c>
      <c r="AB9" s="86">
        <v>54</v>
      </c>
      <c r="AC9" s="86">
        <v>100</v>
      </c>
      <c r="AD9" s="203">
        <v>37</v>
      </c>
      <c r="AE9" s="115" t="s">
        <v>134</v>
      </c>
      <c r="AF9" s="115" t="s">
        <v>134</v>
      </c>
      <c r="AG9" s="115"/>
      <c r="AH9" s="115"/>
      <c r="AI9" s="101"/>
      <c r="AJ9" s="101">
        <v>6.9444444444444441E-3</v>
      </c>
      <c r="AK9" s="102">
        <f t="shared" si="1"/>
        <v>1</v>
      </c>
      <c r="AL9" s="103">
        <f t="shared" ref="AL9:AL14" si="12">IF(AI9&lt;&gt;"",AI9+$B$1,B9+$B$1-1/24)</f>
        <v>45147</v>
      </c>
      <c r="AM9" s="102">
        <f t="shared" si="10"/>
        <v>0</v>
      </c>
      <c r="AN9" s="102">
        <f t="shared" si="2"/>
        <v>0</v>
      </c>
      <c r="AO9" s="102">
        <f t="shared" si="3"/>
        <v>1</v>
      </c>
      <c r="AP9" s="103">
        <f t="shared" ref="AP9:AP14" si="13">IF(AJ9&lt;&gt;"",AJ9+$B$1,B9+$B$1)</f>
        <v>45147.006944444445</v>
      </c>
      <c r="AQ9" s="103">
        <f t="shared" si="4"/>
        <v>2.425316891763174E-12</v>
      </c>
      <c r="AR9" s="103">
        <f t="shared" si="11"/>
        <v>6.9444444452528842E-3</v>
      </c>
      <c r="AS9" s="103">
        <f t="shared" si="5"/>
        <v>3.4722222218988463E-2</v>
      </c>
      <c r="AT9" s="103">
        <f t="shared" ca="1" si="6"/>
        <v>3.4722222218988463E-2</v>
      </c>
      <c r="AU9" s="104">
        <f t="shared" ca="1" si="7"/>
        <v>6.9444444476782011E-3</v>
      </c>
      <c r="AV9" s="239" t="s">
        <v>330</v>
      </c>
    </row>
    <row r="10" spans="1:48" ht="15" customHeight="1" x14ac:dyDescent="0.25">
      <c r="A10" s="96">
        <f t="shared" si="8"/>
        <v>45147.083333333336</v>
      </c>
      <c r="B10" s="198">
        <v>8.3333333333333329E-2</v>
      </c>
      <c r="C10" s="199" t="s">
        <v>320</v>
      </c>
      <c r="D10" s="79">
        <v>80494</v>
      </c>
      <c r="E10" s="80">
        <f t="shared" si="0"/>
        <v>105</v>
      </c>
      <c r="F10" s="200">
        <f t="shared" si="9"/>
        <v>190</v>
      </c>
      <c r="G10" s="79">
        <v>37</v>
      </c>
      <c r="H10" s="79">
        <v>42</v>
      </c>
      <c r="I10" s="79">
        <v>15</v>
      </c>
      <c r="J10" s="202"/>
      <c r="K10" s="202" t="s">
        <v>136</v>
      </c>
      <c r="L10" s="85" t="s">
        <v>136</v>
      </c>
      <c r="M10" s="85"/>
      <c r="N10" s="79" t="s">
        <v>331</v>
      </c>
      <c r="O10" s="79" t="s">
        <v>120</v>
      </c>
      <c r="P10" s="79" t="s">
        <v>180</v>
      </c>
      <c r="Q10" s="79">
        <v>20</v>
      </c>
      <c r="R10" s="79" t="s">
        <v>136</v>
      </c>
      <c r="S10" s="85"/>
      <c r="T10" s="85" t="s">
        <v>136</v>
      </c>
      <c r="U10" s="86"/>
      <c r="V10" s="86">
        <v>88</v>
      </c>
      <c r="W10" s="86">
        <v>29</v>
      </c>
      <c r="X10" s="86">
        <v>63</v>
      </c>
      <c r="Y10" s="85">
        <v>100</v>
      </c>
      <c r="Z10" s="85"/>
      <c r="AA10" s="85">
        <v>30</v>
      </c>
      <c r="AB10" s="86">
        <v>54</v>
      </c>
      <c r="AC10" s="86">
        <v>100</v>
      </c>
      <c r="AD10" s="203">
        <v>45</v>
      </c>
      <c r="AE10" s="115" t="s">
        <v>134</v>
      </c>
      <c r="AF10" s="115" t="s">
        <v>134</v>
      </c>
      <c r="AG10" s="115"/>
      <c r="AH10" s="115"/>
      <c r="AI10" s="101">
        <v>7.0833333333333331E-2</v>
      </c>
      <c r="AJ10" s="101">
        <v>7.8472222222222221E-2</v>
      </c>
      <c r="AK10" s="102">
        <f t="shared" si="1"/>
        <v>1</v>
      </c>
      <c r="AL10" s="103">
        <f t="shared" si="12"/>
        <v>45147.070833333331</v>
      </c>
      <c r="AM10" s="102">
        <f t="shared" si="10"/>
        <v>1</v>
      </c>
      <c r="AN10" s="102">
        <f t="shared" si="2"/>
        <v>0</v>
      </c>
      <c r="AO10" s="102">
        <f t="shared" si="3"/>
        <v>1</v>
      </c>
      <c r="AP10" s="103">
        <f t="shared" si="13"/>
        <v>45147.078472222223</v>
      </c>
      <c r="AQ10" s="103">
        <f t="shared" si="4"/>
        <v>2.916666666230109E-2</v>
      </c>
      <c r="AR10" s="103">
        <f t="shared" si="11"/>
        <v>7.6388888919609599E-3</v>
      </c>
      <c r="AS10" s="103">
        <f t="shared" si="5"/>
        <v>4.8611111124046147E-3</v>
      </c>
      <c r="AT10" s="103">
        <f t="shared" ca="1" si="6"/>
        <v>3.4027777774705704E-2</v>
      </c>
      <c r="AU10" s="104">
        <f t="shared" ca="1" si="7"/>
        <v>7.6388888919609599E-3</v>
      </c>
      <c r="AV10" s="239" t="s">
        <v>332</v>
      </c>
    </row>
    <row r="11" spans="1:48" ht="15" customHeight="1" x14ac:dyDescent="0.25">
      <c r="A11" s="96">
        <f t="shared" si="8"/>
        <v>45147.125</v>
      </c>
      <c r="B11" s="198">
        <v>0.125</v>
      </c>
      <c r="C11" s="199" t="s">
        <v>320</v>
      </c>
      <c r="D11" s="79">
        <v>80667</v>
      </c>
      <c r="E11" s="80">
        <f t="shared" si="0"/>
        <v>173</v>
      </c>
      <c r="F11" s="200">
        <f t="shared" si="9"/>
        <v>190</v>
      </c>
      <c r="G11" s="79">
        <v>37</v>
      </c>
      <c r="H11" s="79">
        <v>41</v>
      </c>
      <c r="I11" s="79">
        <v>15</v>
      </c>
      <c r="J11" s="202"/>
      <c r="K11" s="202" t="s">
        <v>136</v>
      </c>
      <c r="L11" s="85" t="s">
        <v>136</v>
      </c>
      <c r="M11" s="85"/>
      <c r="N11" s="79" t="s">
        <v>231</v>
      </c>
      <c r="O11" s="79" t="s">
        <v>179</v>
      </c>
      <c r="P11" s="79" t="s">
        <v>217</v>
      </c>
      <c r="Q11" s="79">
        <v>20</v>
      </c>
      <c r="R11" s="79" t="s">
        <v>136</v>
      </c>
      <c r="S11" s="85"/>
      <c r="T11" s="85" t="s">
        <v>136</v>
      </c>
      <c r="U11" s="86"/>
      <c r="V11" s="86">
        <v>84</v>
      </c>
      <c r="W11" s="86">
        <v>11</v>
      </c>
      <c r="X11" s="86">
        <v>68</v>
      </c>
      <c r="Y11" s="85">
        <v>100</v>
      </c>
      <c r="Z11" s="85"/>
      <c r="AA11" s="85">
        <v>50</v>
      </c>
      <c r="AB11" s="86">
        <v>1</v>
      </c>
      <c r="AC11" s="86">
        <v>100</v>
      </c>
      <c r="AD11" s="203">
        <v>42</v>
      </c>
      <c r="AE11" s="115" t="s">
        <v>134</v>
      </c>
      <c r="AF11" s="115" t="s">
        <v>134</v>
      </c>
      <c r="AG11" s="115"/>
      <c r="AH11" s="115"/>
      <c r="AI11" s="101"/>
      <c r="AJ11" s="101"/>
      <c r="AK11" s="102">
        <f t="shared" si="1"/>
        <v>1</v>
      </c>
      <c r="AL11" s="103">
        <f t="shared" si="12"/>
        <v>45147.083333333336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45147.125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45147.166666666664</v>
      </c>
      <c r="B12" s="198">
        <v>0.16666666666666666</v>
      </c>
      <c r="C12" s="199" t="s">
        <v>320</v>
      </c>
      <c r="D12" s="79">
        <v>80861</v>
      </c>
      <c r="E12" s="80">
        <f t="shared" si="0"/>
        <v>194</v>
      </c>
      <c r="F12" s="200">
        <f t="shared" si="9"/>
        <v>190</v>
      </c>
      <c r="G12" s="79">
        <v>37</v>
      </c>
      <c r="H12" s="79">
        <v>45</v>
      </c>
      <c r="I12" s="79">
        <v>15</v>
      </c>
      <c r="J12" s="202"/>
      <c r="K12" s="202" t="s">
        <v>136</v>
      </c>
      <c r="L12" s="85" t="s">
        <v>136</v>
      </c>
      <c r="M12" s="85"/>
      <c r="N12" s="79" t="s">
        <v>182</v>
      </c>
      <c r="O12" s="79" t="s">
        <v>216</v>
      </c>
      <c r="P12" s="79" t="s">
        <v>118</v>
      </c>
      <c r="Q12" s="79">
        <v>20</v>
      </c>
      <c r="R12" s="79" t="s">
        <v>136</v>
      </c>
      <c r="S12" s="85"/>
      <c r="T12" s="85" t="s">
        <v>136</v>
      </c>
      <c r="U12" s="86"/>
      <c r="V12" s="86">
        <v>54</v>
      </c>
      <c r="W12" s="86">
        <v>40</v>
      </c>
      <c r="X12" s="86">
        <v>77</v>
      </c>
      <c r="Y12" s="85">
        <v>70</v>
      </c>
      <c r="Z12" s="85"/>
      <c r="AA12" s="85">
        <v>50</v>
      </c>
      <c r="AB12" s="86">
        <v>5</v>
      </c>
      <c r="AC12" s="86">
        <v>100</v>
      </c>
      <c r="AD12" s="203">
        <v>45</v>
      </c>
      <c r="AE12" s="85" t="s">
        <v>134</v>
      </c>
      <c r="AF12" s="115" t="s">
        <v>135</v>
      </c>
      <c r="AG12" s="115"/>
      <c r="AH12" s="115"/>
      <c r="AI12" s="101"/>
      <c r="AJ12" s="101"/>
      <c r="AK12" s="102">
        <f t="shared" si="1"/>
        <v>1</v>
      </c>
      <c r="AL12" s="103">
        <f t="shared" si="12"/>
        <v>45147.125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45147.166666666664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 t="s">
        <v>335</v>
      </c>
    </row>
    <row r="13" spans="1:48" ht="15" customHeight="1" x14ac:dyDescent="0.25">
      <c r="A13" s="96">
        <f t="shared" si="8"/>
        <v>45147.208333333336</v>
      </c>
      <c r="B13" s="198">
        <v>0.20833333333333334</v>
      </c>
      <c r="C13" s="199" t="s">
        <v>320</v>
      </c>
      <c r="D13" s="79">
        <v>80999</v>
      </c>
      <c r="E13" s="80">
        <f t="shared" si="0"/>
        <v>138</v>
      </c>
      <c r="F13" s="200">
        <f t="shared" si="9"/>
        <v>190</v>
      </c>
      <c r="G13" s="79">
        <v>36</v>
      </c>
      <c r="H13" s="79">
        <v>43</v>
      </c>
      <c r="I13" s="79">
        <v>15</v>
      </c>
      <c r="J13" s="202"/>
      <c r="K13" s="202" t="s">
        <v>136</v>
      </c>
      <c r="L13" s="85" t="s">
        <v>136</v>
      </c>
      <c r="M13" s="85"/>
      <c r="N13" s="79" t="s">
        <v>333</v>
      </c>
      <c r="O13" s="79" t="s">
        <v>334</v>
      </c>
      <c r="P13" s="79" t="s">
        <v>217</v>
      </c>
      <c r="Q13" s="79">
        <v>20</v>
      </c>
      <c r="R13" s="79" t="s">
        <v>136</v>
      </c>
      <c r="S13" s="85"/>
      <c r="T13" s="85" t="s">
        <v>136</v>
      </c>
      <c r="U13" s="86"/>
      <c r="V13" s="86">
        <v>57</v>
      </c>
      <c r="W13" s="86">
        <v>14</v>
      </c>
      <c r="X13" s="86">
        <v>62</v>
      </c>
      <c r="Y13" s="85">
        <v>90</v>
      </c>
      <c r="Z13" s="85"/>
      <c r="AA13" s="85">
        <v>50</v>
      </c>
      <c r="AB13" s="86">
        <v>7</v>
      </c>
      <c r="AC13" s="86">
        <v>100</v>
      </c>
      <c r="AD13" s="203">
        <v>43</v>
      </c>
      <c r="AE13" s="85" t="s">
        <v>134</v>
      </c>
      <c r="AF13" s="115" t="s">
        <v>134</v>
      </c>
      <c r="AG13" s="115"/>
      <c r="AH13" s="115"/>
      <c r="AI13" s="101"/>
      <c r="AJ13" s="101"/>
      <c r="AK13" s="102">
        <f t="shared" si="1"/>
        <v>1</v>
      </c>
      <c r="AL13" s="103">
        <f t="shared" si="12"/>
        <v>45147.166666666672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45147.208333333336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45147.25</v>
      </c>
      <c r="B14" s="198">
        <v>0.25</v>
      </c>
      <c r="C14" s="199" t="s">
        <v>320</v>
      </c>
      <c r="D14" s="79">
        <v>81130</v>
      </c>
      <c r="E14" s="80">
        <f t="shared" si="0"/>
        <v>131</v>
      </c>
      <c r="F14" s="204">
        <f t="shared" si="9"/>
        <v>190</v>
      </c>
      <c r="G14" s="79">
        <v>37</v>
      </c>
      <c r="H14" s="79">
        <v>41</v>
      </c>
      <c r="I14" s="79">
        <v>15</v>
      </c>
      <c r="J14" s="202">
        <v>0.2</v>
      </c>
      <c r="K14" s="202" t="s">
        <v>136</v>
      </c>
      <c r="L14" s="85" t="s">
        <v>136</v>
      </c>
      <c r="M14" s="85"/>
      <c r="N14" s="79">
        <v>39.5</v>
      </c>
      <c r="O14" s="79">
        <v>41.2</v>
      </c>
      <c r="P14" s="79">
        <v>1.8</v>
      </c>
      <c r="Q14" s="79">
        <v>20</v>
      </c>
      <c r="R14" s="79" t="s">
        <v>136</v>
      </c>
      <c r="S14" s="85"/>
      <c r="T14" s="85" t="s">
        <v>136</v>
      </c>
      <c r="U14" s="86"/>
      <c r="V14" s="86">
        <v>80</v>
      </c>
      <c r="W14" s="86">
        <v>12</v>
      </c>
      <c r="X14" s="86">
        <v>63</v>
      </c>
      <c r="Y14" s="85">
        <v>100</v>
      </c>
      <c r="Z14" s="85"/>
      <c r="AA14" s="85">
        <v>70</v>
      </c>
      <c r="AB14" s="86">
        <v>4</v>
      </c>
      <c r="AC14" s="86">
        <v>100</v>
      </c>
      <c r="AD14" s="203">
        <v>100</v>
      </c>
      <c r="AE14" s="85" t="s">
        <v>336</v>
      </c>
      <c r="AF14" s="85" t="s">
        <v>336</v>
      </c>
      <c r="AG14" s="85"/>
      <c r="AH14" s="85"/>
      <c r="AI14" s="101"/>
      <c r="AJ14" s="101"/>
      <c r="AK14" s="102">
        <f>AO14</f>
        <v>1</v>
      </c>
      <c r="AL14" s="103">
        <f t="shared" si="12"/>
        <v>45147.208333333336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45147.25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</row>
    <row r="15" spans="1:48" x14ac:dyDescent="0.25">
      <c r="A15" s="96"/>
      <c r="B15" s="7" t="s">
        <v>58</v>
      </c>
      <c r="C15" s="7"/>
      <c r="D15" s="7">
        <f>IF(D14=0,SUM(E7:E14),D14-D6)</f>
        <v>1169</v>
      </c>
      <c r="E15" s="121">
        <f ca="1">IFERROR(D15/24/AT15,"")</f>
        <v>154.83443708871886</v>
      </c>
      <c r="F15" s="125">
        <f t="shared" si="9"/>
        <v>190</v>
      </c>
      <c r="G15" s="7">
        <f>SUM(G6:G14)</f>
        <v>257</v>
      </c>
      <c r="H15" s="205"/>
      <c r="I15" s="124">
        <f>IFERROR(AVERAGE(I7:I14),"")</f>
        <v>15</v>
      </c>
      <c r="J15" s="256" t="s">
        <v>339</v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>
        <f>IFERROR(AVERAGE(N7:N14),"")</f>
        <v>39.5</v>
      </c>
      <c r="O15" s="125">
        <f>IF(O14=0,SUM(P7:P14),O14-O6)</f>
        <v>41.2</v>
      </c>
      <c r="P15" s="121"/>
      <c r="Q15" s="126">
        <f>IFERROR(AVERAGE(Q7:Q14),"")</f>
        <v>20</v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>
        <f t="shared" ref="AD15:AH15" si="14">IFERROR(AVERAGE(AD7:AD14),"")</f>
        <v>52</v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0.31458333332799771</v>
      </c>
      <c r="AU15" s="133">
        <f ca="1">SUM(AU7:AU14)</f>
        <v>1.8750000005335624E-2</v>
      </c>
      <c r="AV15" s="132"/>
    </row>
    <row r="16" spans="1:48" ht="13.15" customHeight="1" x14ac:dyDescent="0.25">
      <c r="A16" s="96">
        <f t="shared" si="8"/>
        <v>45147.291666666664</v>
      </c>
      <c r="B16" s="198">
        <v>0.29166666666666669</v>
      </c>
      <c r="C16" s="199" t="s">
        <v>320</v>
      </c>
      <c r="D16" s="79">
        <v>81157</v>
      </c>
      <c r="E16" s="80">
        <f>IF(D16&gt;0,D16-D14,"")</f>
        <v>27</v>
      </c>
      <c r="F16" s="200">
        <v>190</v>
      </c>
      <c r="G16" s="210">
        <v>37</v>
      </c>
      <c r="H16" s="210">
        <v>41</v>
      </c>
      <c r="I16" s="209">
        <v>16</v>
      </c>
      <c r="J16" s="211">
        <v>20</v>
      </c>
      <c r="K16" s="211" t="s">
        <v>136</v>
      </c>
      <c r="L16" s="209" t="s">
        <v>136</v>
      </c>
      <c r="M16" s="209"/>
      <c r="N16" s="79">
        <v>28.9</v>
      </c>
      <c r="O16" s="79">
        <v>38.6</v>
      </c>
      <c r="P16" s="79">
        <v>1.9</v>
      </c>
      <c r="Q16" s="79">
        <v>20</v>
      </c>
      <c r="R16" s="79" t="s">
        <v>136</v>
      </c>
      <c r="S16" s="85"/>
      <c r="T16" s="85" t="s">
        <v>136</v>
      </c>
      <c r="U16" s="86"/>
      <c r="V16" s="86">
        <v>54</v>
      </c>
      <c r="W16" s="86">
        <v>16</v>
      </c>
      <c r="X16" s="86">
        <v>62</v>
      </c>
      <c r="Y16" s="85">
        <v>100</v>
      </c>
      <c r="Z16" s="85"/>
      <c r="AA16" s="85">
        <v>70</v>
      </c>
      <c r="AB16" s="86">
        <v>18</v>
      </c>
      <c r="AC16" s="86">
        <v>100</v>
      </c>
      <c r="AD16" s="213">
        <v>52</v>
      </c>
      <c r="AE16" s="209" t="s">
        <v>134</v>
      </c>
      <c r="AF16" s="209" t="s">
        <v>134</v>
      </c>
      <c r="AG16" s="209"/>
      <c r="AH16" s="209"/>
      <c r="AI16" s="101">
        <v>0.25138888888888888</v>
      </c>
      <c r="AJ16" s="101">
        <v>0.28611111111111115</v>
      </c>
      <c r="AK16" s="102">
        <f t="shared" ref="AK16:AK23" si="15">AO16</f>
        <v>1</v>
      </c>
      <c r="AL16" s="103">
        <f t="shared" ref="AL16:AL23" si="16">IF(AI16&lt;&gt;"",AI16+$B$1,B16+$B$1-1/24)</f>
        <v>45147.251388888886</v>
      </c>
      <c r="AM16" s="102">
        <f t="shared" ref="AM16:AM23" si="17">AK15</f>
        <v>1</v>
      </c>
      <c r="AN16" s="102">
        <f t="shared" ref="AN16:AN23" si="18">IF(AI16="",AM16,0)</f>
        <v>0</v>
      </c>
      <c r="AO16" s="102">
        <f t="shared" ref="AO16:AO23" si="19">IF(AJ16&lt;&gt;"",1,AN16)</f>
        <v>1</v>
      </c>
      <c r="AP16" s="103">
        <f t="shared" ref="AP16:AP23" si="20">IF(AJ16&lt;&gt;"",AJ16+$B$1,B16+$B$1)</f>
        <v>45147.286111111112</v>
      </c>
      <c r="AQ16" s="103">
        <f t="shared" ref="AQ16:AQ23" si="21">AL16-A16+1/24</f>
        <v>1.3888888885655107E-3</v>
      </c>
      <c r="AR16" s="103">
        <f>AP16-AL16</f>
        <v>3.4722222226264421E-2</v>
      </c>
      <c r="AS16" s="103">
        <f t="shared" ref="AS16:AS23" si="22">A16-AP16</f>
        <v>5.5555555518367328E-3</v>
      </c>
      <c r="AT16" s="103">
        <f t="shared" ref="AT16:AT23" ca="1" si="23">IF(A16&lt;$AU$1,SUMPRODUCT(AM16:AO16,AQ16:AS16),0)</f>
        <v>6.9444444404022435E-3</v>
      </c>
      <c r="AU16" s="104">
        <f t="shared" ref="AU16:AU23" ca="1" si="24">IF(A16&lt;$AU$1,1/24-AT16,0)</f>
        <v>3.4722222226264421E-2</v>
      </c>
      <c r="AV16" s="239" t="s">
        <v>338</v>
      </c>
    </row>
    <row r="17" spans="1:48" x14ac:dyDescent="0.25">
      <c r="A17" s="96">
        <f t="shared" si="8"/>
        <v>45147.333333333336</v>
      </c>
      <c r="B17" s="198">
        <v>0.33333333333333331</v>
      </c>
      <c r="C17" s="199" t="s">
        <v>320</v>
      </c>
      <c r="D17" s="79">
        <v>81332</v>
      </c>
      <c r="E17" s="80">
        <f>IF(D17&gt;0,D17-D16,"")</f>
        <v>175</v>
      </c>
      <c r="F17" s="200">
        <f t="shared" si="9"/>
        <v>190</v>
      </c>
      <c r="G17" s="210">
        <v>37</v>
      </c>
      <c r="H17" s="210">
        <v>42</v>
      </c>
      <c r="I17" s="209">
        <v>15</v>
      </c>
      <c r="J17" s="211">
        <v>20</v>
      </c>
      <c r="K17" s="211" t="s">
        <v>136</v>
      </c>
      <c r="L17" s="209" t="s">
        <v>136</v>
      </c>
      <c r="M17" s="209"/>
      <c r="N17" s="79">
        <v>39.5</v>
      </c>
      <c r="O17" s="79">
        <v>40.1</v>
      </c>
      <c r="P17" s="79">
        <v>1.7</v>
      </c>
      <c r="Q17" s="79">
        <v>20</v>
      </c>
      <c r="R17" s="79" t="s">
        <v>136</v>
      </c>
      <c r="S17" s="85"/>
      <c r="T17" s="85" t="s">
        <v>136</v>
      </c>
      <c r="U17" s="86"/>
      <c r="V17" s="86">
        <v>55</v>
      </c>
      <c r="W17" s="86">
        <v>37</v>
      </c>
      <c r="X17" s="86">
        <v>62</v>
      </c>
      <c r="Y17" s="85">
        <v>100</v>
      </c>
      <c r="Z17" s="85"/>
      <c r="AA17" s="85">
        <v>90</v>
      </c>
      <c r="AB17" s="86">
        <v>6</v>
      </c>
      <c r="AC17" s="86">
        <v>100</v>
      </c>
      <c r="AD17" s="213">
        <v>43</v>
      </c>
      <c r="AE17" s="209" t="s">
        <v>134</v>
      </c>
      <c r="AF17" s="209" t="s">
        <v>134</v>
      </c>
      <c r="AG17" s="209"/>
      <c r="AH17" s="209"/>
      <c r="AI17" s="101"/>
      <c r="AJ17" s="101"/>
      <c r="AK17" s="102">
        <f t="shared" si="15"/>
        <v>1</v>
      </c>
      <c r="AL17" s="103">
        <f t="shared" si="16"/>
        <v>45147.291666666672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45147.333333333336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45147.375</v>
      </c>
      <c r="B18" s="198">
        <v>0.375</v>
      </c>
      <c r="C18" s="199" t="s">
        <v>320</v>
      </c>
      <c r="D18" s="79">
        <v>81463</v>
      </c>
      <c r="E18" s="80">
        <f>IF(D18&gt;0,D18-D17,"")</f>
        <v>131</v>
      </c>
      <c r="F18" s="200">
        <f t="shared" si="9"/>
        <v>190</v>
      </c>
      <c r="G18" s="210">
        <v>36</v>
      </c>
      <c r="H18" s="209">
        <v>41</v>
      </c>
      <c r="I18" s="210">
        <v>15</v>
      </c>
      <c r="J18" s="211">
        <v>20</v>
      </c>
      <c r="K18" s="209" t="s">
        <v>136</v>
      </c>
      <c r="L18" s="209" t="s">
        <v>136</v>
      </c>
      <c r="M18" s="209"/>
      <c r="N18" s="209">
        <v>39.6</v>
      </c>
      <c r="O18" s="209">
        <v>39.5</v>
      </c>
      <c r="P18" s="79">
        <v>2.1</v>
      </c>
      <c r="Q18" s="79">
        <v>20</v>
      </c>
      <c r="R18" s="79" t="s">
        <v>136</v>
      </c>
      <c r="S18" s="209"/>
      <c r="T18" s="85" t="s">
        <v>136</v>
      </c>
      <c r="U18" s="209"/>
      <c r="V18" s="212">
        <v>87</v>
      </c>
      <c r="W18" s="212">
        <v>22</v>
      </c>
      <c r="X18" s="209">
        <v>89</v>
      </c>
      <c r="Y18" s="209">
        <v>100</v>
      </c>
      <c r="Z18" s="209"/>
      <c r="AA18" s="212">
        <v>90</v>
      </c>
      <c r="AB18" s="212">
        <v>13</v>
      </c>
      <c r="AC18" s="213">
        <v>100</v>
      </c>
      <c r="AD18" s="213">
        <v>54</v>
      </c>
      <c r="AE18" s="209" t="s">
        <v>134</v>
      </c>
      <c r="AF18" s="209" t="s">
        <v>134</v>
      </c>
      <c r="AG18" s="209"/>
      <c r="AH18" s="209"/>
      <c r="AI18" s="101">
        <v>0.37152777777777773</v>
      </c>
      <c r="AJ18" s="101"/>
      <c r="AK18" s="102">
        <f t="shared" si="15"/>
        <v>0</v>
      </c>
      <c r="AL18" s="103">
        <f t="shared" si="16"/>
        <v>45147.371527777781</v>
      </c>
      <c r="AM18" s="102">
        <f t="shared" si="17"/>
        <v>1</v>
      </c>
      <c r="AN18" s="102">
        <f t="shared" si="18"/>
        <v>0</v>
      </c>
      <c r="AO18" s="102">
        <f t="shared" si="19"/>
        <v>0</v>
      </c>
      <c r="AP18" s="103">
        <f t="shared" si="20"/>
        <v>45147.375</v>
      </c>
      <c r="AQ18" s="103">
        <f t="shared" si="21"/>
        <v>3.8194444447678201E-2</v>
      </c>
      <c r="AR18" s="103">
        <f t="shared" si="25"/>
        <v>3.4722222189884633E-3</v>
      </c>
      <c r="AS18" s="103">
        <f t="shared" si="22"/>
        <v>0</v>
      </c>
      <c r="AT18" s="103">
        <f t="shared" ca="1" si="23"/>
        <v>3.8194444447678201E-2</v>
      </c>
      <c r="AU18" s="104">
        <f t="shared" ca="1" si="24"/>
        <v>3.4722222189884633E-3</v>
      </c>
      <c r="AV18" s="239" t="s">
        <v>340</v>
      </c>
    </row>
    <row r="19" spans="1:48" ht="15.75" customHeight="1" x14ac:dyDescent="0.25">
      <c r="A19" s="96">
        <f t="shared" si="8"/>
        <v>45147.416666666664</v>
      </c>
      <c r="B19" s="198">
        <v>0.41666666666666702</v>
      </c>
      <c r="C19" s="199" t="s">
        <v>320</v>
      </c>
      <c r="D19" s="79">
        <v>81470</v>
      </c>
      <c r="E19" s="80">
        <f t="shared" ref="E19:E35" si="26">IF(D19&gt;0,D19-D18,"")</f>
        <v>7</v>
      </c>
      <c r="F19" s="200">
        <f t="shared" si="9"/>
        <v>190</v>
      </c>
      <c r="G19" s="210">
        <v>36</v>
      </c>
      <c r="H19" s="209">
        <v>41</v>
      </c>
      <c r="I19" s="210">
        <v>16</v>
      </c>
      <c r="J19" s="211">
        <v>20</v>
      </c>
      <c r="K19" s="209" t="s">
        <v>136</v>
      </c>
      <c r="L19" s="209" t="s">
        <v>136</v>
      </c>
      <c r="M19" s="209"/>
      <c r="N19" s="209">
        <v>39.5</v>
      </c>
      <c r="O19" s="209">
        <v>39.200000000000003</v>
      </c>
      <c r="P19" s="79">
        <v>1.8</v>
      </c>
      <c r="Q19" s="79">
        <v>20</v>
      </c>
      <c r="R19" s="79" t="s">
        <v>136</v>
      </c>
      <c r="S19" s="209"/>
      <c r="T19" s="85" t="s">
        <v>136</v>
      </c>
      <c r="U19" s="209"/>
      <c r="V19" s="212">
        <v>81</v>
      </c>
      <c r="W19" s="212">
        <v>22</v>
      </c>
      <c r="X19" s="209">
        <v>65</v>
      </c>
      <c r="Y19" s="209">
        <v>100</v>
      </c>
      <c r="Z19" s="209"/>
      <c r="AA19" s="212">
        <v>80</v>
      </c>
      <c r="AB19" s="212">
        <v>2</v>
      </c>
      <c r="AC19" s="213">
        <v>100</v>
      </c>
      <c r="AD19" s="213">
        <v>45</v>
      </c>
      <c r="AE19" s="209" t="s">
        <v>134</v>
      </c>
      <c r="AF19" s="209" t="s">
        <v>134</v>
      </c>
      <c r="AG19" s="209"/>
      <c r="AH19" s="209"/>
      <c r="AI19" s="101"/>
      <c r="AJ19" s="101"/>
      <c r="AK19" s="102">
        <f t="shared" si="15"/>
        <v>0</v>
      </c>
      <c r="AL19" s="103">
        <f t="shared" si="16"/>
        <v>45147.375</v>
      </c>
      <c r="AM19" s="102">
        <f t="shared" si="17"/>
        <v>0</v>
      </c>
      <c r="AN19" s="102">
        <f t="shared" si="18"/>
        <v>0</v>
      </c>
      <c r="AO19" s="102">
        <f t="shared" si="19"/>
        <v>0</v>
      </c>
      <c r="AP19" s="103">
        <f t="shared" si="20"/>
        <v>45147.416666666664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4.1666666666666664E-2</v>
      </c>
      <c r="AV19" s="239" t="s">
        <v>340</v>
      </c>
    </row>
    <row r="20" spans="1:48" x14ac:dyDescent="0.25">
      <c r="A20" s="96">
        <f t="shared" si="8"/>
        <v>45147.458333333336</v>
      </c>
      <c r="B20" s="198">
        <v>0.45833333333333331</v>
      </c>
      <c r="C20" s="199" t="s">
        <v>320</v>
      </c>
      <c r="D20" s="79">
        <v>81470</v>
      </c>
      <c r="E20" s="80">
        <f t="shared" si="26"/>
        <v>0</v>
      </c>
      <c r="F20" s="200">
        <f t="shared" si="9"/>
        <v>190</v>
      </c>
      <c r="G20" s="210">
        <v>37</v>
      </c>
      <c r="H20" s="209">
        <v>42</v>
      </c>
      <c r="I20" s="210">
        <v>15</v>
      </c>
      <c r="J20" s="211">
        <v>20</v>
      </c>
      <c r="K20" s="209" t="s">
        <v>136</v>
      </c>
      <c r="L20" s="209" t="s">
        <v>136</v>
      </c>
      <c r="M20" s="209"/>
      <c r="N20" s="209">
        <v>39.200000000000003</v>
      </c>
      <c r="O20" s="209">
        <v>40.1</v>
      </c>
      <c r="P20" s="79" t="s">
        <v>342</v>
      </c>
      <c r="Q20" s="79">
        <v>20</v>
      </c>
      <c r="R20" s="79" t="s">
        <v>136</v>
      </c>
      <c r="S20" s="209"/>
      <c r="T20" s="85" t="s">
        <v>136</v>
      </c>
      <c r="U20" s="209"/>
      <c r="V20" s="212">
        <v>81</v>
      </c>
      <c r="W20" s="212">
        <v>22</v>
      </c>
      <c r="X20" s="209">
        <v>65</v>
      </c>
      <c r="Y20" s="209">
        <v>50</v>
      </c>
      <c r="Z20" s="209"/>
      <c r="AA20" s="212">
        <v>80</v>
      </c>
      <c r="AB20" s="212">
        <v>6</v>
      </c>
      <c r="AC20" s="213">
        <v>100</v>
      </c>
      <c r="AD20" s="213">
        <v>48</v>
      </c>
      <c r="AE20" s="209" t="s">
        <v>134</v>
      </c>
      <c r="AF20" s="209" t="s">
        <v>134</v>
      </c>
      <c r="AG20" s="209"/>
      <c r="AH20" s="209"/>
      <c r="AI20" s="101"/>
      <c r="AJ20" s="101">
        <v>0.44305555555555554</v>
      </c>
      <c r="AK20" s="102">
        <f t="shared" si="15"/>
        <v>1</v>
      </c>
      <c r="AL20" s="103">
        <f t="shared" si="16"/>
        <v>45147.416666666672</v>
      </c>
      <c r="AM20" s="102">
        <f t="shared" si="17"/>
        <v>0</v>
      </c>
      <c r="AN20" s="102">
        <f t="shared" si="18"/>
        <v>0</v>
      </c>
      <c r="AO20" s="102">
        <f t="shared" si="19"/>
        <v>1</v>
      </c>
      <c r="AP20" s="103">
        <f t="shared" si="20"/>
        <v>45147.443055555559</v>
      </c>
      <c r="AQ20" s="103">
        <f t="shared" si="21"/>
        <v>2.425316891763174E-12</v>
      </c>
      <c r="AR20" s="103">
        <f t="shared" si="25"/>
        <v>2.6388888887595385E-2</v>
      </c>
      <c r="AS20" s="103">
        <f t="shared" si="22"/>
        <v>1.5277777776645962E-2</v>
      </c>
      <c r="AT20" s="103">
        <f t="shared" ca="1" si="23"/>
        <v>1.5277777776645962E-2</v>
      </c>
      <c r="AU20" s="104">
        <f t="shared" ca="1" si="24"/>
        <v>2.6388888890020702E-2</v>
      </c>
    </row>
    <row r="21" spans="1:48" x14ac:dyDescent="0.25">
      <c r="A21" s="96">
        <f t="shared" si="8"/>
        <v>45147.5</v>
      </c>
      <c r="B21" s="214">
        <v>0.5</v>
      </c>
      <c r="C21" s="199" t="s">
        <v>320</v>
      </c>
      <c r="D21" s="79">
        <v>81470</v>
      </c>
      <c r="E21" s="80">
        <f t="shared" si="26"/>
        <v>0</v>
      </c>
      <c r="F21" s="200">
        <f t="shared" si="9"/>
        <v>190</v>
      </c>
      <c r="G21" s="210">
        <v>36</v>
      </c>
      <c r="H21" s="209">
        <v>42</v>
      </c>
      <c r="I21" s="210">
        <v>15</v>
      </c>
      <c r="J21" s="211">
        <v>20</v>
      </c>
      <c r="K21" s="209" t="s">
        <v>136</v>
      </c>
      <c r="L21" s="209" t="s">
        <v>136</v>
      </c>
      <c r="M21" s="209"/>
      <c r="N21" s="209">
        <v>38.700000000000003</v>
      </c>
      <c r="O21" s="209">
        <v>40.5</v>
      </c>
      <c r="P21" s="79">
        <v>2.2000000000000002</v>
      </c>
      <c r="Q21" s="79">
        <v>20</v>
      </c>
      <c r="R21" s="79" t="s">
        <v>136</v>
      </c>
      <c r="S21" s="209"/>
      <c r="T21" s="85" t="s">
        <v>136</v>
      </c>
      <c r="U21" s="209"/>
      <c r="V21" s="212">
        <v>81</v>
      </c>
      <c r="W21" s="212">
        <v>22</v>
      </c>
      <c r="X21" s="209">
        <v>65</v>
      </c>
      <c r="Y21" s="209">
        <v>50</v>
      </c>
      <c r="Z21" s="209"/>
      <c r="AA21" s="212">
        <v>80</v>
      </c>
      <c r="AB21" s="212">
        <v>6</v>
      </c>
      <c r="AC21" s="213">
        <v>100</v>
      </c>
      <c r="AD21" s="213">
        <v>48</v>
      </c>
      <c r="AE21" s="209" t="s">
        <v>134</v>
      </c>
      <c r="AF21" s="209" t="s">
        <v>134</v>
      </c>
      <c r="AG21" s="209"/>
      <c r="AH21" s="209"/>
      <c r="AI21" s="101">
        <v>0.45833333333333331</v>
      </c>
      <c r="AJ21" s="101"/>
      <c r="AK21" s="102">
        <f t="shared" si="15"/>
        <v>0</v>
      </c>
      <c r="AL21" s="103">
        <f t="shared" si="16"/>
        <v>45147.458333333336</v>
      </c>
      <c r="AM21" s="102">
        <f t="shared" si="17"/>
        <v>1</v>
      </c>
      <c r="AN21" s="102">
        <f t="shared" si="18"/>
        <v>0</v>
      </c>
      <c r="AO21" s="102">
        <f t="shared" si="19"/>
        <v>0</v>
      </c>
      <c r="AP21" s="103">
        <f t="shared" si="20"/>
        <v>45147.5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2.425316891763174E-12</v>
      </c>
      <c r="AU21" s="104">
        <f t="shared" ca="1" si="24"/>
        <v>4.1666666664241347E-2</v>
      </c>
      <c r="AV21" s="239" t="s">
        <v>341</v>
      </c>
    </row>
    <row r="22" spans="1:48" ht="13.5" customHeight="1" x14ac:dyDescent="0.25">
      <c r="A22" s="96">
        <f t="shared" si="8"/>
        <v>45147.541666666664</v>
      </c>
      <c r="B22" s="214">
        <v>0.54166666666666663</v>
      </c>
      <c r="C22" s="199" t="s">
        <v>320</v>
      </c>
      <c r="D22" s="79">
        <v>81582</v>
      </c>
      <c r="E22" s="80">
        <f t="shared" si="26"/>
        <v>112</v>
      </c>
      <c r="F22" s="200">
        <f t="shared" si="9"/>
        <v>190</v>
      </c>
      <c r="G22" s="210">
        <v>37</v>
      </c>
      <c r="H22" s="209">
        <v>41</v>
      </c>
      <c r="I22" s="210">
        <v>16</v>
      </c>
      <c r="J22" s="211">
        <v>20</v>
      </c>
      <c r="K22" s="209" t="s">
        <v>136</v>
      </c>
      <c r="L22" s="209" t="s">
        <v>136</v>
      </c>
      <c r="M22" s="209"/>
      <c r="N22" s="209">
        <v>38.200000000000003</v>
      </c>
      <c r="O22" s="209">
        <v>41.1</v>
      </c>
      <c r="P22" s="79">
        <v>2.1</v>
      </c>
      <c r="Q22" s="79">
        <v>20</v>
      </c>
      <c r="R22" s="79" t="s">
        <v>136</v>
      </c>
      <c r="S22" s="209"/>
      <c r="T22" s="85" t="s">
        <v>136</v>
      </c>
      <c r="U22" s="209"/>
      <c r="V22" s="212">
        <v>85</v>
      </c>
      <c r="W22" s="212">
        <v>25</v>
      </c>
      <c r="X22" s="209">
        <v>80</v>
      </c>
      <c r="Y22" s="209">
        <v>10</v>
      </c>
      <c r="Z22" s="209"/>
      <c r="AA22" s="212">
        <v>80</v>
      </c>
      <c r="AB22" s="212">
        <v>9</v>
      </c>
      <c r="AC22" s="213">
        <v>100</v>
      </c>
      <c r="AD22" s="213">
        <v>52</v>
      </c>
      <c r="AE22" s="209" t="s">
        <v>134</v>
      </c>
      <c r="AF22" s="209" t="s">
        <v>134</v>
      </c>
      <c r="AG22" s="209"/>
      <c r="AH22" s="209"/>
      <c r="AI22" s="101"/>
      <c r="AJ22" s="101">
        <v>0.51388888888888895</v>
      </c>
      <c r="AK22" s="102">
        <f t="shared" si="15"/>
        <v>1</v>
      </c>
      <c r="AL22" s="103">
        <f t="shared" si="16"/>
        <v>45147.5</v>
      </c>
      <c r="AM22" s="102">
        <f t="shared" si="17"/>
        <v>0</v>
      </c>
      <c r="AN22" s="102">
        <f t="shared" si="18"/>
        <v>0</v>
      </c>
      <c r="AO22" s="102">
        <f t="shared" si="19"/>
        <v>1</v>
      </c>
      <c r="AP22" s="103">
        <f t="shared" si="20"/>
        <v>45147.513888888891</v>
      </c>
      <c r="AQ22" s="103">
        <f t="shared" si="21"/>
        <v>2.425316891763174E-12</v>
      </c>
      <c r="AR22" s="103">
        <f t="shared" si="25"/>
        <v>1.3888888890505768E-2</v>
      </c>
      <c r="AS22" s="103">
        <f t="shared" si="22"/>
        <v>2.7777777773735579E-2</v>
      </c>
      <c r="AT22" s="103">
        <f t="shared" ca="1" si="23"/>
        <v>2.7777777773735579E-2</v>
      </c>
      <c r="AU22" s="104">
        <f t="shared" ca="1" si="24"/>
        <v>1.3888888892931085E-2</v>
      </c>
      <c r="AV22" s="239" t="s">
        <v>343</v>
      </c>
    </row>
    <row r="23" spans="1:48" x14ac:dyDescent="0.25">
      <c r="A23" s="96">
        <f t="shared" si="8"/>
        <v>45147.583333333336</v>
      </c>
      <c r="B23" s="215">
        <v>0.58333333333333337</v>
      </c>
      <c r="C23" s="199" t="s">
        <v>320</v>
      </c>
      <c r="D23" s="79">
        <v>81612</v>
      </c>
      <c r="E23" s="80">
        <f t="shared" si="26"/>
        <v>30</v>
      </c>
      <c r="F23" s="200">
        <f t="shared" si="9"/>
        <v>190</v>
      </c>
      <c r="G23" s="210">
        <v>36</v>
      </c>
      <c r="H23" s="209">
        <v>41</v>
      </c>
      <c r="I23" s="210">
        <v>16</v>
      </c>
      <c r="J23" s="211">
        <v>20</v>
      </c>
      <c r="K23" s="209" t="s">
        <v>136</v>
      </c>
      <c r="L23" s="209" t="s">
        <v>136</v>
      </c>
      <c r="M23" s="209"/>
      <c r="N23" s="209">
        <v>37.200000000000003</v>
      </c>
      <c r="O23" s="209">
        <v>38.9</v>
      </c>
      <c r="P23" s="79">
        <v>1.8</v>
      </c>
      <c r="Q23" s="79">
        <v>20</v>
      </c>
      <c r="R23" s="209" t="s">
        <v>136</v>
      </c>
      <c r="S23" s="209"/>
      <c r="T23" s="212" t="s">
        <v>136</v>
      </c>
      <c r="U23" s="209"/>
      <c r="V23" s="212">
        <v>85</v>
      </c>
      <c r="W23" s="212">
        <v>25</v>
      </c>
      <c r="X23" s="209">
        <v>80</v>
      </c>
      <c r="Y23" s="209">
        <v>10</v>
      </c>
      <c r="Z23" s="209"/>
      <c r="AA23" s="212">
        <v>80</v>
      </c>
      <c r="AB23" s="212">
        <v>8</v>
      </c>
      <c r="AC23" s="213">
        <v>100</v>
      </c>
      <c r="AD23" s="213">
        <v>53</v>
      </c>
      <c r="AE23" s="209" t="s">
        <v>134</v>
      </c>
      <c r="AF23" s="209" t="s">
        <v>134</v>
      </c>
      <c r="AG23" s="209"/>
      <c r="AH23" s="209"/>
      <c r="AI23" s="101">
        <v>0.53472222222222221</v>
      </c>
      <c r="AJ23" s="101">
        <v>0.5625</v>
      </c>
      <c r="AK23" s="102">
        <f t="shared" si="15"/>
        <v>1</v>
      </c>
      <c r="AL23" s="103">
        <f t="shared" si="16"/>
        <v>45147.534722222219</v>
      </c>
      <c r="AM23" s="102">
        <f t="shared" si="17"/>
        <v>1</v>
      </c>
      <c r="AN23" s="102">
        <f t="shared" si="18"/>
        <v>0</v>
      </c>
      <c r="AO23" s="102">
        <f t="shared" si="19"/>
        <v>1</v>
      </c>
      <c r="AP23" s="103">
        <f t="shared" si="20"/>
        <v>45147.5625</v>
      </c>
      <c r="AQ23" s="103">
        <f t="shared" si="21"/>
        <v>-6.9444444501035249E-3</v>
      </c>
      <c r="AR23" s="103">
        <f t="shared" si="25"/>
        <v>2.7777777781011537E-2</v>
      </c>
      <c r="AS23" s="103">
        <f t="shared" si="22"/>
        <v>2.0833333335758653E-2</v>
      </c>
      <c r="AT23" s="103">
        <f t="shared" ca="1" si="23"/>
        <v>1.3888888885655128E-2</v>
      </c>
      <c r="AU23" s="104">
        <f t="shared" ca="1" si="24"/>
        <v>2.7777777781011537E-2</v>
      </c>
      <c r="AV23" s="239" t="s">
        <v>344</v>
      </c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482</v>
      </c>
      <c r="E24" s="121">
        <f ca="1">IFERROR(D24/24/AT24,"")</f>
        <v>139.71014493413628</v>
      </c>
      <c r="F24" s="125">
        <f t="shared" si="9"/>
        <v>190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0.14374999999320909</v>
      </c>
      <c r="AU24" s="143">
        <f ca="1">SUM(AU16:AU23)</f>
        <v>0.1895833333401242</v>
      </c>
      <c r="AV24" s="239"/>
    </row>
    <row r="25" spans="1:48" ht="13.15" customHeight="1" thickTop="1" x14ac:dyDescent="0.25">
      <c r="A25" s="96">
        <f t="shared" ref="A25:A32" si="28">B25+$B$1</f>
        <v>45147.625</v>
      </c>
      <c r="B25" s="198">
        <v>0.625</v>
      </c>
      <c r="C25" s="199" t="s">
        <v>320</v>
      </c>
      <c r="D25" s="79">
        <v>81712</v>
      </c>
      <c r="E25" s="80">
        <f>IF(D25&gt;0,D25-D23,"")</f>
        <v>100</v>
      </c>
      <c r="F25" s="200">
        <f t="shared" si="9"/>
        <v>190</v>
      </c>
      <c r="G25" s="210">
        <v>36</v>
      </c>
      <c r="H25" s="210">
        <v>42</v>
      </c>
      <c r="I25" s="209">
        <v>15</v>
      </c>
      <c r="J25" s="211">
        <v>20</v>
      </c>
      <c r="K25" s="211" t="s">
        <v>136</v>
      </c>
      <c r="L25" s="209" t="s">
        <v>136</v>
      </c>
      <c r="M25" s="209"/>
      <c r="N25" s="209">
        <v>37.4</v>
      </c>
      <c r="O25" s="209">
        <v>40</v>
      </c>
      <c r="P25" s="209">
        <v>2.5</v>
      </c>
      <c r="Q25" s="209">
        <v>20</v>
      </c>
      <c r="R25" s="209" t="s">
        <v>136</v>
      </c>
      <c r="S25" s="209"/>
      <c r="T25" s="209" t="s">
        <v>136</v>
      </c>
      <c r="U25" s="212"/>
      <c r="V25" s="212">
        <v>88</v>
      </c>
      <c r="W25" s="212">
        <v>26</v>
      </c>
      <c r="X25" s="212">
        <v>62</v>
      </c>
      <c r="Y25" s="209">
        <v>60</v>
      </c>
      <c r="Z25" s="209"/>
      <c r="AA25" s="209">
        <v>50</v>
      </c>
      <c r="AB25" s="212">
        <v>5</v>
      </c>
      <c r="AC25" s="209">
        <v>30</v>
      </c>
      <c r="AD25" s="213">
        <v>39</v>
      </c>
      <c r="AE25" s="209" t="s">
        <v>134</v>
      </c>
      <c r="AF25" s="209" t="s">
        <v>134</v>
      </c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45147.583333333336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45147.5625</v>
      </c>
      <c r="AQ25" s="103">
        <f t="shared" ref="AQ25:AQ32" si="34">AL25-A25+1/24</f>
        <v>2.425316891763174E-12</v>
      </c>
      <c r="AR25" s="103">
        <f t="shared" ref="AR25:AR32" si="35">AP25-AL25</f>
        <v>-2.0833333335758653E-2</v>
      </c>
      <c r="AS25" s="103">
        <f t="shared" ref="AS25:AS32" si="36">A25-AP25</f>
        <v>6.25E-2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45147.666666666664</v>
      </c>
      <c r="B26" s="198">
        <v>0.66666666666666663</v>
      </c>
      <c r="C26" s="199" t="s">
        <v>320</v>
      </c>
      <c r="D26" s="79">
        <v>81837</v>
      </c>
      <c r="E26" s="80">
        <f t="shared" si="26"/>
        <v>125</v>
      </c>
      <c r="F26" s="200">
        <f t="shared" si="9"/>
        <v>190</v>
      </c>
      <c r="G26" s="210">
        <v>36</v>
      </c>
      <c r="H26" s="210">
        <v>42</v>
      </c>
      <c r="I26" s="209">
        <v>15</v>
      </c>
      <c r="J26" s="211">
        <v>20</v>
      </c>
      <c r="K26" s="211" t="s">
        <v>136</v>
      </c>
      <c r="L26" s="209" t="s">
        <v>136</v>
      </c>
      <c r="M26" s="209"/>
      <c r="N26" s="209">
        <v>32.5</v>
      </c>
      <c r="O26" s="209">
        <v>36.799999999999997</v>
      </c>
      <c r="P26" s="209">
        <v>2.8</v>
      </c>
      <c r="Q26" s="209">
        <v>20</v>
      </c>
      <c r="R26" s="209" t="s">
        <v>136</v>
      </c>
      <c r="S26" s="209"/>
      <c r="T26" s="209" t="s">
        <v>136</v>
      </c>
      <c r="U26" s="212"/>
      <c r="V26" s="212">
        <v>87</v>
      </c>
      <c r="W26" s="212">
        <v>32</v>
      </c>
      <c r="X26" s="212">
        <v>62</v>
      </c>
      <c r="Y26" s="209">
        <v>60</v>
      </c>
      <c r="Z26" s="209"/>
      <c r="AA26" s="209">
        <v>50</v>
      </c>
      <c r="AB26" s="212">
        <v>28</v>
      </c>
      <c r="AC26" s="209">
        <v>30</v>
      </c>
      <c r="AD26" s="213">
        <v>43</v>
      </c>
      <c r="AE26" s="209" t="s">
        <v>134</v>
      </c>
      <c r="AF26" s="209" t="s">
        <v>134</v>
      </c>
      <c r="AG26" s="209"/>
      <c r="AH26" s="209"/>
      <c r="AI26" s="134"/>
      <c r="AJ26" s="145"/>
      <c r="AK26" s="102">
        <f t="shared" si="29"/>
        <v>1</v>
      </c>
      <c r="AL26" s="103">
        <f t="shared" si="30"/>
        <v>45147.625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45147.666666666664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 t="s">
        <v>345</v>
      </c>
    </row>
    <row r="27" spans="1:48" x14ac:dyDescent="0.25">
      <c r="A27" s="96">
        <f t="shared" si="28"/>
        <v>45147.708333333336</v>
      </c>
      <c r="B27" s="198">
        <v>0.70833333333333337</v>
      </c>
      <c r="C27" s="199" t="s">
        <v>320</v>
      </c>
      <c r="D27" s="79">
        <v>81945</v>
      </c>
      <c r="E27" s="80">
        <f t="shared" si="26"/>
        <v>108</v>
      </c>
      <c r="F27" s="200">
        <f t="shared" si="9"/>
        <v>190</v>
      </c>
      <c r="G27" s="210">
        <v>35</v>
      </c>
      <c r="H27" s="210">
        <v>41</v>
      </c>
      <c r="I27" s="209">
        <v>16</v>
      </c>
      <c r="J27" s="211">
        <v>20</v>
      </c>
      <c r="K27" s="211" t="s">
        <v>136</v>
      </c>
      <c r="L27" s="209" t="s">
        <v>136</v>
      </c>
      <c r="M27" s="209"/>
      <c r="N27" s="209">
        <v>37.799999999999997</v>
      </c>
      <c r="O27" s="209">
        <v>39.6</v>
      </c>
      <c r="P27" s="209">
        <v>2.6</v>
      </c>
      <c r="Q27" s="209">
        <v>20</v>
      </c>
      <c r="R27" s="209" t="s">
        <v>136</v>
      </c>
      <c r="S27" s="209"/>
      <c r="T27" s="209" t="s">
        <v>136</v>
      </c>
      <c r="U27" s="212"/>
      <c r="V27" s="212">
        <v>90</v>
      </c>
      <c r="W27" s="212">
        <v>9</v>
      </c>
      <c r="X27" s="212">
        <v>62</v>
      </c>
      <c r="Y27" s="209">
        <v>60</v>
      </c>
      <c r="Z27" s="209"/>
      <c r="AA27" s="209">
        <v>50</v>
      </c>
      <c r="AB27" s="212">
        <v>3</v>
      </c>
      <c r="AC27" s="209">
        <v>30</v>
      </c>
      <c r="AD27" s="213">
        <v>47</v>
      </c>
      <c r="AE27" s="209" t="s">
        <v>134</v>
      </c>
      <c r="AF27" s="209" t="s">
        <v>134</v>
      </c>
      <c r="AG27" s="209"/>
      <c r="AH27" s="209"/>
      <c r="AI27" s="134"/>
      <c r="AJ27" s="145"/>
      <c r="AK27" s="102">
        <f t="shared" si="29"/>
        <v>1</v>
      </c>
      <c r="AL27" s="103">
        <f t="shared" si="30"/>
        <v>45147.666666666672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45147.708333333336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45147.75</v>
      </c>
      <c r="B28" s="198">
        <v>0.75</v>
      </c>
      <c r="C28" s="199" t="s">
        <v>320</v>
      </c>
      <c r="D28" s="79">
        <v>82029</v>
      </c>
      <c r="E28" s="80">
        <f t="shared" si="26"/>
        <v>84</v>
      </c>
      <c r="F28" s="200">
        <f t="shared" si="9"/>
        <v>190</v>
      </c>
      <c r="G28" s="210">
        <v>30</v>
      </c>
      <c r="H28" s="210">
        <v>43</v>
      </c>
      <c r="I28" s="209">
        <v>15</v>
      </c>
      <c r="J28" s="211">
        <v>20</v>
      </c>
      <c r="K28" s="211" t="s">
        <v>136</v>
      </c>
      <c r="L28" s="209" t="s">
        <v>136</v>
      </c>
      <c r="M28" s="209"/>
      <c r="N28" s="209" t="s">
        <v>239</v>
      </c>
      <c r="O28" s="209" t="s">
        <v>110</v>
      </c>
      <c r="P28" s="209" t="s">
        <v>276</v>
      </c>
      <c r="Q28" s="209">
        <v>20</v>
      </c>
      <c r="R28" s="209" t="s">
        <v>136</v>
      </c>
      <c r="S28" s="209"/>
      <c r="T28" s="209" t="s">
        <v>136</v>
      </c>
      <c r="U28" s="212"/>
      <c r="V28" s="212">
        <v>82</v>
      </c>
      <c r="W28" s="212">
        <v>18</v>
      </c>
      <c r="X28" s="212">
        <v>62</v>
      </c>
      <c r="Y28" s="209">
        <v>80</v>
      </c>
      <c r="Z28" s="209"/>
      <c r="AA28" s="209">
        <v>60</v>
      </c>
      <c r="AB28" s="212">
        <v>6</v>
      </c>
      <c r="AC28" s="212">
        <v>100</v>
      </c>
      <c r="AD28" s="213">
        <v>41</v>
      </c>
      <c r="AE28" s="209" t="s">
        <v>134</v>
      </c>
      <c r="AF28" s="209" t="s">
        <v>135</v>
      </c>
      <c r="AG28" s="209"/>
      <c r="AH28" s="209"/>
      <c r="AI28" s="101"/>
      <c r="AJ28" s="101"/>
      <c r="AK28" s="102">
        <f t="shared" si="29"/>
        <v>1</v>
      </c>
      <c r="AL28" s="103">
        <f t="shared" si="30"/>
        <v>45147.708333333336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45147.75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45147.791666666664</v>
      </c>
      <c r="B29" s="198">
        <v>0.79166666666666663</v>
      </c>
      <c r="C29" s="199" t="s">
        <v>320</v>
      </c>
      <c r="D29" s="79">
        <v>82231</v>
      </c>
      <c r="E29" s="80">
        <f t="shared" si="26"/>
        <v>202</v>
      </c>
      <c r="F29" s="200">
        <f t="shared" si="9"/>
        <v>190</v>
      </c>
      <c r="G29" s="210">
        <v>32</v>
      </c>
      <c r="H29" s="210">
        <v>43</v>
      </c>
      <c r="I29" s="209">
        <v>15</v>
      </c>
      <c r="J29" s="211">
        <v>20</v>
      </c>
      <c r="K29" s="211" t="s">
        <v>136</v>
      </c>
      <c r="L29" s="209" t="s">
        <v>136</v>
      </c>
      <c r="M29" s="209"/>
      <c r="N29" s="209" t="s">
        <v>347</v>
      </c>
      <c r="O29" s="209" t="s">
        <v>178</v>
      </c>
      <c r="P29" s="209" t="s">
        <v>217</v>
      </c>
      <c r="Q29" s="209">
        <v>20</v>
      </c>
      <c r="R29" s="209" t="s">
        <v>136</v>
      </c>
      <c r="S29" s="209"/>
      <c r="T29" s="209" t="s">
        <v>136</v>
      </c>
      <c r="U29" s="212"/>
      <c r="V29" s="212">
        <v>82</v>
      </c>
      <c r="W29" s="212">
        <v>26</v>
      </c>
      <c r="X29" s="212">
        <v>62</v>
      </c>
      <c r="Y29" s="209">
        <v>90</v>
      </c>
      <c r="Z29" s="209"/>
      <c r="AA29" s="209">
        <v>100</v>
      </c>
      <c r="AB29" s="212">
        <v>10</v>
      </c>
      <c r="AC29" s="212">
        <v>50</v>
      </c>
      <c r="AD29" s="213">
        <v>40</v>
      </c>
      <c r="AE29" s="209" t="s">
        <v>134</v>
      </c>
      <c r="AF29" s="209" t="s">
        <v>134</v>
      </c>
      <c r="AG29" s="209"/>
      <c r="AH29" s="209"/>
      <c r="AI29" s="100">
        <v>0.75</v>
      </c>
      <c r="AJ29" s="101">
        <v>0.77083333333333337</v>
      </c>
      <c r="AK29" s="102">
        <f t="shared" si="29"/>
        <v>1</v>
      </c>
      <c r="AL29" s="103">
        <f t="shared" si="30"/>
        <v>45147.75</v>
      </c>
      <c r="AM29" s="102">
        <f t="shared" si="31"/>
        <v>1</v>
      </c>
      <c r="AN29" s="102">
        <f t="shared" si="32"/>
        <v>0</v>
      </c>
      <c r="AO29" s="102">
        <f t="shared" si="33"/>
        <v>1</v>
      </c>
      <c r="AP29" s="103">
        <f t="shared" si="39"/>
        <v>45147.791666666664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2.425316891763174E-12</v>
      </c>
      <c r="AU29" s="104">
        <f t="shared" ca="1" si="38"/>
        <v>4.1666666664241347E-2</v>
      </c>
      <c r="AV29" s="239" t="s">
        <v>346</v>
      </c>
    </row>
    <row r="30" spans="1:48" x14ac:dyDescent="0.25">
      <c r="A30" s="96">
        <f t="shared" si="28"/>
        <v>45147.833333333336</v>
      </c>
      <c r="B30" s="198">
        <v>0.83333333333333337</v>
      </c>
      <c r="C30" s="199" t="s">
        <v>320</v>
      </c>
      <c r="D30" s="79">
        <v>82444</v>
      </c>
      <c r="E30" s="80">
        <f t="shared" si="26"/>
        <v>213</v>
      </c>
      <c r="F30" s="200">
        <f t="shared" si="9"/>
        <v>190</v>
      </c>
      <c r="G30" s="210">
        <v>27</v>
      </c>
      <c r="H30" s="210">
        <v>43</v>
      </c>
      <c r="I30" s="209">
        <v>15</v>
      </c>
      <c r="J30" s="211">
        <v>20</v>
      </c>
      <c r="K30" s="211" t="s">
        <v>136</v>
      </c>
      <c r="L30" s="209" t="s">
        <v>136</v>
      </c>
      <c r="M30" s="209"/>
      <c r="N30" s="209" t="s">
        <v>182</v>
      </c>
      <c r="O30" s="209" t="s">
        <v>190</v>
      </c>
      <c r="P30" s="209" t="s">
        <v>303</v>
      </c>
      <c r="Q30" s="209">
        <v>20</v>
      </c>
      <c r="R30" s="209" t="s">
        <v>136</v>
      </c>
      <c r="S30" s="209"/>
      <c r="T30" s="209" t="s">
        <v>136</v>
      </c>
      <c r="U30" s="212"/>
      <c r="V30" s="212">
        <v>78</v>
      </c>
      <c r="W30" s="212">
        <v>5</v>
      </c>
      <c r="X30" s="212">
        <v>62</v>
      </c>
      <c r="Y30" s="209">
        <v>100</v>
      </c>
      <c r="Z30" s="209"/>
      <c r="AA30" s="209">
        <v>100</v>
      </c>
      <c r="AB30" s="212">
        <v>13</v>
      </c>
      <c r="AC30" s="212">
        <v>50</v>
      </c>
      <c r="AD30" s="213">
        <v>46</v>
      </c>
      <c r="AE30" s="209" t="s">
        <v>134</v>
      </c>
      <c r="AF30" s="209" t="s">
        <v>134</v>
      </c>
      <c r="AG30" s="209"/>
      <c r="AH30" s="209"/>
      <c r="AI30" s="101"/>
      <c r="AJ30" s="101"/>
      <c r="AK30" s="102">
        <f t="shared" si="29"/>
        <v>1</v>
      </c>
      <c r="AL30" s="103">
        <f t="shared" si="30"/>
        <v>45147.791666666672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45147.770833333336</v>
      </c>
      <c r="AQ30" s="103">
        <f t="shared" si="34"/>
        <v>2.425316891763174E-12</v>
      </c>
      <c r="AR30" s="103">
        <f t="shared" si="35"/>
        <v>-2.0833333335758653E-2</v>
      </c>
      <c r="AS30" s="103">
        <f t="shared" si="36"/>
        <v>6.25E-2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45147.875</v>
      </c>
      <c r="B31" s="198">
        <v>0.875</v>
      </c>
      <c r="C31" s="199" t="s">
        <v>320</v>
      </c>
      <c r="D31" s="79">
        <v>82592</v>
      </c>
      <c r="E31" s="80">
        <f t="shared" si="26"/>
        <v>148</v>
      </c>
      <c r="F31" s="200">
        <f t="shared" si="9"/>
        <v>190</v>
      </c>
      <c r="G31" s="210">
        <v>27</v>
      </c>
      <c r="H31" s="210">
        <v>42</v>
      </c>
      <c r="I31" s="209">
        <v>15</v>
      </c>
      <c r="J31" s="211">
        <v>20</v>
      </c>
      <c r="K31" s="211" t="s">
        <v>136</v>
      </c>
      <c r="L31" s="209" t="s">
        <v>136</v>
      </c>
      <c r="M31" s="209"/>
      <c r="N31" s="209" t="s">
        <v>347</v>
      </c>
      <c r="O31" s="209" t="s">
        <v>137</v>
      </c>
      <c r="P31" s="209" t="s">
        <v>276</v>
      </c>
      <c r="Q31" s="209">
        <v>20</v>
      </c>
      <c r="R31" s="209" t="s">
        <v>136</v>
      </c>
      <c r="S31" s="209"/>
      <c r="T31" s="209" t="s">
        <v>136</v>
      </c>
      <c r="U31" s="212"/>
      <c r="V31" s="212">
        <v>82</v>
      </c>
      <c r="W31" s="212">
        <v>43</v>
      </c>
      <c r="X31" s="212">
        <v>62</v>
      </c>
      <c r="Y31" s="209">
        <v>70</v>
      </c>
      <c r="Z31" s="209"/>
      <c r="AA31" s="209">
        <v>80</v>
      </c>
      <c r="AB31" s="212">
        <v>14</v>
      </c>
      <c r="AC31" s="212">
        <v>50</v>
      </c>
      <c r="AD31" s="213">
        <v>41</v>
      </c>
      <c r="AE31" s="209" t="s">
        <v>134</v>
      </c>
      <c r="AF31" s="209" t="s">
        <v>134</v>
      </c>
      <c r="AG31" s="209"/>
      <c r="AH31" s="209"/>
      <c r="AI31" s="101">
        <v>0.86041666666666661</v>
      </c>
      <c r="AJ31" s="101">
        <v>0.87152777777777779</v>
      </c>
      <c r="AK31" s="102">
        <f t="shared" si="29"/>
        <v>1</v>
      </c>
      <c r="AL31" s="103">
        <f t="shared" si="30"/>
        <v>45147.86041666667</v>
      </c>
      <c r="AM31" s="102">
        <f t="shared" si="31"/>
        <v>1</v>
      </c>
      <c r="AN31" s="102">
        <f t="shared" si="32"/>
        <v>0</v>
      </c>
      <c r="AO31" s="102">
        <f t="shared" si="33"/>
        <v>1</v>
      </c>
      <c r="AP31" s="103">
        <f t="shared" si="39"/>
        <v>45147.875</v>
      </c>
      <c r="AQ31" s="103">
        <f t="shared" si="34"/>
        <v>2.7083333336728778E-2</v>
      </c>
      <c r="AR31" s="103">
        <f t="shared" si="35"/>
        <v>1.4583333329937886E-2</v>
      </c>
      <c r="AS31" s="103">
        <f t="shared" si="36"/>
        <v>0</v>
      </c>
      <c r="AT31" s="103">
        <f t="shared" ca="1" si="37"/>
        <v>2.7083333336728778E-2</v>
      </c>
      <c r="AU31" s="104">
        <f t="shared" ca="1" si="38"/>
        <v>1.4583333329937886E-2</v>
      </c>
      <c r="AV31" s="239" t="s">
        <v>348</v>
      </c>
    </row>
    <row r="32" spans="1:48" x14ac:dyDescent="0.25">
      <c r="A32" s="96">
        <f t="shared" si="28"/>
        <v>45147.916666666664</v>
      </c>
      <c r="B32" s="198">
        <v>0.91666666666666663</v>
      </c>
      <c r="C32" s="199" t="s">
        <v>320</v>
      </c>
      <c r="D32" s="79">
        <v>82778</v>
      </c>
      <c r="E32" s="80">
        <f t="shared" si="26"/>
        <v>186</v>
      </c>
      <c r="F32" s="200">
        <f t="shared" si="9"/>
        <v>190</v>
      </c>
      <c r="G32" s="210">
        <v>28</v>
      </c>
      <c r="H32" s="210">
        <v>42</v>
      </c>
      <c r="I32" s="209">
        <v>15</v>
      </c>
      <c r="J32" s="211">
        <v>20</v>
      </c>
      <c r="K32" s="211" t="s">
        <v>136</v>
      </c>
      <c r="L32" s="209" t="s">
        <v>136</v>
      </c>
      <c r="M32" s="209"/>
      <c r="N32" s="209" t="s">
        <v>349</v>
      </c>
      <c r="O32" s="209" t="s">
        <v>230</v>
      </c>
      <c r="P32" s="209" t="s">
        <v>257</v>
      </c>
      <c r="Q32" s="209">
        <v>20</v>
      </c>
      <c r="R32" s="209" t="s">
        <v>136</v>
      </c>
      <c r="S32" s="209"/>
      <c r="T32" s="209" t="s">
        <v>136</v>
      </c>
      <c r="U32" s="212"/>
      <c r="V32" s="212">
        <v>86</v>
      </c>
      <c r="W32" s="212">
        <v>54</v>
      </c>
      <c r="X32" s="212">
        <v>63</v>
      </c>
      <c r="Y32" s="209">
        <v>80</v>
      </c>
      <c r="Z32" s="209"/>
      <c r="AA32" s="209">
        <v>100</v>
      </c>
      <c r="AB32" s="212">
        <v>12</v>
      </c>
      <c r="AC32" s="212">
        <v>50</v>
      </c>
      <c r="AD32" s="213">
        <v>44</v>
      </c>
      <c r="AE32" s="209" t="s">
        <v>134</v>
      </c>
      <c r="AF32" s="209" t="s">
        <v>134</v>
      </c>
      <c r="AG32" s="209"/>
      <c r="AH32" s="209"/>
      <c r="AI32" s="101"/>
      <c r="AJ32" s="101"/>
      <c r="AK32" s="102">
        <f t="shared" si="29"/>
        <v>1</v>
      </c>
      <c r="AL32" s="103">
        <f t="shared" si="30"/>
        <v>45147.875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45147.871527777781</v>
      </c>
      <c r="AQ32" s="103">
        <f t="shared" si="34"/>
        <v>2.425316891763174E-12</v>
      </c>
      <c r="AR32" s="103">
        <f t="shared" si="35"/>
        <v>-3.4722222189884633E-3</v>
      </c>
      <c r="AS32" s="103">
        <f t="shared" si="36"/>
        <v>4.5138888883229811E-2</v>
      </c>
      <c r="AT32" s="103">
        <f t="shared" ca="1" si="37"/>
        <v>4.1666666666666664E-2</v>
      </c>
      <c r="AU32" s="104">
        <f t="shared" ca="1" si="38"/>
        <v>0</v>
      </c>
      <c r="AV32" s="239" t="s">
        <v>350</v>
      </c>
    </row>
    <row r="33" spans="1:48" ht="13.5" thickBot="1" x14ac:dyDescent="0.3">
      <c r="A33" s="96"/>
      <c r="B33" s="7" t="s">
        <v>60</v>
      </c>
      <c r="C33" s="7"/>
      <c r="D33" s="7">
        <f>IF(D32=0,SUM(E25:E32),D32-D23)</f>
        <v>1166</v>
      </c>
      <c r="E33" s="121">
        <f ca="1">IFERROR(D33/24/AT33,"")</f>
        <v>175.33834586097828</v>
      </c>
      <c r="F33" s="121">
        <f t="shared" si="9"/>
        <v>190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0.27708333333915408</v>
      </c>
      <c r="AU33" s="143">
        <f ca="1">SUM(AU25:AU32)</f>
        <v>5.6249999994179234E-2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2817</v>
      </c>
      <c r="E35" s="80">
        <f t="shared" si="26"/>
        <v>2817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0.73541666666036087</v>
      </c>
      <c r="AU35" s="162">
        <f ca="1">+AU33+AU24+AU15</f>
        <v>0.26458333333963907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F38" s="1" t="s">
        <v>337</v>
      </c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45147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1169</v>
      </c>
      <c r="I40" s="171">
        <f>D24</f>
        <v>482</v>
      </c>
      <c r="J40" s="171">
        <f>D33</f>
        <v>1166</v>
      </c>
      <c r="K40" s="171">
        <f>I40+H40+J40</f>
        <v>2817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0.31458333332799771</v>
      </c>
      <c r="I41" s="235">
        <f ca="1">AT24</f>
        <v>0.14374999999320909</v>
      </c>
      <c r="J41" s="235">
        <f ca="1">AT33</f>
        <v>0.27708333333915408</v>
      </c>
      <c r="K41" s="235">
        <f ca="1">IF(SUM(H41:J41)=1,"24 h",SUM(H41:J41))</f>
        <v>0.73541666666036087</v>
      </c>
      <c r="L41" s="79"/>
    </row>
    <row r="42" spans="1:48" x14ac:dyDescent="0.25">
      <c r="G42" s="79" t="s">
        <v>126</v>
      </c>
      <c r="H42" s="171">
        <f ca="1">E15</f>
        <v>154.83443708871886</v>
      </c>
      <c r="I42" s="171">
        <f ca="1">E24</f>
        <v>139.71014493413628</v>
      </c>
      <c r="J42" s="171">
        <f ca="1">E33</f>
        <v>175.33834586097828</v>
      </c>
      <c r="K42" s="171">
        <f>E35</f>
        <v>2817</v>
      </c>
      <c r="L42" s="171">
        <f>F33</f>
        <v>190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79961</v>
      </c>
      <c r="H46" s="79">
        <f>+D32</f>
        <v>82778</v>
      </c>
      <c r="I46" s="79">
        <f>+D35</f>
        <v>2817</v>
      </c>
      <c r="J46" s="235">
        <v>0.91666666666666663</v>
      </c>
      <c r="K46" s="235">
        <v>0.91666666666666663</v>
      </c>
      <c r="L46" s="235">
        <v>1</v>
      </c>
      <c r="M46" s="235">
        <f ca="1">+AT35</f>
        <v>0.73541666666036087</v>
      </c>
      <c r="N46" s="79">
        <f>+L46*24</f>
        <v>24</v>
      </c>
      <c r="O46" s="238">
        <f ca="1">+AU35</f>
        <v>0.26458333333963907</v>
      </c>
      <c r="P46" s="79">
        <v>160</v>
      </c>
      <c r="Q46" s="111">
        <f ca="1">+I46/M46/24</f>
        <v>159.60339943479627</v>
      </c>
      <c r="R46" s="79" t="s">
        <v>359</v>
      </c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80125</v>
      </c>
      <c r="H48" s="79" t="e">
        <f>#REF!</f>
        <v>#REF!</v>
      </c>
      <c r="I48" s="79" t="str">
        <f>O7</f>
        <v>42.1</v>
      </c>
      <c r="J48" s="111" t="str">
        <f t="shared" ref="J48:K55" si="42">AE7</f>
        <v>Clean</v>
      </c>
      <c r="K48" s="111" t="str">
        <f t="shared" si="42"/>
        <v>Clean</v>
      </c>
      <c r="L48" s="162">
        <f ca="1">AU7</f>
        <v>-7.6327832942979512E-17</v>
      </c>
      <c r="M48" s="175" t="str">
        <f>AV7</f>
        <v>22:00 TO 23:00&gt; Plant running no problem</v>
      </c>
    </row>
    <row r="49" spans="6:13" ht="12.75" hidden="1" customHeight="1" x14ac:dyDescent="0.25">
      <c r="F49" s="1">
        <v>2</v>
      </c>
      <c r="G49" s="79">
        <f t="shared" si="41"/>
        <v>80266</v>
      </c>
      <c r="H49" s="79" t="e">
        <f>#REF!</f>
        <v>#REF!</v>
      </c>
      <c r="I49" s="79" t="str">
        <f t="shared" ref="I49:I55" si="43">O8</f>
        <v>37.8</v>
      </c>
      <c r="J49" s="111" t="str">
        <f t="shared" si="42"/>
        <v>Clean</v>
      </c>
      <c r="K49" s="111" t="str">
        <f t="shared" si="42"/>
        <v>build-up</v>
      </c>
      <c r="L49" s="162">
        <f t="shared" ref="L49:M55" ca="1" si="44">AU8</f>
        <v>4.166666665696539E-3</v>
      </c>
      <c r="M49" s="175" t="str">
        <f t="shared" si="44"/>
        <v>Stop FEO1 due to clean build-up at FEO3</v>
      </c>
    </row>
    <row r="50" spans="6:13" ht="12.75" hidden="1" customHeight="1" x14ac:dyDescent="0.25">
      <c r="F50" s="1">
        <v>3</v>
      </c>
      <c r="G50" s="79">
        <f t="shared" si="41"/>
        <v>80389</v>
      </c>
      <c r="H50" s="79" t="e">
        <f>#REF!</f>
        <v>#REF!</v>
      </c>
      <c r="I50" s="79" t="str">
        <f t="shared" si="43"/>
        <v>40.4</v>
      </c>
      <c r="J50" s="111" t="str">
        <f t="shared" si="42"/>
        <v>Clean</v>
      </c>
      <c r="K50" s="111" t="str">
        <f t="shared" si="42"/>
        <v>Clean</v>
      </c>
      <c r="L50" s="162">
        <f t="shared" ca="1" si="44"/>
        <v>6.9444444476782011E-3</v>
      </c>
      <c r="M50" s="175" t="str">
        <f t="shared" si="44"/>
        <v>01:42&gt; Stop FEL due to clean build -up at FEO1</v>
      </c>
    </row>
    <row r="51" spans="6:13" ht="12.75" hidden="1" customHeight="1" x14ac:dyDescent="0.25">
      <c r="F51" s="1">
        <v>4</v>
      </c>
      <c r="G51" s="79">
        <f t="shared" si="41"/>
        <v>80494</v>
      </c>
      <c r="H51" s="79" t="e">
        <f>#REF!</f>
        <v>#REF!</v>
      </c>
      <c r="I51" s="79" t="str">
        <f t="shared" si="43"/>
        <v>40.9</v>
      </c>
      <c r="J51" s="111" t="str">
        <f t="shared" si="42"/>
        <v>Clean</v>
      </c>
      <c r="K51" s="111" t="str">
        <f t="shared" si="42"/>
        <v>Clean</v>
      </c>
      <c r="L51" s="162">
        <f t="shared" ca="1" si="44"/>
        <v>7.6388888919609599E-3</v>
      </c>
      <c r="M51" s="175" t="str">
        <f t="shared" si="44"/>
        <v>03:00 TO 04:00&gt; Plant running good ,and getting good material</v>
      </c>
    </row>
    <row r="52" spans="6:13" ht="12.75" hidden="1" customHeight="1" x14ac:dyDescent="0.25">
      <c r="F52" s="1">
        <v>5</v>
      </c>
      <c r="G52" s="79">
        <f t="shared" si="41"/>
        <v>80667</v>
      </c>
      <c r="H52" s="79" t="e">
        <f>#REF!</f>
        <v>#REF!</v>
      </c>
      <c r="I52" s="79" t="str">
        <f>O11</f>
        <v>40.7</v>
      </c>
      <c r="J52" s="111" t="str">
        <f t="shared" si="42"/>
        <v>Clean</v>
      </c>
      <c r="K52" s="111" t="str">
        <f t="shared" si="42"/>
        <v>Clean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80861</v>
      </c>
      <c r="H53" s="79" t="e">
        <f>#REF!</f>
        <v>#REF!</v>
      </c>
      <c r="I53" s="79" t="str">
        <f t="shared" si="43"/>
        <v>40.8</v>
      </c>
      <c r="J53" s="111" t="str">
        <f t="shared" si="42"/>
        <v>Clean</v>
      </c>
      <c r="K53" s="111" t="str">
        <f t="shared" si="42"/>
        <v>build-up</v>
      </c>
      <c r="L53" s="162">
        <f t="shared" ca="1" si="44"/>
        <v>0</v>
      </c>
      <c r="M53" s="175" t="str">
        <f t="shared" si="44"/>
        <v xml:space="preserve">04:40&gt; Reduce the speed at FEO1 due to tertiary bin full </v>
      </c>
    </row>
    <row r="54" spans="6:13" ht="12.75" hidden="1" customHeight="1" x14ac:dyDescent="0.25">
      <c r="F54" s="1">
        <v>7</v>
      </c>
      <c r="G54" s="79">
        <f t="shared" si="41"/>
        <v>80999</v>
      </c>
      <c r="H54" s="79" t="e">
        <f>#REF!</f>
        <v>#REF!</v>
      </c>
      <c r="I54" s="79" t="str">
        <f t="shared" si="43"/>
        <v>41.3</v>
      </c>
      <c r="J54" s="111" t="str">
        <f t="shared" si="42"/>
        <v>Clean</v>
      </c>
      <c r="K54" s="111" t="str">
        <f t="shared" si="42"/>
        <v>Clean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81130</v>
      </c>
      <c r="H55" s="79" t="e">
        <f>#REF!</f>
        <v>#REF!</v>
      </c>
      <c r="I55" s="79">
        <f t="shared" si="43"/>
        <v>41.2</v>
      </c>
      <c r="J55" s="111" t="str">
        <f t="shared" si="42"/>
        <v>Build- up</v>
      </c>
      <c r="K55" s="111" t="str">
        <f t="shared" si="42"/>
        <v>Build- up</v>
      </c>
      <c r="L55" s="162">
        <f t="shared" ca="1" si="44"/>
        <v>0</v>
      </c>
      <c r="M55" s="175" t="str">
        <f>AV16</f>
        <v>06:02-06:52&gt; Stop FE01 to clean all feeds, FE02 AND FE03 build ups</v>
      </c>
    </row>
    <row r="56" spans="6:13" ht="12.75" hidden="1" customHeight="1" x14ac:dyDescent="0.25">
      <c r="F56" s="1">
        <v>9</v>
      </c>
      <c r="G56" s="79">
        <f t="shared" ref="G56:G63" si="45">D16</f>
        <v>81157</v>
      </c>
      <c r="H56" s="79" t="e">
        <f>#REF!</f>
        <v>#REF!</v>
      </c>
      <c r="I56" s="79">
        <f t="shared" ref="I56:I63" si="46">O16</f>
        <v>38.6</v>
      </c>
      <c r="J56" s="111" t="str">
        <f t="shared" ref="J56:K63" si="47">AE16</f>
        <v>Clean</v>
      </c>
      <c r="K56" s="111" t="str">
        <f t="shared" si="47"/>
        <v>Clean</v>
      </c>
      <c r="L56" s="162">
        <f t="shared" ref="L56:M63" ca="1" si="48">AU16</f>
        <v>3.4722222226264421E-2</v>
      </c>
      <c r="M56" s="175" t="e">
        <f>#REF!</f>
        <v>#REF!</v>
      </c>
    </row>
    <row r="57" spans="6:13" ht="12.75" hidden="1" customHeight="1" x14ac:dyDescent="0.25">
      <c r="F57" s="1">
        <v>10</v>
      </c>
      <c r="G57" s="79">
        <f t="shared" si="45"/>
        <v>81332</v>
      </c>
      <c r="H57" s="79" t="e">
        <f>#REF!</f>
        <v>#REF!</v>
      </c>
      <c r="I57" s="79">
        <f t="shared" si="46"/>
        <v>40.1</v>
      </c>
      <c r="J57" s="111" t="str">
        <f t="shared" si="47"/>
        <v>Clean</v>
      </c>
      <c r="K57" s="111" t="str">
        <f t="shared" si="47"/>
        <v>Clean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81463</v>
      </c>
      <c r="H58" s="79" t="e">
        <f>#REF!</f>
        <v>#REF!</v>
      </c>
      <c r="I58" s="79">
        <f t="shared" si="46"/>
        <v>39.5</v>
      </c>
      <c r="J58" s="111" t="str">
        <f t="shared" si="47"/>
        <v>Clean</v>
      </c>
      <c r="K58" s="111" t="str">
        <f t="shared" si="47"/>
        <v>Clean</v>
      </c>
      <c r="L58" s="162">
        <f t="shared" ca="1" si="48"/>
        <v>3.4722222189884633E-3</v>
      </c>
      <c r="M58" s="175" t="str">
        <f t="shared" si="48"/>
        <v>08:55-10:38&gt;we Stopped FE01 to inspecting the crusher because we see the smoke coming out for tertiary crusher</v>
      </c>
    </row>
    <row r="59" spans="6:13" ht="12.75" hidden="1" customHeight="1" x14ac:dyDescent="0.25">
      <c r="F59" s="1">
        <v>12</v>
      </c>
      <c r="G59" s="79">
        <f t="shared" si="45"/>
        <v>81470</v>
      </c>
      <c r="H59" s="79" t="e">
        <f>#REF!</f>
        <v>#REF!</v>
      </c>
      <c r="I59" s="79">
        <f t="shared" si="46"/>
        <v>39.200000000000003</v>
      </c>
      <c r="J59" s="111" t="str">
        <f t="shared" si="47"/>
        <v>Clean</v>
      </c>
      <c r="K59" s="111" t="str">
        <f t="shared" si="47"/>
        <v>Clean</v>
      </c>
      <c r="L59" s="162">
        <f t="shared" ca="1" si="48"/>
        <v>4.1666666666666664E-2</v>
      </c>
      <c r="M59" s="175" t="str">
        <f t="shared" si="48"/>
        <v>08:55-10:38&gt;we Stopped FE01 to inspecting the crusher because we see the smoke coming out for tertiary crusher</v>
      </c>
    </row>
    <row r="60" spans="6:13" ht="12.75" hidden="1" customHeight="1" x14ac:dyDescent="0.25">
      <c r="F60" s="1">
        <v>13</v>
      </c>
      <c r="G60" s="79">
        <f t="shared" si="45"/>
        <v>81470</v>
      </c>
      <c r="H60" s="79" t="e">
        <f>#REF!</f>
        <v>#REF!</v>
      </c>
      <c r="I60" s="79">
        <f t="shared" si="46"/>
        <v>40.1</v>
      </c>
      <c r="J60" s="111" t="str">
        <f t="shared" si="47"/>
        <v>Clean</v>
      </c>
      <c r="K60" s="111" t="str">
        <f t="shared" si="47"/>
        <v>Clean</v>
      </c>
      <c r="L60" s="162">
        <f t="shared" ca="1" si="48"/>
        <v>2.6388888890020702E-2</v>
      </c>
      <c r="M60" s="175" t="str">
        <f>AV21</f>
        <v>11:00-12:00&gt; CV06 overloaded</v>
      </c>
    </row>
    <row r="61" spans="6:13" ht="12.75" hidden="1" customHeight="1" x14ac:dyDescent="0.25">
      <c r="F61" s="1">
        <v>14</v>
      </c>
      <c r="G61" s="79">
        <f t="shared" si="45"/>
        <v>81470</v>
      </c>
      <c r="H61" s="79" t="e">
        <f>#REF!</f>
        <v>#REF!</v>
      </c>
      <c r="I61" s="79">
        <f t="shared" si="46"/>
        <v>40.5</v>
      </c>
      <c r="J61" s="111" t="str">
        <f t="shared" si="47"/>
        <v>Clean</v>
      </c>
      <c r="K61" s="111" t="str">
        <f t="shared" si="47"/>
        <v>Clean</v>
      </c>
      <c r="L61" s="162">
        <f t="shared" ca="1" si="48"/>
        <v>4.1666666664241347E-2</v>
      </c>
      <c r="M61" s="175" t="e">
        <f>#REF!</f>
        <v>#REF!</v>
      </c>
    </row>
    <row r="62" spans="6:13" ht="12.75" hidden="1" customHeight="1" x14ac:dyDescent="0.25">
      <c r="F62" s="1">
        <v>15</v>
      </c>
      <c r="G62" s="79">
        <f t="shared" si="45"/>
        <v>81582</v>
      </c>
      <c r="H62" s="79" t="e">
        <f>#REF!</f>
        <v>#REF!</v>
      </c>
      <c r="I62" s="79">
        <f t="shared" si="46"/>
        <v>41.1</v>
      </c>
      <c r="J62" s="111" t="str">
        <f t="shared" si="47"/>
        <v>Clean</v>
      </c>
      <c r="K62" s="111" t="str">
        <f t="shared" si="47"/>
        <v>Clean</v>
      </c>
      <c r="L62" s="162">
        <f t="shared" ca="1" si="48"/>
        <v>1.3888888892931085E-2</v>
      </c>
      <c r="M62" s="175" t="str">
        <f t="shared" si="48"/>
        <v>12:00-12:20&gt; CV06 overloaded; 12:50-13:00&gt;:CV08 Overloaded and tripped CV06 Overloaded now</v>
      </c>
    </row>
    <row r="63" spans="6:13" ht="12.75" hidden="1" customHeight="1" x14ac:dyDescent="0.25">
      <c r="F63" s="1">
        <v>16</v>
      </c>
      <c r="G63" s="79">
        <f t="shared" si="45"/>
        <v>81612</v>
      </c>
      <c r="H63" s="79" t="e">
        <f>#REF!</f>
        <v>#REF!</v>
      </c>
      <c r="I63" s="79">
        <f t="shared" si="46"/>
        <v>38.9</v>
      </c>
      <c r="J63" s="111" t="str">
        <f t="shared" si="47"/>
        <v>Clean</v>
      </c>
      <c r="K63" s="111" t="str">
        <f t="shared" si="47"/>
        <v>Clean</v>
      </c>
      <c r="L63" s="162">
        <f t="shared" ca="1" si="48"/>
        <v>2.7777777781011537E-2</v>
      </c>
      <c r="M63" s="175" t="str">
        <f t="shared" si="48"/>
        <v>13:00 - &gt; CC02 gap settings</v>
      </c>
    </row>
    <row r="64" spans="6:13" ht="12.75" hidden="1" customHeight="1" x14ac:dyDescent="0.25">
      <c r="F64" s="1">
        <v>17</v>
      </c>
      <c r="G64" s="79">
        <f t="shared" ref="G64:G71" si="49">D25</f>
        <v>81712</v>
      </c>
      <c r="H64" s="79" t="e">
        <f>#REF!</f>
        <v>#REF!</v>
      </c>
      <c r="I64" s="79">
        <f t="shared" ref="I64:I71" si="50">O25</f>
        <v>40</v>
      </c>
      <c r="J64" s="111" t="str">
        <f t="shared" ref="J64:K71" si="51">AE25</f>
        <v>Clean</v>
      </c>
      <c r="K64" s="111" t="str">
        <f t="shared" si="51"/>
        <v>Clean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81837</v>
      </c>
      <c r="H65" s="79" t="e">
        <f>#REF!</f>
        <v>#REF!</v>
      </c>
      <c r="I65" s="79">
        <f t="shared" si="50"/>
        <v>36.799999999999997</v>
      </c>
      <c r="J65" s="111" t="str">
        <f t="shared" si="51"/>
        <v>Clean</v>
      </c>
      <c r="K65" s="111" t="str">
        <f t="shared" si="51"/>
        <v>Clean</v>
      </c>
      <c r="L65" s="162">
        <f t="shared" ca="1" si="52"/>
        <v>0</v>
      </c>
      <c r="M65" s="175" t="str">
        <f t="shared" si="52"/>
        <v>Plant still running good for now&gt;&gt;&gt;16:28-16:33 CC02 Bin 70% is full and tripped the plant</v>
      </c>
    </row>
    <row r="66" spans="6:13" ht="12.75" hidden="1" customHeight="1" x14ac:dyDescent="0.25">
      <c r="F66" s="1">
        <v>19</v>
      </c>
      <c r="G66" s="79">
        <f t="shared" si="49"/>
        <v>81945</v>
      </c>
      <c r="H66" s="79" t="e">
        <f>#REF!</f>
        <v>#REF!</v>
      </c>
      <c r="I66" s="79">
        <f t="shared" si="50"/>
        <v>39.6</v>
      </c>
      <c r="J66" s="111" t="str">
        <f t="shared" si="51"/>
        <v>Clean</v>
      </c>
      <c r="K66" s="111" t="str">
        <f t="shared" si="51"/>
        <v>Clean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82029</v>
      </c>
      <c r="H67" s="79" t="e">
        <f>#REF!</f>
        <v>#REF!</v>
      </c>
      <c r="I67" s="79" t="str">
        <f t="shared" si="50"/>
        <v>37.9</v>
      </c>
      <c r="J67" s="111" t="str">
        <f t="shared" si="51"/>
        <v>Clean</v>
      </c>
      <c r="K67" s="111" t="str">
        <f t="shared" si="51"/>
        <v>build-up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82231</v>
      </c>
      <c r="H68" s="79" t="e">
        <f>#REF!</f>
        <v>#REF!</v>
      </c>
      <c r="I68" s="79" t="str">
        <f t="shared" si="50"/>
        <v>38.1</v>
      </c>
      <c r="J68" s="111" t="str">
        <f t="shared" si="51"/>
        <v>Clean</v>
      </c>
      <c r="K68" s="111" t="str">
        <f t="shared" si="51"/>
        <v>Clean</v>
      </c>
      <c r="L68" s="162">
        <f t="shared" ca="1" si="52"/>
        <v>4.1666666664241347E-2</v>
      </c>
      <c r="M68" s="175" t="str">
        <f t="shared" si="52"/>
        <v>18:00&gt;Stop FEL due to clean build-up at FEO1 and FEO3,Plant running no problem</v>
      </c>
    </row>
    <row r="69" spans="6:13" ht="12.75" hidden="1" customHeight="1" x14ac:dyDescent="0.25">
      <c r="F69" s="1">
        <v>22</v>
      </c>
      <c r="G69" s="79">
        <f t="shared" si="49"/>
        <v>82444</v>
      </c>
      <c r="H69" s="79" t="e">
        <f>#REF!</f>
        <v>#REF!</v>
      </c>
      <c r="I69" s="79" t="str">
        <f t="shared" si="50"/>
        <v>40.4</v>
      </c>
      <c r="J69" s="111" t="str">
        <f t="shared" si="51"/>
        <v>Clean</v>
      </c>
      <c r="K69" s="111" t="str">
        <f t="shared" si="51"/>
        <v>Clean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82592</v>
      </c>
      <c r="H70" s="79" t="e">
        <f>#REF!</f>
        <v>#REF!</v>
      </c>
      <c r="I70" s="79" t="str">
        <f t="shared" si="50"/>
        <v>38.8</v>
      </c>
      <c r="J70" s="111" t="str">
        <f t="shared" si="51"/>
        <v>Clean</v>
      </c>
      <c r="K70" s="111" t="str">
        <f t="shared" si="51"/>
        <v>Clean</v>
      </c>
      <c r="L70" s="162">
        <f t="shared" ca="1" si="52"/>
        <v>1.4583333329937886E-2</v>
      </c>
      <c r="M70" s="175" t="str">
        <f t="shared" si="52"/>
        <v>20:39&gt;Stop FEO1, Conveyor no 4 trip wire tripped</v>
      </c>
    </row>
    <row r="71" spans="6:13" hidden="1" x14ac:dyDescent="0.25">
      <c r="F71" s="1">
        <v>24</v>
      </c>
      <c r="G71" s="79">
        <f t="shared" si="49"/>
        <v>82778</v>
      </c>
      <c r="H71" s="79" t="e">
        <f>#REF!</f>
        <v>#REF!</v>
      </c>
      <c r="I71" s="79" t="str">
        <f t="shared" si="50"/>
        <v>41.5</v>
      </c>
      <c r="J71" s="111" t="str">
        <f t="shared" si="51"/>
        <v>Clean</v>
      </c>
      <c r="K71" s="111" t="str">
        <f t="shared" si="51"/>
        <v>Clean</v>
      </c>
      <c r="L71" s="162">
        <f t="shared" ca="1" si="52"/>
        <v>0</v>
      </c>
      <c r="M71" s="175" t="str">
        <f t="shared" si="52"/>
        <v>Plant running no problem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367" priority="40" operator="greaterThan">
      <formula>$I$4</formula>
    </cfRule>
    <cfRule type="cellIs" dxfId="366" priority="39" operator="lessThan">
      <formula>$I$4</formula>
    </cfRule>
  </conditionalFormatting>
  <conditionalFormatting sqref="N33">
    <cfRule type="cellIs" dxfId="365" priority="49" operator="greaterThan">
      <formula>75</formula>
    </cfRule>
    <cfRule type="cellIs" dxfId="364" priority="48" operator="lessThan">
      <formula>75</formula>
    </cfRule>
  </conditionalFormatting>
  <conditionalFormatting sqref="P15 P24 P33">
    <cfRule type="cellIs" dxfId="363" priority="38" operator="greaterThan">
      <formula>52.5</formula>
    </cfRule>
    <cfRule type="cellIs" dxfId="362" priority="37" operator="lessThan">
      <formula>52.5</formula>
    </cfRule>
  </conditionalFormatting>
  <conditionalFormatting sqref="S18:S22 U18:U22 S23:U23">
    <cfRule type="cellIs" dxfId="361" priority="17" operator="equal">
      <formula>"N"</formula>
    </cfRule>
    <cfRule type="cellIs" dxfId="360" priority="18" operator="equal">
      <formula>"Y"</formula>
    </cfRule>
  </conditionalFormatting>
  <conditionalFormatting sqref="S18:S22 U18:AB22 S23:AB23">
    <cfRule type="cellIs" dxfId="359" priority="11" operator="equal">
      <formula>"N"</formula>
    </cfRule>
    <cfRule type="cellIs" dxfId="358" priority="12" operator="equal">
      <formula>"Y"</formula>
    </cfRule>
  </conditionalFormatting>
  <conditionalFormatting sqref="T23">
    <cfRule type="cellIs" dxfId="357" priority="9" operator="equal">
      <formula>"S"</formula>
    </cfRule>
    <cfRule type="cellIs" dxfId="356" priority="10" operator="equal">
      <formula>"C"</formula>
    </cfRule>
    <cfRule type="cellIs" dxfId="355" priority="21" operator="equal">
      <formula>"N"</formula>
    </cfRule>
    <cfRule type="cellIs" dxfId="354" priority="22" operator="equal">
      <formula>"Y"</formula>
    </cfRule>
    <cfRule type="cellIs" dxfId="353" priority="23" operator="equal">
      <formula>"N"</formula>
    </cfRule>
    <cfRule type="cellIs" dxfId="352" priority="24" operator="equal">
      <formula>"Y"</formula>
    </cfRule>
  </conditionalFormatting>
  <conditionalFormatting sqref="T15:Z15">
    <cfRule type="cellIs" dxfId="351" priority="44" operator="equal">
      <formula>"N"</formula>
    </cfRule>
    <cfRule type="cellIs" dxfId="350" priority="45" operator="equal">
      <formula>"Y"</formula>
    </cfRule>
  </conditionalFormatting>
  <conditionalFormatting sqref="T6:AA14">
    <cfRule type="cellIs" dxfId="349" priority="32" operator="equal">
      <formula>"Y"</formula>
    </cfRule>
    <cfRule type="cellIs" dxfId="348" priority="31" operator="equal">
      <formula>"N"</formula>
    </cfRule>
  </conditionalFormatting>
  <conditionalFormatting sqref="T16:AA16 U17:AA17 T17:T22">
    <cfRule type="cellIs" dxfId="347" priority="7" operator="equal">
      <formula>"N"</formula>
    </cfRule>
    <cfRule type="cellIs" dxfId="346" priority="8" operator="equal">
      <formula>"Y"</formula>
    </cfRule>
  </conditionalFormatting>
  <conditionalFormatting sqref="T24:AA24 T33:AA33">
    <cfRule type="cellIs" dxfId="345" priority="35" operator="equal">
      <formula>"N"</formula>
    </cfRule>
    <cfRule type="cellIs" dxfId="344" priority="36" operator="equal">
      <formula>"Y"</formula>
    </cfRule>
  </conditionalFormatting>
  <conditionalFormatting sqref="T6:AC16 U17:AC17 T17:T22">
    <cfRule type="cellIs" dxfId="343" priority="3" operator="equal">
      <formula>"N"</formula>
    </cfRule>
    <cfRule type="cellIs" dxfId="342" priority="4" operator="equal">
      <formula>"Y"</formula>
    </cfRule>
  </conditionalFormatting>
  <conditionalFormatting sqref="T24:AC24 T33:AC33">
    <cfRule type="cellIs" dxfId="341" priority="28" operator="equal">
      <formula>"Y"</formula>
    </cfRule>
    <cfRule type="cellIs" dxfId="340" priority="27" operator="equal">
      <formula>"N"</formula>
    </cfRule>
  </conditionalFormatting>
  <conditionalFormatting sqref="U6:U24">
    <cfRule type="cellIs" dxfId="339" priority="1" operator="equal">
      <formula>"S"</formula>
    </cfRule>
    <cfRule type="cellIs" dxfId="338" priority="2" operator="equal">
      <formula>"C"</formula>
    </cfRule>
  </conditionalFormatting>
  <conditionalFormatting sqref="U33">
    <cfRule type="cellIs" dxfId="337" priority="26" operator="equal">
      <formula>"C"</formula>
    </cfRule>
    <cfRule type="cellIs" dxfId="336" priority="25" operator="equal">
      <formula>"S"</formula>
    </cfRule>
  </conditionalFormatting>
  <conditionalFormatting sqref="V15">
    <cfRule type="cellIs" dxfId="335" priority="42" operator="equal">
      <formula>"S"</formula>
    </cfRule>
    <cfRule type="cellIs" dxfId="334" priority="43" operator="equal">
      <formula>"C"</formula>
    </cfRule>
  </conditionalFormatting>
  <conditionalFormatting sqref="V18:W23">
    <cfRule type="cellIs" dxfId="333" priority="20" operator="equal">
      <formula>"C"</formula>
    </cfRule>
    <cfRule type="cellIs" dxfId="332" priority="19" operator="equal">
      <formula>"S"</formula>
    </cfRule>
  </conditionalFormatting>
  <conditionalFormatting sqref="V6:X14">
    <cfRule type="cellIs" dxfId="331" priority="29" operator="equal">
      <formula>"S"</formula>
    </cfRule>
    <cfRule type="cellIs" dxfId="330" priority="30" operator="equal">
      <formula>"C"</formula>
    </cfRule>
  </conditionalFormatting>
  <conditionalFormatting sqref="V16:X17">
    <cfRule type="cellIs" dxfId="329" priority="6" operator="equal">
      <formula>"C"</formula>
    </cfRule>
    <cfRule type="cellIs" dxfId="328" priority="5" operator="equal">
      <formula>"S"</formula>
    </cfRule>
  </conditionalFormatting>
  <conditionalFormatting sqref="V18:Z23">
    <cfRule type="cellIs" dxfId="327" priority="14" operator="equal">
      <formula>"Y"</formula>
    </cfRule>
    <cfRule type="cellIs" dxfId="326" priority="13" operator="equal">
      <formula>"N"</formula>
    </cfRule>
  </conditionalFormatting>
  <conditionalFormatting sqref="AG6:AG14">
    <cfRule type="cellIs" dxfId="325" priority="33" operator="lessThan">
      <formula>1.19</formula>
    </cfRule>
    <cfRule type="cellIs" dxfId="324" priority="34" operator="greaterThan">
      <formula>1.19</formula>
    </cfRule>
  </conditionalFormatting>
  <conditionalFormatting sqref="AG16:AG23">
    <cfRule type="cellIs" dxfId="323" priority="46" operator="lessThan">
      <formula>1.19</formula>
    </cfRule>
    <cfRule type="cellIs" dxfId="322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578F-A696-4C4F-98D1-2348BC4457E7}">
  <sheetPr>
    <pageSetUpPr fitToPage="1"/>
  </sheetPr>
  <dimension ref="A1:AV71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7" sqref="F7"/>
    </sheetView>
  </sheetViews>
  <sheetFormatPr defaultColWidth="9" defaultRowHeight="12.75" x14ac:dyDescent="0.25"/>
  <cols>
    <col min="1" max="1" width="0.28515625" style="1" customWidth="1"/>
    <col min="2" max="2" width="9.7109375" style="1" bestFit="1" customWidth="1"/>
    <col min="3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+'09 Aug 23'!B1+1</f>
        <v>45148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819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320</v>
      </c>
      <c r="D6" s="79">
        <v>82778</v>
      </c>
      <c r="E6" s="80"/>
      <c r="F6" s="200">
        <v>190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45147.958333333336</v>
      </c>
      <c r="B7" s="198">
        <v>0.95833333333333304</v>
      </c>
      <c r="C7" s="199" t="s">
        <v>320</v>
      </c>
      <c r="D7" s="79">
        <v>82921</v>
      </c>
      <c r="E7" s="80">
        <f t="shared" ref="E7:E14" si="0">IF(D7&gt;0,D7-D6,"")</f>
        <v>143</v>
      </c>
      <c r="F7" s="200">
        <f>F6</f>
        <v>190</v>
      </c>
      <c r="G7" s="79">
        <v>34</v>
      </c>
      <c r="H7" s="79">
        <v>42</v>
      </c>
      <c r="I7" s="79">
        <v>15</v>
      </c>
      <c r="J7" s="202"/>
      <c r="K7" s="202" t="s">
        <v>136</v>
      </c>
      <c r="L7" s="85" t="s">
        <v>136</v>
      </c>
      <c r="M7" s="85"/>
      <c r="N7" s="79" t="s">
        <v>353</v>
      </c>
      <c r="O7" s="79" t="s">
        <v>182</v>
      </c>
      <c r="P7" s="79" t="s">
        <v>217</v>
      </c>
      <c r="Q7" s="79">
        <v>20</v>
      </c>
      <c r="R7" s="79" t="s">
        <v>136</v>
      </c>
      <c r="S7" s="85"/>
      <c r="T7" s="85" t="s">
        <v>136</v>
      </c>
      <c r="U7" s="86"/>
      <c r="V7" s="86">
        <v>78</v>
      </c>
      <c r="W7" s="86">
        <v>59</v>
      </c>
      <c r="X7" s="86">
        <v>63</v>
      </c>
      <c r="Y7" s="85">
        <v>80</v>
      </c>
      <c r="Z7" s="85"/>
      <c r="AA7" s="85">
        <v>100</v>
      </c>
      <c r="AB7" s="86">
        <v>53</v>
      </c>
      <c r="AC7" s="86">
        <v>63</v>
      </c>
      <c r="AD7" s="203">
        <v>42</v>
      </c>
      <c r="AE7" s="79" t="s">
        <v>134</v>
      </c>
      <c r="AF7" s="115" t="s">
        <v>134</v>
      </c>
      <c r="AG7" s="115"/>
      <c r="AH7" s="115"/>
      <c r="AI7" s="101">
        <v>0.93263888888888891</v>
      </c>
      <c r="AJ7" s="101">
        <v>0.93819444444444444</v>
      </c>
      <c r="AK7" s="102">
        <f t="shared" ref="AK7:AK13" si="1">AO7</f>
        <v>1</v>
      </c>
      <c r="AL7" s="103">
        <f>IF(AI7&lt;&gt;"",AI7+$B$1-1,B7+$B$1-1/24)</f>
        <v>45147.932638888888</v>
      </c>
      <c r="AM7" s="102">
        <f>AK6</f>
        <v>1</v>
      </c>
      <c r="AN7" s="102">
        <f t="shared" ref="AN7:AN14" si="2">IF(AI7="",AM7,0)</f>
        <v>0</v>
      </c>
      <c r="AO7" s="102">
        <f t="shared" ref="AO7:AO14" si="3">IF(AJ7&lt;&gt;"",1,AN7)</f>
        <v>1</v>
      </c>
      <c r="AP7" s="103">
        <f>IF(AJ7&lt;&gt;"",AJ7+$B$1-1,B7+$B$1-1)</f>
        <v>45147.938194444447</v>
      </c>
      <c r="AQ7" s="103">
        <f t="shared" ref="AQ7:AQ14" si="4">AL7-A7+1/24</f>
        <v>1.5972222218503397E-2</v>
      </c>
      <c r="AR7" s="103">
        <f>AP7-AL7</f>
        <v>5.5555555591126904E-3</v>
      </c>
      <c r="AS7" s="103">
        <f t="shared" ref="AS7:AS14" si="5">A7-AP7</f>
        <v>2.0138888889050577E-2</v>
      </c>
      <c r="AT7" s="103">
        <f t="shared" ref="AT7:AT14" ca="1" si="6">IF(A7&lt;$AU$1,SUMPRODUCT(AM7:AO7,AQ7:AS7),0)</f>
        <v>3.6111111107553974E-2</v>
      </c>
      <c r="AU7" s="104">
        <f t="shared" ref="AU7:AU14" ca="1" si="7">IF(A7&lt;$AU$1,1/24-AT7,0)</f>
        <v>5.5555555591126904E-3</v>
      </c>
      <c r="AV7" s="239" t="s">
        <v>351</v>
      </c>
    </row>
    <row r="8" spans="1:48" x14ac:dyDescent="0.25">
      <c r="A8" s="96">
        <f t="shared" ref="A8:A23" si="8">B8+$B$1</f>
        <v>45148</v>
      </c>
      <c r="B8" s="198">
        <v>0</v>
      </c>
      <c r="C8" s="199" t="s">
        <v>320</v>
      </c>
      <c r="D8" s="79">
        <v>83035</v>
      </c>
      <c r="E8" s="80">
        <f t="shared" si="0"/>
        <v>114</v>
      </c>
      <c r="F8" s="200">
        <f t="shared" ref="F8:F33" si="9">F7</f>
        <v>190</v>
      </c>
      <c r="G8" s="79">
        <v>34</v>
      </c>
      <c r="H8" s="79">
        <v>41</v>
      </c>
      <c r="I8" s="79">
        <v>15</v>
      </c>
      <c r="J8" s="202"/>
      <c r="K8" s="258" t="s">
        <v>352</v>
      </c>
      <c r="L8" s="85" t="s">
        <v>136</v>
      </c>
      <c r="M8" s="85"/>
      <c r="N8" s="79" t="s">
        <v>324</v>
      </c>
      <c r="O8" s="79" t="s">
        <v>190</v>
      </c>
      <c r="P8" s="79" t="s">
        <v>217</v>
      </c>
      <c r="Q8" s="79">
        <v>20</v>
      </c>
      <c r="R8" s="79" t="s">
        <v>136</v>
      </c>
      <c r="S8" s="85"/>
      <c r="T8" s="85" t="s">
        <v>136</v>
      </c>
      <c r="U8" s="86"/>
      <c r="V8" s="86">
        <v>82</v>
      </c>
      <c r="W8" s="86">
        <v>14</v>
      </c>
      <c r="X8" s="86">
        <v>62</v>
      </c>
      <c r="Y8" s="85">
        <v>100</v>
      </c>
      <c r="Z8" s="85"/>
      <c r="AA8" s="85">
        <v>100</v>
      </c>
      <c r="AB8" s="86">
        <v>54</v>
      </c>
      <c r="AC8" s="86">
        <v>80</v>
      </c>
      <c r="AD8" s="203">
        <v>42</v>
      </c>
      <c r="AE8" s="115" t="s">
        <v>134</v>
      </c>
      <c r="AF8" s="115" t="s">
        <v>134</v>
      </c>
      <c r="AG8" s="115"/>
      <c r="AH8" s="115"/>
      <c r="AI8" s="101">
        <v>0.97569444444444453</v>
      </c>
      <c r="AJ8" s="101">
        <v>0.9819444444444444</v>
      </c>
      <c r="AK8" s="102">
        <f t="shared" si="1"/>
        <v>1</v>
      </c>
      <c r="AL8" s="103">
        <f>IF(AI8&lt;&gt;"",AI8+$B$1-1,B8+$B$1-1/24)</f>
        <v>45147.975694444445</v>
      </c>
      <c r="AM8" s="102">
        <f t="shared" ref="AM8:AM14" si="10">AK7</f>
        <v>1</v>
      </c>
      <c r="AN8" s="102">
        <f t="shared" si="2"/>
        <v>0</v>
      </c>
      <c r="AO8" s="102">
        <f t="shared" si="3"/>
        <v>1</v>
      </c>
      <c r="AP8" s="103">
        <f>IF(AJ8&lt;&gt;"",AJ8+$B$1-1,B8+$B$1)</f>
        <v>45147.981944444444</v>
      </c>
      <c r="AQ8" s="103">
        <f t="shared" si="4"/>
        <v>1.7361111111919549E-2</v>
      </c>
      <c r="AR8" s="103">
        <f t="shared" ref="AR8:AR14" si="11">AP8-AL8</f>
        <v>6.2499999985448085E-3</v>
      </c>
      <c r="AS8" s="103">
        <f t="shared" si="5"/>
        <v>1.8055555556202307E-2</v>
      </c>
      <c r="AT8" s="103">
        <f t="shared" ca="1" si="6"/>
        <v>3.5416666668121856E-2</v>
      </c>
      <c r="AU8" s="104">
        <f t="shared" ca="1" si="7"/>
        <v>6.2499999985448085E-3</v>
      </c>
      <c r="AV8" s="239" t="s">
        <v>354</v>
      </c>
    </row>
    <row r="9" spans="1:48" x14ac:dyDescent="0.25">
      <c r="A9" s="96">
        <f t="shared" si="8"/>
        <v>45148.041666666664</v>
      </c>
      <c r="B9" s="198">
        <v>4.1666666666666664E-2</v>
      </c>
      <c r="C9" s="199" t="s">
        <v>320</v>
      </c>
      <c r="D9" s="79">
        <v>83187</v>
      </c>
      <c r="E9" s="80">
        <f t="shared" si="0"/>
        <v>152</v>
      </c>
      <c r="F9" s="200">
        <f t="shared" si="9"/>
        <v>190</v>
      </c>
      <c r="G9" s="79">
        <v>32</v>
      </c>
      <c r="H9" s="79">
        <v>41</v>
      </c>
      <c r="I9" s="79">
        <v>15</v>
      </c>
      <c r="J9" s="202"/>
      <c r="K9" s="202" t="s">
        <v>136</v>
      </c>
      <c r="L9" s="85" t="s">
        <v>136</v>
      </c>
      <c r="M9" s="85"/>
      <c r="N9" s="79" t="s">
        <v>182</v>
      </c>
      <c r="O9" s="79" t="s">
        <v>262</v>
      </c>
      <c r="P9" s="79" t="s">
        <v>217</v>
      </c>
      <c r="Q9" s="79">
        <v>20</v>
      </c>
      <c r="R9" s="79" t="s">
        <v>136</v>
      </c>
      <c r="S9" s="85"/>
      <c r="T9" s="85" t="s">
        <v>136</v>
      </c>
      <c r="U9" s="86"/>
      <c r="V9" s="86">
        <v>80</v>
      </c>
      <c r="W9" s="86">
        <v>2</v>
      </c>
      <c r="X9" s="86">
        <v>62</v>
      </c>
      <c r="Y9" s="85">
        <v>100</v>
      </c>
      <c r="Z9" s="85"/>
      <c r="AA9" s="85">
        <v>100</v>
      </c>
      <c r="AB9" s="86">
        <v>54</v>
      </c>
      <c r="AC9" s="86">
        <v>80</v>
      </c>
      <c r="AD9" s="203">
        <v>39</v>
      </c>
      <c r="AE9" s="115" t="s">
        <v>134</v>
      </c>
      <c r="AF9" s="115" t="s">
        <v>135</v>
      </c>
      <c r="AG9" s="115"/>
      <c r="AH9" s="115"/>
      <c r="AI9" s="101">
        <v>5.486111111111111E-2</v>
      </c>
      <c r="AJ9" s="101">
        <v>5.8333333333333327E-2</v>
      </c>
      <c r="AK9" s="102">
        <f t="shared" si="1"/>
        <v>1</v>
      </c>
      <c r="AL9" s="103">
        <f t="shared" ref="AL9:AL14" si="12">IF(AI9&lt;&gt;"",AI9+$B$1,B9+$B$1-1/24)</f>
        <v>45148.054861111108</v>
      </c>
      <c r="AM9" s="102">
        <f t="shared" si="10"/>
        <v>1</v>
      </c>
      <c r="AN9" s="102">
        <f t="shared" si="2"/>
        <v>0</v>
      </c>
      <c r="AO9" s="102">
        <f t="shared" si="3"/>
        <v>1</v>
      </c>
      <c r="AP9" s="103">
        <f t="shared" ref="AP9:AP14" si="13">IF(AJ9&lt;&gt;"",AJ9+$B$1,B9+$B$1)</f>
        <v>45148.058333333334</v>
      </c>
      <c r="AQ9" s="103">
        <f t="shared" si="4"/>
        <v>5.4861111110464357E-2</v>
      </c>
      <c r="AR9" s="103">
        <f t="shared" si="11"/>
        <v>3.4722222262644209E-3</v>
      </c>
      <c r="AS9" s="103">
        <f t="shared" si="5"/>
        <v>-1.6666666670062114E-2</v>
      </c>
      <c r="AT9" s="103">
        <f t="shared" ca="1" si="6"/>
        <v>3.8194444440402243E-2</v>
      </c>
      <c r="AU9" s="104">
        <f t="shared" ca="1" si="7"/>
        <v>3.4722222262644209E-3</v>
      </c>
      <c r="AV9" s="239" t="s">
        <v>351</v>
      </c>
    </row>
    <row r="10" spans="1:48" ht="15" customHeight="1" x14ac:dyDescent="0.25">
      <c r="A10" s="96">
        <f t="shared" si="8"/>
        <v>45148.083333333336</v>
      </c>
      <c r="B10" s="198">
        <v>8.3333333333333329E-2</v>
      </c>
      <c r="C10" s="199" t="s">
        <v>320</v>
      </c>
      <c r="D10" s="79">
        <v>83296</v>
      </c>
      <c r="E10" s="80">
        <f t="shared" si="0"/>
        <v>109</v>
      </c>
      <c r="F10" s="200">
        <f t="shared" si="9"/>
        <v>190</v>
      </c>
      <c r="G10" s="79">
        <v>39</v>
      </c>
      <c r="H10" s="79">
        <v>42</v>
      </c>
      <c r="I10" s="79">
        <v>15</v>
      </c>
      <c r="J10" s="202"/>
      <c r="K10" s="202" t="s">
        <v>136</v>
      </c>
      <c r="L10" s="85" t="s">
        <v>136</v>
      </c>
      <c r="M10" s="85"/>
      <c r="N10" s="79" t="s">
        <v>231</v>
      </c>
      <c r="O10" s="79" t="s">
        <v>232</v>
      </c>
      <c r="P10" s="79" t="s">
        <v>191</v>
      </c>
      <c r="Q10" s="79">
        <v>20</v>
      </c>
      <c r="R10" s="79" t="s">
        <v>136</v>
      </c>
      <c r="S10" s="85"/>
      <c r="T10" s="85" t="s">
        <v>136</v>
      </c>
      <c r="U10" s="86"/>
      <c r="V10" s="86">
        <v>84</v>
      </c>
      <c r="W10" s="86">
        <v>25</v>
      </c>
      <c r="X10" s="86">
        <v>71</v>
      </c>
      <c r="Y10" s="85">
        <v>80</v>
      </c>
      <c r="Z10" s="85"/>
      <c r="AA10" s="85">
        <v>100</v>
      </c>
      <c r="AB10" s="86">
        <v>54</v>
      </c>
      <c r="AC10" s="86">
        <v>100</v>
      </c>
      <c r="AD10" s="203">
        <v>48</v>
      </c>
      <c r="AE10" s="115" t="s">
        <v>134</v>
      </c>
      <c r="AF10" s="115" t="s">
        <v>135</v>
      </c>
      <c r="AG10" s="115"/>
      <c r="AH10" s="115"/>
      <c r="AI10" s="101"/>
      <c r="AJ10" s="101"/>
      <c r="AK10" s="102">
        <f t="shared" si="1"/>
        <v>1</v>
      </c>
      <c r="AL10" s="103">
        <f t="shared" si="12"/>
        <v>45148.041666666672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45148.083333333336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45148.125</v>
      </c>
      <c r="B11" s="198">
        <v>0.125</v>
      </c>
      <c r="C11" s="199" t="s">
        <v>320</v>
      </c>
      <c r="D11" s="79">
        <v>83467</v>
      </c>
      <c r="E11" s="80">
        <f t="shared" si="0"/>
        <v>171</v>
      </c>
      <c r="F11" s="200">
        <f t="shared" si="9"/>
        <v>190</v>
      </c>
      <c r="G11" s="79">
        <v>37</v>
      </c>
      <c r="H11" s="79">
        <v>44</v>
      </c>
      <c r="I11" s="79">
        <v>15</v>
      </c>
      <c r="J11" s="202"/>
      <c r="K11" s="202" t="s">
        <v>136</v>
      </c>
      <c r="L11" s="85" t="s">
        <v>136</v>
      </c>
      <c r="M11" s="85"/>
      <c r="N11" s="79" t="s">
        <v>239</v>
      </c>
      <c r="O11" s="79" t="s">
        <v>189</v>
      </c>
      <c r="P11" s="79" t="s">
        <v>171</v>
      </c>
      <c r="Q11" s="79">
        <v>20</v>
      </c>
      <c r="R11" s="79" t="s">
        <v>136</v>
      </c>
      <c r="S11" s="85"/>
      <c r="T11" s="85" t="s">
        <v>136</v>
      </c>
      <c r="U11" s="86"/>
      <c r="V11" s="86">
        <v>86</v>
      </c>
      <c r="W11" s="86">
        <v>19</v>
      </c>
      <c r="X11" s="86">
        <v>61</v>
      </c>
      <c r="Y11" s="85">
        <v>90</v>
      </c>
      <c r="Z11" s="85"/>
      <c r="AA11" s="85">
        <v>100</v>
      </c>
      <c r="AB11" s="86">
        <v>54</v>
      </c>
      <c r="AC11" s="86">
        <v>100</v>
      </c>
      <c r="AD11" s="203">
        <v>43</v>
      </c>
      <c r="AE11" s="115" t="s">
        <v>134</v>
      </c>
      <c r="AF11" s="115" t="s">
        <v>134</v>
      </c>
      <c r="AG11" s="115"/>
      <c r="AH11" s="115"/>
      <c r="AI11" s="101">
        <v>0.14791666666666667</v>
      </c>
      <c r="AJ11" s="101">
        <v>0.15625</v>
      </c>
      <c r="AK11" s="102">
        <f t="shared" si="1"/>
        <v>1</v>
      </c>
      <c r="AL11" s="103">
        <f t="shared" si="12"/>
        <v>45148.147916666669</v>
      </c>
      <c r="AM11" s="102">
        <f t="shared" si="10"/>
        <v>1</v>
      </c>
      <c r="AN11" s="102">
        <f>IF(AI11="",AM11,0)</f>
        <v>0</v>
      </c>
      <c r="AO11" s="102">
        <f t="shared" si="3"/>
        <v>1</v>
      </c>
      <c r="AP11" s="103">
        <f t="shared" si="13"/>
        <v>45148.15625</v>
      </c>
      <c r="AQ11" s="103">
        <f t="shared" si="4"/>
        <v>6.4583333335273579E-2</v>
      </c>
      <c r="AR11" s="103">
        <f t="shared" si="11"/>
        <v>8.333333331393078E-3</v>
      </c>
      <c r="AS11" s="103">
        <f t="shared" si="5"/>
        <v>-3.125E-2</v>
      </c>
      <c r="AT11" s="103">
        <f t="shared" ca="1" si="6"/>
        <v>3.3333333335273579E-2</v>
      </c>
      <c r="AU11" s="104">
        <f t="shared" ca="1" si="7"/>
        <v>8.3333333313930849E-3</v>
      </c>
      <c r="AV11" s="239" t="s">
        <v>355</v>
      </c>
    </row>
    <row r="12" spans="1:48" ht="14.45" customHeight="1" x14ac:dyDescent="0.25">
      <c r="A12" s="96">
        <f t="shared" si="8"/>
        <v>45148.166666666664</v>
      </c>
      <c r="B12" s="198">
        <v>0.16666666666666666</v>
      </c>
      <c r="C12" s="199" t="s">
        <v>320</v>
      </c>
      <c r="D12" s="79">
        <v>83592</v>
      </c>
      <c r="E12" s="80">
        <f t="shared" si="0"/>
        <v>125</v>
      </c>
      <c r="F12" s="200">
        <f t="shared" si="9"/>
        <v>190</v>
      </c>
      <c r="G12" s="79">
        <v>37</v>
      </c>
      <c r="H12" s="79">
        <v>43</v>
      </c>
      <c r="I12" s="79">
        <v>15</v>
      </c>
      <c r="J12" s="202"/>
      <c r="K12" s="202" t="s">
        <v>136</v>
      </c>
      <c r="L12" s="85" t="s">
        <v>136</v>
      </c>
      <c r="M12" s="85"/>
      <c r="N12" s="79" t="s">
        <v>356</v>
      </c>
      <c r="O12" s="79" t="s">
        <v>357</v>
      </c>
      <c r="P12" s="79" t="s">
        <v>116</v>
      </c>
      <c r="Q12" s="79">
        <v>20</v>
      </c>
      <c r="R12" s="79" t="s">
        <v>136</v>
      </c>
      <c r="S12" s="85"/>
      <c r="T12" s="85" t="s">
        <v>136</v>
      </c>
      <c r="U12" s="86"/>
      <c r="V12" s="86">
        <v>89</v>
      </c>
      <c r="W12" s="86">
        <v>24</v>
      </c>
      <c r="X12" s="86">
        <v>65</v>
      </c>
      <c r="Y12" s="85">
        <v>80</v>
      </c>
      <c r="Z12" s="85"/>
      <c r="AA12" s="85">
        <v>100</v>
      </c>
      <c r="AB12" s="86">
        <v>54</v>
      </c>
      <c r="AC12" s="86">
        <v>100</v>
      </c>
      <c r="AD12" s="203">
        <v>46</v>
      </c>
      <c r="AE12" s="85" t="s">
        <v>134</v>
      </c>
      <c r="AF12" s="115" t="s">
        <v>135</v>
      </c>
      <c r="AG12" s="115"/>
      <c r="AH12" s="115"/>
      <c r="AI12" s="101"/>
      <c r="AJ12" s="101"/>
      <c r="AK12" s="102">
        <f t="shared" si="1"/>
        <v>1</v>
      </c>
      <c r="AL12" s="103">
        <f t="shared" si="12"/>
        <v>45148.125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45148.166666666664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45148.208333333336</v>
      </c>
      <c r="B13" s="198">
        <v>0.20833333333333334</v>
      </c>
      <c r="C13" s="199" t="s">
        <v>320</v>
      </c>
      <c r="D13" s="79">
        <v>83721</v>
      </c>
      <c r="E13" s="80">
        <f t="shared" si="0"/>
        <v>129</v>
      </c>
      <c r="F13" s="200">
        <f t="shared" si="9"/>
        <v>190</v>
      </c>
      <c r="G13" s="79">
        <v>27</v>
      </c>
      <c r="H13" s="79">
        <v>40</v>
      </c>
      <c r="I13" s="79">
        <v>15</v>
      </c>
      <c r="J13" s="202"/>
      <c r="K13" s="202" t="s">
        <v>136</v>
      </c>
      <c r="L13" s="85" t="s">
        <v>136</v>
      </c>
      <c r="M13" s="85"/>
      <c r="N13" s="79" t="s">
        <v>358</v>
      </c>
      <c r="O13" s="79" t="s">
        <v>178</v>
      </c>
      <c r="P13" s="79" t="s">
        <v>303</v>
      </c>
      <c r="Q13" s="79">
        <v>20</v>
      </c>
      <c r="R13" s="79" t="s">
        <v>136</v>
      </c>
      <c r="S13" s="85"/>
      <c r="T13" s="85" t="s">
        <v>136</v>
      </c>
      <c r="U13" s="86"/>
      <c r="V13" s="86">
        <v>79</v>
      </c>
      <c r="W13" s="86">
        <v>17</v>
      </c>
      <c r="X13" s="86">
        <v>79</v>
      </c>
      <c r="Y13" s="85">
        <v>80</v>
      </c>
      <c r="Z13" s="85"/>
      <c r="AA13" s="85">
        <v>70</v>
      </c>
      <c r="AB13" s="86">
        <v>54</v>
      </c>
      <c r="AC13" s="86">
        <v>100</v>
      </c>
      <c r="AD13" s="203">
        <v>100</v>
      </c>
      <c r="AE13" s="85" t="s">
        <v>134</v>
      </c>
      <c r="AF13" s="115" t="s">
        <v>134</v>
      </c>
      <c r="AG13" s="115"/>
      <c r="AH13" s="115"/>
      <c r="AI13" s="101"/>
      <c r="AJ13" s="101"/>
      <c r="AK13" s="102">
        <f t="shared" si="1"/>
        <v>1</v>
      </c>
      <c r="AL13" s="103">
        <f t="shared" si="12"/>
        <v>45148.166666666672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45148.208333333336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45148.25</v>
      </c>
      <c r="B14" s="198">
        <v>0.25</v>
      </c>
      <c r="C14" s="199" t="s">
        <v>320</v>
      </c>
      <c r="D14" s="79">
        <v>83786</v>
      </c>
      <c r="E14" s="80">
        <f t="shared" si="0"/>
        <v>65</v>
      </c>
      <c r="F14" s="204">
        <f t="shared" si="9"/>
        <v>190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45148.208333333336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45148.25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1008</v>
      </c>
      <c r="E15" s="121">
        <f ca="1">IFERROR(D15/24/AT15,"")</f>
        <v>135.60538116775987</v>
      </c>
      <c r="F15" s="125">
        <f t="shared" si="9"/>
        <v>190</v>
      </c>
      <c r="G15" s="7">
        <f>SUM(G6:G14)</f>
        <v>240</v>
      </c>
      <c r="H15" s="205"/>
      <c r="I15" s="124">
        <f>IFERROR(AVERAGE(I7:I14),"")</f>
        <v>15</v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>
        <f>IFERROR(AVERAGE(Q7:Q14),"")</f>
        <v>20</v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>
        <f t="shared" ref="AD15:AH15" si="14">IFERROR(AVERAGE(AD7:AD14),"")</f>
        <v>51.428571428571431</v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0.30972222221801832</v>
      </c>
      <c r="AU15" s="133">
        <f ca="1">SUM(AU7:AU14)</f>
        <v>2.3611111115315005E-2</v>
      </c>
      <c r="AV15" s="132"/>
    </row>
    <row r="16" spans="1:48" ht="13.15" customHeight="1" x14ac:dyDescent="0.25">
      <c r="A16" s="96">
        <f t="shared" si="8"/>
        <v>45148.291666666664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v>160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45148.25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45148.291666666664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45148.333333333336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160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45148.291666666672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45148.333333333336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0</v>
      </c>
      <c r="AV17" s="239"/>
    </row>
    <row r="18" spans="1:48" x14ac:dyDescent="0.25">
      <c r="A18" s="96">
        <f t="shared" si="8"/>
        <v>45148.375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160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45148.333333333336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45148.375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45148.416666666664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160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45148.375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45148.416666666664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0</v>
      </c>
      <c r="AV19" s="239"/>
    </row>
    <row r="20" spans="1:48" x14ac:dyDescent="0.25">
      <c r="A20" s="96">
        <f t="shared" si="8"/>
        <v>45148.458333333336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160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45148.416666666672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45148.458333333336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0</v>
      </c>
      <c r="AV20" s="239"/>
    </row>
    <row r="21" spans="1:48" x14ac:dyDescent="0.25">
      <c r="A21" s="96">
        <f t="shared" si="8"/>
        <v>45148.5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160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45148.458333333336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45148.5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0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45148.541666666664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160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45148.5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45148.541666666664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0</v>
      </c>
      <c r="AU22" s="104">
        <f t="shared" ca="1" si="24"/>
        <v>0</v>
      </c>
      <c r="AV22" s="239"/>
    </row>
    <row r="23" spans="1:48" x14ac:dyDescent="0.25">
      <c r="A23" s="96">
        <f t="shared" si="8"/>
        <v>45148.583333333336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160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45148.541666666672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45148.583333333336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0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4.1666666666666664E-2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45148.625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160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45148.583333333336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45148.625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45148.666666666664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160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45148.625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45148.666666666664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0</v>
      </c>
      <c r="AU26" s="104">
        <f t="shared" ca="1" si="38"/>
        <v>0</v>
      </c>
      <c r="AV26" s="239"/>
    </row>
    <row r="27" spans="1:48" x14ac:dyDescent="0.25">
      <c r="A27" s="96">
        <f t="shared" si="28"/>
        <v>45148.708333333336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160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45148.666666666672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45148.708333333336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0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45148.75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160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45148.708333333336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45148.75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0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45148.791666666664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160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45148.75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45148.791666666664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0</v>
      </c>
      <c r="AU29" s="104">
        <f t="shared" ca="1" si="38"/>
        <v>0</v>
      </c>
      <c r="AV29" s="239"/>
    </row>
    <row r="30" spans="1:48" x14ac:dyDescent="0.25">
      <c r="A30" s="96">
        <f t="shared" si="28"/>
        <v>45148.833333333336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160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45148.791666666672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45148.833333333336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0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45148.875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160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45148.833333333336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45148.875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8"/>
        <v>0</v>
      </c>
      <c r="AV31" s="239"/>
    </row>
    <row r="32" spans="1:48" x14ac:dyDescent="0.25">
      <c r="A32" s="96">
        <f t="shared" si="28"/>
        <v>45148.916666666664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160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45148.875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45148.916666666664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0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 t="str">
        <f ca="1">IFERROR(D33/24/AT33,"")</f>
        <v/>
      </c>
      <c r="F33" s="121">
        <f t="shared" si="9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1008</v>
      </c>
      <c r="E35" s="80">
        <f t="shared" si="26"/>
        <v>1008</v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0.351388888884685</v>
      </c>
      <c r="AU35" s="162">
        <f ca="1">+AU33+AU24+AU15</f>
        <v>2.3611111115315005E-2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45148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1008</v>
      </c>
      <c r="I40" s="171">
        <f>D24</f>
        <v>0</v>
      </c>
      <c r="J40" s="171">
        <f>D33</f>
        <v>0</v>
      </c>
      <c r="K40" s="171">
        <f>+J40+I40+H40</f>
        <v>1008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0.30972222221801832</v>
      </c>
      <c r="I41" s="235">
        <f ca="1">AT24</f>
        <v>4.1666666666666664E-2</v>
      </c>
      <c r="J41" s="235">
        <f ca="1">AT33</f>
        <v>0</v>
      </c>
      <c r="K41" s="235">
        <f ca="1">IF(SUM(H41:J41)=1,"24 h",SUM(H41:J41))</f>
        <v>0.351388888884685</v>
      </c>
      <c r="L41" s="79"/>
    </row>
    <row r="42" spans="1:48" x14ac:dyDescent="0.25">
      <c r="G42" s="79" t="s">
        <v>126</v>
      </c>
      <c r="H42" s="171">
        <f ca="1">E15</f>
        <v>135.60538116775987</v>
      </c>
      <c r="I42" s="171">
        <f ca="1">E24</f>
        <v>0</v>
      </c>
      <c r="J42" s="171" t="str">
        <f ca="1">E33</f>
        <v/>
      </c>
      <c r="K42" s="171">
        <f>E35</f>
        <v>1008</v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82778</v>
      </c>
      <c r="H46" s="79">
        <f>+D32</f>
        <v>0</v>
      </c>
      <c r="I46" s="79">
        <f>+D35</f>
        <v>1008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0.351388888884685</v>
      </c>
      <c r="N46" s="79">
        <f>+L46*24</f>
        <v>16</v>
      </c>
      <c r="O46" s="238">
        <f ca="1">+AU35</f>
        <v>2.3611111115315005E-2</v>
      </c>
      <c r="P46" s="79">
        <v>160</v>
      </c>
      <c r="Q46" s="111">
        <f ca="1">+I46/M46/24</f>
        <v>119.5256917010347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82921</v>
      </c>
      <c r="H48" s="79" t="e">
        <f>#REF!</f>
        <v>#REF!</v>
      </c>
      <c r="I48" s="79" t="str">
        <f>O7</f>
        <v>39.7</v>
      </c>
      <c r="J48" s="111" t="str">
        <f t="shared" ref="J48:K55" si="42">AE7</f>
        <v>Clean</v>
      </c>
      <c r="K48" s="111" t="str">
        <f t="shared" si="42"/>
        <v>Clean</v>
      </c>
      <c r="L48" s="162">
        <f ca="1">AU7</f>
        <v>5.5555555591126904E-3</v>
      </c>
      <c r="M48" s="175" t="str">
        <f>AV7</f>
        <v>Stop FEO1 due to clean  build -up at FEO3</v>
      </c>
    </row>
    <row r="49" spans="6:13" ht="12.75" hidden="1" customHeight="1" x14ac:dyDescent="0.25">
      <c r="F49" s="1">
        <v>2</v>
      </c>
      <c r="G49" s="79">
        <f t="shared" si="41"/>
        <v>83035</v>
      </c>
      <c r="H49" s="79" t="e">
        <f>#REF!</f>
        <v>#REF!</v>
      </c>
      <c r="I49" s="79" t="str">
        <f t="shared" ref="I49:I55" si="43">O8</f>
        <v>40.4</v>
      </c>
      <c r="J49" s="111" t="str">
        <f t="shared" si="42"/>
        <v>Clean</v>
      </c>
      <c r="K49" s="111" t="str">
        <f t="shared" si="42"/>
        <v>Clean</v>
      </c>
      <c r="L49" s="162">
        <f t="shared" ref="L49:M55" ca="1" si="44">AU8</f>
        <v>6.2499999985448085E-3</v>
      </c>
      <c r="M49" s="175" t="str">
        <f t="shared" si="44"/>
        <v>Stop FEO1 due Secondary bin full, received more rocks from FEO1</v>
      </c>
    </row>
    <row r="50" spans="6:13" ht="12.75" hidden="1" customHeight="1" x14ac:dyDescent="0.25">
      <c r="F50" s="1">
        <v>3</v>
      </c>
      <c r="G50" s="79">
        <f t="shared" si="41"/>
        <v>83187</v>
      </c>
      <c r="H50" s="79" t="e">
        <f>#REF!</f>
        <v>#REF!</v>
      </c>
      <c r="I50" s="79" t="str">
        <f t="shared" si="43"/>
        <v>41.8</v>
      </c>
      <c r="J50" s="111" t="str">
        <f t="shared" si="42"/>
        <v>Clean</v>
      </c>
      <c r="K50" s="111" t="str">
        <f t="shared" si="42"/>
        <v>build-up</v>
      </c>
      <c r="L50" s="162">
        <f t="shared" ca="1" si="44"/>
        <v>3.4722222262644209E-3</v>
      </c>
      <c r="M50" s="175" t="str">
        <f t="shared" si="44"/>
        <v>Stop FEO1 due to clean  build -up at FEO3</v>
      </c>
    </row>
    <row r="51" spans="6:13" ht="12.75" hidden="1" customHeight="1" x14ac:dyDescent="0.25">
      <c r="F51" s="1">
        <v>4</v>
      </c>
      <c r="G51" s="79">
        <f t="shared" si="41"/>
        <v>83296</v>
      </c>
      <c r="H51" s="79" t="e">
        <f>#REF!</f>
        <v>#REF!</v>
      </c>
      <c r="I51" s="79" t="str">
        <f t="shared" si="43"/>
        <v>40.6</v>
      </c>
      <c r="J51" s="111" t="str">
        <f t="shared" si="42"/>
        <v>Clean</v>
      </c>
      <c r="K51" s="111" t="str">
        <f t="shared" si="42"/>
        <v>build-up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83467</v>
      </c>
      <c r="H52" s="79" t="e">
        <f>#REF!</f>
        <v>#REF!</v>
      </c>
      <c r="I52" s="79" t="str">
        <f>O11</f>
        <v>39.5</v>
      </c>
      <c r="J52" s="111" t="str">
        <f t="shared" si="42"/>
        <v>Clean</v>
      </c>
      <c r="K52" s="111" t="str">
        <f t="shared" si="42"/>
        <v>Clean</v>
      </c>
      <c r="L52" s="162">
        <f t="shared" ca="1" si="44"/>
        <v>8.3333333313930849E-3</v>
      </c>
      <c r="M52" s="175" t="str">
        <f t="shared" si="44"/>
        <v>Stop FEL due to clean build-up at FEO1</v>
      </c>
    </row>
    <row r="53" spans="6:13" ht="12.75" hidden="1" customHeight="1" x14ac:dyDescent="0.25">
      <c r="F53" s="1">
        <v>6</v>
      </c>
      <c r="G53" s="79">
        <f t="shared" si="41"/>
        <v>83592</v>
      </c>
      <c r="H53" s="79" t="e">
        <f>#REF!</f>
        <v>#REF!</v>
      </c>
      <c r="I53" s="79" t="str">
        <f t="shared" si="43"/>
        <v>36.3</v>
      </c>
      <c r="J53" s="111" t="str">
        <f t="shared" si="42"/>
        <v>Clean</v>
      </c>
      <c r="K53" s="111" t="str">
        <f t="shared" si="42"/>
        <v>build-up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83721</v>
      </c>
      <c r="H54" s="79" t="e">
        <f>#REF!</f>
        <v>#REF!</v>
      </c>
      <c r="I54" s="79" t="str">
        <f t="shared" si="43"/>
        <v>38.1</v>
      </c>
      <c r="J54" s="111" t="str">
        <f t="shared" si="42"/>
        <v>Clean</v>
      </c>
      <c r="K54" s="111" t="str">
        <f t="shared" si="42"/>
        <v>Clean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83786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321" priority="40" operator="greaterThan">
      <formula>$I$4</formula>
    </cfRule>
    <cfRule type="cellIs" dxfId="320" priority="39" operator="lessThan">
      <formula>$I$4</formula>
    </cfRule>
  </conditionalFormatting>
  <conditionalFormatting sqref="N33">
    <cfRule type="cellIs" dxfId="319" priority="49" operator="greaterThan">
      <formula>75</formula>
    </cfRule>
    <cfRule type="cellIs" dxfId="318" priority="48" operator="lessThan">
      <formula>75</formula>
    </cfRule>
  </conditionalFormatting>
  <conditionalFormatting sqref="P15 P24 P33">
    <cfRule type="cellIs" dxfId="317" priority="38" operator="greaterThan">
      <formula>52.5</formula>
    </cfRule>
    <cfRule type="cellIs" dxfId="316" priority="37" operator="lessThan">
      <formula>52.5</formula>
    </cfRule>
  </conditionalFormatting>
  <conditionalFormatting sqref="S18:S22 U18:U22 S23:U23">
    <cfRule type="cellIs" dxfId="315" priority="17" operator="equal">
      <formula>"N"</formula>
    </cfRule>
    <cfRule type="cellIs" dxfId="314" priority="18" operator="equal">
      <formula>"Y"</formula>
    </cfRule>
  </conditionalFormatting>
  <conditionalFormatting sqref="S18:S22 U18:AB22 S23:AB23">
    <cfRule type="cellIs" dxfId="313" priority="11" operator="equal">
      <formula>"N"</formula>
    </cfRule>
    <cfRule type="cellIs" dxfId="312" priority="12" operator="equal">
      <formula>"Y"</formula>
    </cfRule>
  </conditionalFormatting>
  <conditionalFormatting sqref="T23">
    <cfRule type="cellIs" dxfId="311" priority="9" operator="equal">
      <formula>"S"</formula>
    </cfRule>
    <cfRule type="cellIs" dxfId="310" priority="10" operator="equal">
      <formula>"C"</formula>
    </cfRule>
    <cfRule type="cellIs" dxfId="309" priority="21" operator="equal">
      <formula>"N"</formula>
    </cfRule>
    <cfRule type="cellIs" dxfId="308" priority="22" operator="equal">
      <formula>"Y"</formula>
    </cfRule>
    <cfRule type="cellIs" dxfId="307" priority="23" operator="equal">
      <formula>"N"</formula>
    </cfRule>
    <cfRule type="cellIs" dxfId="306" priority="24" operator="equal">
      <formula>"Y"</formula>
    </cfRule>
  </conditionalFormatting>
  <conditionalFormatting sqref="T15:Z15">
    <cfRule type="cellIs" dxfId="305" priority="44" operator="equal">
      <formula>"N"</formula>
    </cfRule>
    <cfRule type="cellIs" dxfId="304" priority="45" operator="equal">
      <formula>"Y"</formula>
    </cfRule>
  </conditionalFormatting>
  <conditionalFormatting sqref="T6:AA14">
    <cfRule type="cellIs" dxfId="303" priority="32" operator="equal">
      <formula>"Y"</formula>
    </cfRule>
    <cfRule type="cellIs" dxfId="302" priority="31" operator="equal">
      <formula>"N"</formula>
    </cfRule>
  </conditionalFormatting>
  <conditionalFormatting sqref="T16:AA16 U17:AA17 T17:T22">
    <cfRule type="cellIs" dxfId="301" priority="7" operator="equal">
      <formula>"N"</formula>
    </cfRule>
    <cfRule type="cellIs" dxfId="300" priority="8" operator="equal">
      <formula>"Y"</formula>
    </cfRule>
  </conditionalFormatting>
  <conditionalFormatting sqref="T24:AA24 T33:AA33">
    <cfRule type="cellIs" dxfId="299" priority="35" operator="equal">
      <formula>"N"</formula>
    </cfRule>
    <cfRule type="cellIs" dxfId="298" priority="36" operator="equal">
      <formula>"Y"</formula>
    </cfRule>
  </conditionalFormatting>
  <conditionalFormatting sqref="T6:AC16 U17:AC17 T17:T22">
    <cfRule type="cellIs" dxfId="297" priority="3" operator="equal">
      <formula>"N"</formula>
    </cfRule>
    <cfRule type="cellIs" dxfId="296" priority="4" operator="equal">
      <formula>"Y"</formula>
    </cfRule>
  </conditionalFormatting>
  <conditionalFormatting sqref="T24:AC24 T33:AC33">
    <cfRule type="cellIs" dxfId="295" priority="28" operator="equal">
      <formula>"Y"</formula>
    </cfRule>
    <cfRule type="cellIs" dxfId="294" priority="27" operator="equal">
      <formula>"N"</formula>
    </cfRule>
  </conditionalFormatting>
  <conditionalFormatting sqref="U6:U24">
    <cfRule type="cellIs" dxfId="293" priority="1" operator="equal">
      <formula>"S"</formula>
    </cfRule>
    <cfRule type="cellIs" dxfId="292" priority="2" operator="equal">
      <formula>"C"</formula>
    </cfRule>
  </conditionalFormatting>
  <conditionalFormatting sqref="U33">
    <cfRule type="cellIs" dxfId="291" priority="26" operator="equal">
      <formula>"C"</formula>
    </cfRule>
    <cfRule type="cellIs" dxfId="290" priority="25" operator="equal">
      <formula>"S"</formula>
    </cfRule>
  </conditionalFormatting>
  <conditionalFormatting sqref="V15">
    <cfRule type="cellIs" dxfId="289" priority="42" operator="equal">
      <formula>"S"</formula>
    </cfRule>
    <cfRule type="cellIs" dxfId="288" priority="43" operator="equal">
      <formula>"C"</formula>
    </cfRule>
  </conditionalFormatting>
  <conditionalFormatting sqref="V18:W23">
    <cfRule type="cellIs" dxfId="287" priority="20" operator="equal">
      <formula>"C"</formula>
    </cfRule>
    <cfRule type="cellIs" dxfId="286" priority="19" operator="equal">
      <formula>"S"</formula>
    </cfRule>
  </conditionalFormatting>
  <conditionalFormatting sqref="V6:X14">
    <cfRule type="cellIs" dxfId="285" priority="29" operator="equal">
      <formula>"S"</formula>
    </cfRule>
    <cfRule type="cellIs" dxfId="284" priority="30" operator="equal">
      <formula>"C"</formula>
    </cfRule>
  </conditionalFormatting>
  <conditionalFormatting sqref="V16:X17">
    <cfRule type="cellIs" dxfId="283" priority="6" operator="equal">
      <formula>"C"</formula>
    </cfRule>
    <cfRule type="cellIs" dxfId="282" priority="5" operator="equal">
      <formula>"S"</formula>
    </cfRule>
  </conditionalFormatting>
  <conditionalFormatting sqref="V18:Z23">
    <cfRule type="cellIs" dxfId="281" priority="14" operator="equal">
      <formula>"Y"</formula>
    </cfRule>
    <cfRule type="cellIs" dxfId="280" priority="13" operator="equal">
      <formula>"N"</formula>
    </cfRule>
  </conditionalFormatting>
  <conditionalFormatting sqref="AG6:AG14">
    <cfRule type="cellIs" dxfId="279" priority="33" operator="lessThan">
      <formula>1.19</formula>
    </cfRule>
    <cfRule type="cellIs" dxfId="278" priority="34" operator="greaterThan">
      <formula>1.19</formula>
    </cfRule>
  </conditionalFormatting>
  <conditionalFormatting sqref="AG16:AG23">
    <cfRule type="cellIs" dxfId="277" priority="46" operator="lessThan">
      <formula>1.19</formula>
    </cfRule>
    <cfRule type="cellIs" dxfId="276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4FC-2556-43D6-9069-787B06DE3C4C}">
  <sheetPr>
    <pageSetUpPr fitToPage="1"/>
  </sheetPr>
  <dimension ref="A1:AV71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17" sqref="F17"/>
    </sheetView>
  </sheetViews>
  <sheetFormatPr defaultColWidth="9" defaultRowHeight="12.75" x14ac:dyDescent="0.25"/>
  <cols>
    <col min="1" max="1" width="0.28515625" style="1" customWidth="1"/>
    <col min="2" max="2" width="9.7109375" style="1" bestFit="1" customWidth="1"/>
    <col min="3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'10 Aug 23'!B1+1</f>
        <v>45149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45148.958333333336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45149.916666666672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45148.958333333336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0</v>
      </c>
      <c r="AU7" s="104">
        <f t="shared" ref="AU7:AU14" ca="1" si="7">IF(A7&lt;$AU$1,1/24-AT7,0)</f>
        <v>0</v>
      </c>
      <c r="AV7" s="239"/>
    </row>
    <row r="8" spans="1:48" x14ac:dyDescent="0.25">
      <c r="A8" s="96">
        <f t="shared" ref="A8:A23" si="8">B8+$B$1</f>
        <v>45149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45148.958333333336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45149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0</v>
      </c>
      <c r="AV8" s="239"/>
    </row>
    <row r="9" spans="1:48" x14ac:dyDescent="0.25">
      <c r="A9" s="96">
        <f t="shared" si="8"/>
        <v>45149.041666666664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45149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45149.041666666664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45149.083333333336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45149.041666666672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45149.083333333336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45149.125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45149.083333333336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45149.125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45149.166666666664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45149.125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45149.166666666664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45149.208333333336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45149.166666666672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45149.208333333336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0</v>
      </c>
      <c r="AV13" s="239"/>
    </row>
    <row r="14" spans="1:48" x14ac:dyDescent="0.25">
      <c r="A14" s="96">
        <f t="shared" si="8"/>
        <v>45149.25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45149.208333333336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45149.25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0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 t="str">
        <f ca="1">IFERROR(D15/24/AT15,"")</f>
        <v/>
      </c>
      <c r="F15" s="125">
        <f t="shared" si="9"/>
        <v>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</v>
      </c>
      <c r="AU15" s="133">
        <f ca="1">SUM(AU7:AU14)</f>
        <v>0</v>
      </c>
      <c r="AV15" s="132"/>
    </row>
    <row r="16" spans="1:48" ht="13.15" customHeight="1" x14ac:dyDescent="0.25">
      <c r="A16" s="96">
        <f t="shared" si="8"/>
        <v>45149.291666666664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v>160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45149.25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45149.291666666664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0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45149.333333333336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160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45149.291666666672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45149.333333333336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0</v>
      </c>
      <c r="AV17" s="239"/>
    </row>
    <row r="18" spans="1:48" x14ac:dyDescent="0.25">
      <c r="A18" s="96">
        <f t="shared" si="8"/>
        <v>45149.375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160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45149.333333333336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45149.375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45149.416666666664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160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45149.375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45149.416666666664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0</v>
      </c>
      <c r="AV19" s="239"/>
    </row>
    <row r="20" spans="1:48" x14ac:dyDescent="0.25">
      <c r="A20" s="96">
        <f t="shared" si="8"/>
        <v>45149.458333333336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160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45149.416666666672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45149.458333333336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0</v>
      </c>
      <c r="AV20" s="239"/>
    </row>
    <row r="21" spans="1:48" x14ac:dyDescent="0.25">
      <c r="A21" s="96">
        <f t="shared" si="8"/>
        <v>45149.5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160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45149.458333333336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45149.5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0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45149.541666666664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160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45149.5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45149.541666666664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0</v>
      </c>
      <c r="AU22" s="104">
        <f t="shared" ca="1" si="24"/>
        <v>0</v>
      </c>
      <c r="AV22" s="239"/>
    </row>
    <row r="23" spans="1:48" x14ac:dyDescent="0.25">
      <c r="A23" s="96">
        <f t="shared" si="8"/>
        <v>45149.583333333336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160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45149.541666666672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45149.583333333336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0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 t="str">
        <f ca="1">IFERROR(D24/24/AT24,"")</f>
        <v/>
      </c>
      <c r="F24" s="125">
        <f t="shared" si="9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45149.625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160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45149.583333333336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45149.625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45149.666666666664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160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45149.625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45149.666666666664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0</v>
      </c>
      <c r="AU26" s="104">
        <f t="shared" ca="1" si="38"/>
        <v>0</v>
      </c>
      <c r="AV26" s="239"/>
    </row>
    <row r="27" spans="1:48" x14ac:dyDescent="0.25">
      <c r="A27" s="96">
        <f t="shared" si="28"/>
        <v>45149.708333333336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160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45149.666666666672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45149.708333333336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0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45149.75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160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45149.708333333336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45149.75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0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45149.791666666664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160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45149.75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45149.791666666664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0</v>
      </c>
      <c r="AU29" s="104">
        <f t="shared" ca="1" si="38"/>
        <v>0</v>
      </c>
      <c r="AV29" s="239"/>
    </row>
    <row r="30" spans="1:48" x14ac:dyDescent="0.25">
      <c r="A30" s="96">
        <f t="shared" si="28"/>
        <v>45149.833333333336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160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45149.791666666672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45149.833333333336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0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45149.875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160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45149.833333333336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45149.875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8"/>
        <v>0</v>
      </c>
      <c r="AV31" s="239"/>
    </row>
    <row r="32" spans="1:48" x14ac:dyDescent="0.25">
      <c r="A32" s="96">
        <f t="shared" si="28"/>
        <v>45149.916666666664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160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45149.875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45149.916666666664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0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 t="str">
        <f ca="1">IFERROR(D33/24/AT33,"")</f>
        <v/>
      </c>
      <c r="F33" s="121">
        <f t="shared" si="9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</v>
      </c>
      <c r="AU35" s="162">
        <f ca="1">+AU33+AU24+AU15</f>
        <v>0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45149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+H40+J40+I40</f>
        <v>0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</v>
      </c>
      <c r="I41" s="235">
        <f ca="1">AT24</f>
        <v>0</v>
      </c>
      <c r="J41" s="235">
        <f ca="1">AT33</f>
        <v>0</v>
      </c>
      <c r="K41" s="235">
        <f ca="1">IF(SUM(H41:J41)=1,"24 h",SUM(H41:J41))</f>
        <v>0</v>
      </c>
      <c r="L41" s="79"/>
    </row>
    <row r="42" spans="1:48" x14ac:dyDescent="0.25">
      <c r="G42" s="79" t="s">
        <v>126</v>
      </c>
      <c r="H42" s="171" t="str">
        <f ca="1">E15</f>
        <v/>
      </c>
      <c r="I42" s="171" t="str">
        <f ca="1">E24</f>
        <v/>
      </c>
      <c r="J42" s="171" t="str">
        <f ca="1">E33</f>
        <v/>
      </c>
      <c r="K42" s="171" t="str">
        <f>E35</f>
        <v/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</v>
      </c>
      <c r="N46" s="79">
        <f>+L46*24</f>
        <v>16</v>
      </c>
      <c r="O46" s="238">
        <f ca="1">+AU35</f>
        <v>0</v>
      </c>
      <c r="P46" s="79">
        <v>160</v>
      </c>
      <c r="Q46" s="111" t="e">
        <f ca="1">+I46/M46/24</f>
        <v>#DIV/0!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0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275" priority="40" operator="greaterThan">
      <formula>$I$4</formula>
    </cfRule>
    <cfRule type="cellIs" dxfId="274" priority="39" operator="lessThan">
      <formula>$I$4</formula>
    </cfRule>
  </conditionalFormatting>
  <conditionalFormatting sqref="N33">
    <cfRule type="cellIs" dxfId="273" priority="49" operator="greaterThan">
      <formula>75</formula>
    </cfRule>
    <cfRule type="cellIs" dxfId="272" priority="48" operator="lessThan">
      <formula>75</formula>
    </cfRule>
  </conditionalFormatting>
  <conditionalFormatting sqref="P15 P24 P33">
    <cfRule type="cellIs" dxfId="271" priority="38" operator="greaterThan">
      <formula>52.5</formula>
    </cfRule>
    <cfRule type="cellIs" dxfId="270" priority="37" operator="lessThan">
      <formula>52.5</formula>
    </cfRule>
  </conditionalFormatting>
  <conditionalFormatting sqref="S18:S22 U18:U22 S23:U23">
    <cfRule type="cellIs" dxfId="269" priority="17" operator="equal">
      <formula>"N"</formula>
    </cfRule>
    <cfRule type="cellIs" dxfId="268" priority="18" operator="equal">
      <formula>"Y"</formula>
    </cfRule>
  </conditionalFormatting>
  <conditionalFormatting sqref="S18:S22 U18:AB22 S23:AB23">
    <cfRule type="cellIs" dxfId="267" priority="11" operator="equal">
      <formula>"N"</formula>
    </cfRule>
    <cfRule type="cellIs" dxfId="266" priority="12" operator="equal">
      <formula>"Y"</formula>
    </cfRule>
  </conditionalFormatting>
  <conditionalFormatting sqref="T23">
    <cfRule type="cellIs" dxfId="265" priority="9" operator="equal">
      <formula>"S"</formula>
    </cfRule>
    <cfRule type="cellIs" dxfId="264" priority="10" operator="equal">
      <formula>"C"</formula>
    </cfRule>
    <cfRule type="cellIs" dxfId="263" priority="21" operator="equal">
      <formula>"N"</formula>
    </cfRule>
    <cfRule type="cellIs" dxfId="262" priority="22" operator="equal">
      <formula>"Y"</formula>
    </cfRule>
    <cfRule type="cellIs" dxfId="261" priority="23" operator="equal">
      <formula>"N"</formula>
    </cfRule>
    <cfRule type="cellIs" dxfId="260" priority="24" operator="equal">
      <formula>"Y"</formula>
    </cfRule>
  </conditionalFormatting>
  <conditionalFormatting sqref="T15:Z15">
    <cfRule type="cellIs" dxfId="259" priority="44" operator="equal">
      <formula>"N"</formula>
    </cfRule>
    <cfRule type="cellIs" dxfId="258" priority="45" operator="equal">
      <formula>"Y"</formula>
    </cfRule>
  </conditionalFormatting>
  <conditionalFormatting sqref="T6:AA14">
    <cfRule type="cellIs" dxfId="257" priority="32" operator="equal">
      <formula>"Y"</formula>
    </cfRule>
    <cfRule type="cellIs" dxfId="256" priority="31" operator="equal">
      <formula>"N"</formula>
    </cfRule>
  </conditionalFormatting>
  <conditionalFormatting sqref="T16:AA16 U17:AA17 T17:T22">
    <cfRule type="cellIs" dxfId="255" priority="7" operator="equal">
      <formula>"N"</formula>
    </cfRule>
    <cfRule type="cellIs" dxfId="254" priority="8" operator="equal">
      <formula>"Y"</formula>
    </cfRule>
  </conditionalFormatting>
  <conditionalFormatting sqref="T24:AA24 T33:AA33">
    <cfRule type="cellIs" dxfId="253" priority="35" operator="equal">
      <formula>"N"</formula>
    </cfRule>
    <cfRule type="cellIs" dxfId="252" priority="36" operator="equal">
      <formula>"Y"</formula>
    </cfRule>
  </conditionalFormatting>
  <conditionalFormatting sqref="T6:AC16 U17:AC17 T17:T22">
    <cfRule type="cellIs" dxfId="251" priority="3" operator="equal">
      <formula>"N"</formula>
    </cfRule>
    <cfRule type="cellIs" dxfId="250" priority="4" operator="equal">
      <formula>"Y"</formula>
    </cfRule>
  </conditionalFormatting>
  <conditionalFormatting sqref="T24:AC24 T33:AC33">
    <cfRule type="cellIs" dxfId="249" priority="28" operator="equal">
      <formula>"Y"</formula>
    </cfRule>
    <cfRule type="cellIs" dxfId="248" priority="27" operator="equal">
      <formula>"N"</formula>
    </cfRule>
  </conditionalFormatting>
  <conditionalFormatting sqref="U6:U24">
    <cfRule type="cellIs" dxfId="247" priority="1" operator="equal">
      <formula>"S"</formula>
    </cfRule>
    <cfRule type="cellIs" dxfId="246" priority="2" operator="equal">
      <formula>"C"</formula>
    </cfRule>
  </conditionalFormatting>
  <conditionalFormatting sqref="U33">
    <cfRule type="cellIs" dxfId="245" priority="26" operator="equal">
      <formula>"C"</formula>
    </cfRule>
    <cfRule type="cellIs" dxfId="244" priority="25" operator="equal">
      <formula>"S"</formula>
    </cfRule>
  </conditionalFormatting>
  <conditionalFormatting sqref="V15">
    <cfRule type="cellIs" dxfId="243" priority="42" operator="equal">
      <formula>"S"</formula>
    </cfRule>
    <cfRule type="cellIs" dxfId="242" priority="43" operator="equal">
      <formula>"C"</formula>
    </cfRule>
  </conditionalFormatting>
  <conditionalFormatting sqref="V18:W23">
    <cfRule type="cellIs" dxfId="241" priority="20" operator="equal">
      <formula>"C"</formula>
    </cfRule>
    <cfRule type="cellIs" dxfId="240" priority="19" operator="equal">
      <formula>"S"</formula>
    </cfRule>
  </conditionalFormatting>
  <conditionalFormatting sqref="V6:X14">
    <cfRule type="cellIs" dxfId="239" priority="29" operator="equal">
      <formula>"S"</formula>
    </cfRule>
    <cfRule type="cellIs" dxfId="238" priority="30" operator="equal">
      <formula>"C"</formula>
    </cfRule>
  </conditionalFormatting>
  <conditionalFormatting sqref="V16:X17">
    <cfRule type="cellIs" dxfId="237" priority="6" operator="equal">
      <formula>"C"</formula>
    </cfRule>
    <cfRule type="cellIs" dxfId="236" priority="5" operator="equal">
      <formula>"S"</formula>
    </cfRule>
  </conditionalFormatting>
  <conditionalFormatting sqref="V18:Z23">
    <cfRule type="cellIs" dxfId="235" priority="14" operator="equal">
      <formula>"Y"</formula>
    </cfRule>
    <cfRule type="cellIs" dxfId="234" priority="13" operator="equal">
      <formula>"N"</formula>
    </cfRule>
  </conditionalFormatting>
  <conditionalFormatting sqref="AG6:AG14">
    <cfRule type="cellIs" dxfId="233" priority="33" operator="lessThan">
      <formula>1.19</formula>
    </cfRule>
    <cfRule type="cellIs" dxfId="232" priority="34" operator="greaterThan">
      <formula>1.19</formula>
    </cfRule>
  </conditionalFormatting>
  <conditionalFormatting sqref="AG16:AG23">
    <cfRule type="cellIs" dxfId="231" priority="46" operator="lessThan">
      <formula>1.19</formula>
    </cfRule>
    <cfRule type="cellIs" dxfId="230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8" scale="82" fitToWidth="2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064-3973-492E-A1D8-F47B876A45C8}">
  <dimension ref="A1:AV71"/>
  <sheetViews>
    <sheetView workbookViewId="0">
      <pane ySplit="5" topLeftCell="A6" activePane="bottomLeft" state="frozen"/>
      <selection pane="bottomLeft" activeCell="B2" sqref="B2"/>
    </sheetView>
  </sheetViews>
  <sheetFormatPr defaultColWidth="9" defaultRowHeight="12.75" x14ac:dyDescent="0.25"/>
  <cols>
    <col min="1" max="1" width="0.28515625" style="1" customWidth="1"/>
    <col min="2" max="2" width="9.7109375" style="1" bestFit="1" customWidth="1"/>
    <col min="3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+'11 Aug 23'!B1+1</f>
        <v>45150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45149.958333333336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45150.916666666672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45149.958333333336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0</v>
      </c>
      <c r="AU7" s="104">
        <f t="shared" ref="AU7:AU14" ca="1" si="7">IF(A7&lt;$AU$1,1/24-AT7,0)</f>
        <v>0</v>
      </c>
      <c r="AV7" s="239"/>
    </row>
    <row r="8" spans="1:48" x14ac:dyDescent="0.25">
      <c r="A8" s="96">
        <f t="shared" ref="A8:A23" si="8">B8+$B$1</f>
        <v>45150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45149.958333333336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45150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0</v>
      </c>
      <c r="AV8" s="239"/>
    </row>
    <row r="9" spans="1:48" x14ac:dyDescent="0.25">
      <c r="A9" s="96">
        <f t="shared" si="8"/>
        <v>45150.041666666664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45150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45150.041666666664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45150.083333333336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45150.041666666672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45150.083333333336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45150.125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45150.083333333336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45150.125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45150.166666666664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45150.125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45150.166666666664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45150.208333333336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45150.166666666672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45150.208333333336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0</v>
      </c>
      <c r="AV13" s="239"/>
    </row>
    <row r="14" spans="1:48" x14ac:dyDescent="0.25">
      <c r="A14" s="96">
        <f t="shared" si="8"/>
        <v>45150.25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45150.208333333336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45150.25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0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 t="str">
        <f ca="1">IFERROR(D15/24/AT15,"")</f>
        <v/>
      </c>
      <c r="F15" s="125">
        <f t="shared" si="9"/>
        <v>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</v>
      </c>
      <c r="AU15" s="133">
        <f ca="1">SUM(AU7:AU14)</f>
        <v>0</v>
      </c>
      <c r="AV15" s="132"/>
    </row>
    <row r="16" spans="1:48" ht="13.15" customHeight="1" x14ac:dyDescent="0.25">
      <c r="A16" s="96">
        <f t="shared" si="8"/>
        <v>45150.291666666664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v>160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45150.25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45150.291666666664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0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45150.333333333336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160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45150.291666666672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45150.333333333336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0</v>
      </c>
      <c r="AV17" s="239"/>
    </row>
    <row r="18" spans="1:48" x14ac:dyDescent="0.25">
      <c r="A18" s="96">
        <f t="shared" si="8"/>
        <v>45150.375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160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45150.333333333336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45150.375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45150.416666666664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160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45150.375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45150.416666666664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0</v>
      </c>
      <c r="AV19" s="239"/>
    </row>
    <row r="20" spans="1:48" x14ac:dyDescent="0.25">
      <c r="A20" s="96">
        <f t="shared" si="8"/>
        <v>45150.458333333336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160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45150.416666666672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45150.458333333336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0</v>
      </c>
      <c r="AV20" s="239"/>
    </row>
    <row r="21" spans="1:48" x14ac:dyDescent="0.25">
      <c r="A21" s="96">
        <f t="shared" si="8"/>
        <v>45150.5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160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45150.458333333336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45150.5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0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45150.541666666664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160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45150.5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45150.541666666664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0</v>
      </c>
      <c r="AU22" s="104">
        <f t="shared" ca="1" si="24"/>
        <v>0</v>
      </c>
      <c r="AV22" s="239"/>
    </row>
    <row r="23" spans="1:48" x14ac:dyDescent="0.25">
      <c r="A23" s="96">
        <f t="shared" si="8"/>
        <v>45150.583333333336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160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45150.541666666672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45150.583333333336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0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 t="str">
        <f ca="1">IFERROR(D24/24/AT24,"")</f>
        <v/>
      </c>
      <c r="F24" s="125">
        <f t="shared" si="9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45150.625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160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45150.583333333336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45150.625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45150.666666666664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160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45150.625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45150.666666666664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0</v>
      </c>
      <c r="AU26" s="104">
        <f t="shared" ca="1" si="38"/>
        <v>0</v>
      </c>
      <c r="AV26" s="239"/>
    </row>
    <row r="27" spans="1:48" x14ac:dyDescent="0.25">
      <c r="A27" s="96">
        <f t="shared" si="28"/>
        <v>45150.708333333336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160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45150.666666666672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45150.708333333336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0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45150.75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160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45150.708333333336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45150.75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0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45150.791666666664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160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45150.75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45150.791666666664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0</v>
      </c>
      <c r="AU29" s="104">
        <f t="shared" ca="1" si="38"/>
        <v>0</v>
      </c>
      <c r="AV29" s="239"/>
    </row>
    <row r="30" spans="1:48" x14ac:dyDescent="0.25">
      <c r="A30" s="96">
        <f t="shared" si="28"/>
        <v>45150.833333333336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160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45150.791666666672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45150.833333333336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0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45150.875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160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45150.833333333336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45150.875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8"/>
        <v>0</v>
      </c>
      <c r="AV31" s="239"/>
    </row>
    <row r="32" spans="1:48" x14ac:dyDescent="0.25">
      <c r="A32" s="96">
        <f t="shared" si="28"/>
        <v>45150.916666666664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160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45150.875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45150.916666666664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0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 t="str">
        <f ca="1">IFERROR(D33/24/AT33,"")</f>
        <v/>
      </c>
      <c r="F33" s="121">
        <f t="shared" si="9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</v>
      </c>
      <c r="AU35" s="162">
        <f ca="1">+AU33+AU24+AU15</f>
        <v>0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45150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79"/>
      <c r="L40" s="194">
        <v>3063</v>
      </c>
      <c r="Q40" s="177"/>
    </row>
    <row r="41" spans="1:48" x14ac:dyDescent="0.25">
      <c r="G41" s="79" t="s">
        <v>125</v>
      </c>
      <c r="H41" s="235">
        <f ca="1">AT15</f>
        <v>0</v>
      </c>
      <c r="I41" s="235">
        <f ca="1">AT24</f>
        <v>0</v>
      </c>
      <c r="J41" s="235">
        <f ca="1">AT33</f>
        <v>0</v>
      </c>
      <c r="K41" s="235">
        <f ca="1">IF(SUM(H41:J41)=1,"24 h",SUM(H41:J41))</f>
        <v>0</v>
      </c>
      <c r="L41" s="79"/>
    </row>
    <row r="42" spans="1:48" x14ac:dyDescent="0.25">
      <c r="G42" s="79" t="s">
        <v>126</v>
      </c>
      <c r="H42" s="171" t="str">
        <f ca="1">E15</f>
        <v/>
      </c>
      <c r="I42" s="171" t="str">
        <f ca="1">E24</f>
        <v/>
      </c>
      <c r="J42" s="171" t="str">
        <f ca="1">E33</f>
        <v/>
      </c>
      <c r="K42" s="171" t="str">
        <f>E35</f>
        <v/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</v>
      </c>
      <c r="N46" s="79">
        <f>+L46*24</f>
        <v>16</v>
      </c>
      <c r="O46" s="238">
        <f ca="1">+AU35</f>
        <v>0</v>
      </c>
      <c r="P46" s="79">
        <v>160</v>
      </c>
      <c r="Q46" s="111" t="e">
        <f ca="1">+I46/M46/24</f>
        <v>#DIV/0!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0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AG1:AH1"/>
    <mergeCell ref="L2:M2"/>
    <mergeCell ref="P2:P3"/>
    <mergeCell ref="T2:U2"/>
    <mergeCell ref="AT5:AU5"/>
    <mergeCell ref="C1:F1"/>
    <mergeCell ref="G1:M1"/>
    <mergeCell ref="N1:U1"/>
    <mergeCell ref="V1:X1"/>
    <mergeCell ref="Y1:Z1"/>
    <mergeCell ref="AA1:AD1"/>
    <mergeCell ref="AE1:AF1"/>
    <mergeCell ref="J2:J3"/>
    <mergeCell ref="K2:K3"/>
    <mergeCell ref="G2:H2"/>
    <mergeCell ref="I2:I3"/>
    <mergeCell ref="Q2:Q3"/>
    <mergeCell ref="N2:O2"/>
    <mergeCell ref="R2:R3"/>
    <mergeCell ref="S2:S3"/>
  </mergeCells>
  <conditionalFormatting sqref="I6">
    <cfRule type="cellIs" dxfId="229" priority="40" operator="greaterThan">
      <formula>$I$4</formula>
    </cfRule>
    <cfRule type="cellIs" dxfId="228" priority="39" operator="lessThan">
      <formula>$I$4</formula>
    </cfRule>
  </conditionalFormatting>
  <conditionalFormatting sqref="N33">
    <cfRule type="cellIs" dxfId="227" priority="49" operator="greaterThan">
      <formula>75</formula>
    </cfRule>
    <cfRule type="cellIs" dxfId="226" priority="48" operator="lessThan">
      <formula>75</formula>
    </cfRule>
  </conditionalFormatting>
  <conditionalFormatting sqref="P15 P24 P33">
    <cfRule type="cellIs" dxfId="225" priority="38" operator="greaterThan">
      <formula>52.5</formula>
    </cfRule>
    <cfRule type="cellIs" dxfId="224" priority="37" operator="lessThan">
      <formula>52.5</formula>
    </cfRule>
  </conditionalFormatting>
  <conditionalFormatting sqref="S18:S22 U18:U22 S23:U23">
    <cfRule type="cellIs" dxfId="223" priority="17" operator="equal">
      <formula>"N"</formula>
    </cfRule>
    <cfRule type="cellIs" dxfId="222" priority="18" operator="equal">
      <formula>"Y"</formula>
    </cfRule>
  </conditionalFormatting>
  <conditionalFormatting sqref="S18:S22 U18:AB22 S23:AB23">
    <cfRule type="cellIs" dxfId="221" priority="11" operator="equal">
      <formula>"N"</formula>
    </cfRule>
    <cfRule type="cellIs" dxfId="220" priority="12" operator="equal">
      <formula>"Y"</formula>
    </cfRule>
  </conditionalFormatting>
  <conditionalFormatting sqref="T23">
    <cfRule type="cellIs" dxfId="219" priority="9" operator="equal">
      <formula>"S"</formula>
    </cfRule>
    <cfRule type="cellIs" dxfId="218" priority="10" operator="equal">
      <formula>"C"</formula>
    </cfRule>
    <cfRule type="cellIs" dxfId="217" priority="21" operator="equal">
      <formula>"N"</formula>
    </cfRule>
    <cfRule type="cellIs" dxfId="216" priority="22" operator="equal">
      <formula>"Y"</formula>
    </cfRule>
    <cfRule type="cellIs" dxfId="215" priority="23" operator="equal">
      <formula>"N"</formula>
    </cfRule>
    <cfRule type="cellIs" dxfId="214" priority="24" operator="equal">
      <formula>"Y"</formula>
    </cfRule>
  </conditionalFormatting>
  <conditionalFormatting sqref="T15:Z15">
    <cfRule type="cellIs" dxfId="213" priority="44" operator="equal">
      <formula>"N"</formula>
    </cfRule>
    <cfRule type="cellIs" dxfId="212" priority="45" operator="equal">
      <formula>"Y"</formula>
    </cfRule>
  </conditionalFormatting>
  <conditionalFormatting sqref="T6:AA14">
    <cfRule type="cellIs" dxfId="211" priority="32" operator="equal">
      <formula>"Y"</formula>
    </cfRule>
    <cfRule type="cellIs" dxfId="210" priority="31" operator="equal">
      <formula>"N"</formula>
    </cfRule>
  </conditionalFormatting>
  <conditionalFormatting sqref="T16:AA16 U17:AA17 T17:T22">
    <cfRule type="cellIs" dxfId="209" priority="7" operator="equal">
      <formula>"N"</formula>
    </cfRule>
    <cfRule type="cellIs" dxfId="208" priority="8" operator="equal">
      <formula>"Y"</formula>
    </cfRule>
  </conditionalFormatting>
  <conditionalFormatting sqref="T24:AA24 T33:AA33">
    <cfRule type="cellIs" dxfId="207" priority="35" operator="equal">
      <formula>"N"</formula>
    </cfRule>
    <cfRule type="cellIs" dxfId="206" priority="36" operator="equal">
      <formula>"Y"</formula>
    </cfRule>
  </conditionalFormatting>
  <conditionalFormatting sqref="T6:AC16 U17:AC17 T17:T22">
    <cfRule type="cellIs" dxfId="205" priority="3" operator="equal">
      <formula>"N"</formula>
    </cfRule>
    <cfRule type="cellIs" dxfId="204" priority="4" operator="equal">
      <formula>"Y"</formula>
    </cfRule>
  </conditionalFormatting>
  <conditionalFormatting sqref="T24:AC24 T33:AC33">
    <cfRule type="cellIs" dxfId="203" priority="28" operator="equal">
      <formula>"Y"</formula>
    </cfRule>
    <cfRule type="cellIs" dxfId="202" priority="27" operator="equal">
      <formula>"N"</formula>
    </cfRule>
  </conditionalFormatting>
  <conditionalFormatting sqref="U6:U24">
    <cfRule type="cellIs" dxfId="201" priority="1" operator="equal">
      <formula>"S"</formula>
    </cfRule>
    <cfRule type="cellIs" dxfId="200" priority="2" operator="equal">
      <formula>"C"</formula>
    </cfRule>
  </conditionalFormatting>
  <conditionalFormatting sqref="U33">
    <cfRule type="cellIs" dxfId="199" priority="26" operator="equal">
      <formula>"C"</formula>
    </cfRule>
    <cfRule type="cellIs" dxfId="198" priority="25" operator="equal">
      <formula>"S"</formula>
    </cfRule>
  </conditionalFormatting>
  <conditionalFormatting sqref="V15">
    <cfRule type="cellIs" dxfId="197" priority="42" operator="equal">
      <formula>"S"</formula>
    </cfRule>
    <cfRule type="cellIs" dxfId="196" priority="43" operator="equal">
      <formula>"C"</formula>
    </cfRule>
  </conditionalFormatting>
  <conditionalFormatting sqref="V18:W23">
    <cfRule type="cellIs" dxfId="195" priority="20" operator="equal">
      <formula>"C"</formula>
    </cfRule>
    <cfRule type="cellIs" dxfId="194" priority="19" operator="equal">
      <formula>"S"</formula>
    </cfRule>
  </conditionalFormatting>
  <conditionalFormatting sqref="V6:X14">
    <cfRule type="cellIs" dxfId="193" priority="29" operator="equal">
      <formula>"S"</formula>
    </cfRule>
    <cfRule type="cellIs" dxfId="192" priority="30" operator="equal">
      <formula>"C"</formula>
    </cfRule>
  </conditionalFormatting>
  <conditionalFormatting sqref="V16:X17">
    <cfRule type="cellIs" dxfId="191" priority="6" operator="equal">
      <formula>"C"</formula>
    </cfRule>
    <cfRule type="cellIs" dxfId="190" priority="5" operator="equal">
      <formula>"S"</formula>
    </cfRule>
  </conditionalFormatting>
  <conditionalFormatting sqref="V18:Z23">
    <cfRule type="cellIs" dxfId="189" priority="14" operator="equal">
      <formula>"Y"</formula>
    </cfRule>
    <cfRule type="cellIs" dxfId="188" priority="13" operator="equal">
      <formula>"N"</formula>
    </cfRule>
  </conditionalFormatting>
  <conditionalFormatting sqref="AG6:AG14">
    <cfRule type="cellIs" dxfId="187" priority="33" operator="lessThan">
      <formula>1.19</formula>
    </cfRule>
    <cfRule type="cellIs" dxfId="186" priority="34" operator="greaterThan">
      <formula>1.19</formula>
    </cfRule>
  </conditionalFormatting>
  <conditionalFormatting sqref="AG16:AG23">
    <cfRule type="cellIs" dxfId="185" priority="46" operator="lessThan">
      <formula>1.19</formula>
    </cfRule>
    <cfRule type="cellIs" dxfId="184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F6F5-037F-4C30-8AF5-0F5FBFD1A9E1}">
  <dimension ref="A1:AV71"/>
  <sheetViews>
    <sheetView workbookViewId="0">
      <pane ySplit="5" topLeftCell="A6" activePane="bottomLeft" state="frozen"/>
      <selection pane="bottomLeft" activeCell="K11" sqref="K11"/>
    </sheetView>
  </sheetViews>
  <sheetFormatPr defaultColWidth="9" defaultRowHeight="12.75" x14ac:dyDescent="0.25"/>
  <cols>
    <col min="1" max="1" width="0.28515625" style="1" customWidth="1"/>
    <col min="2" max="2" width="9.7109375" style="1" bestFit="1" customWidth="1"/>
    <col min="3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+'12 Aug 23'!B1+1</f>
        <v>45151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45150.958333333336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45151.916666666672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45150.958333333336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0</v>
      </c>
      <c r="AU7" s="104">
        <f t="shared" ref="AU7:AU14" ca="1" si="7">IF(A7&lt;$AU$1,1/24-AT7,0)</f>
        <v>0</v>
      </c>
      <c r="AV7" s="239"/>
    </row>
    <row r="8" spans="1:48" x14ac:dyDescent="0.25">
      <c r="A8" s="96">
        <f t="shared" ref="A8:A23" si="8">B8+$B$1</f>
        <v>45151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45150.958333333336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45151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0</v>
      </c>
      <c r="AU8" s="104">
        <f t="shared" ca="1" si="7"/>
        <v>0</v>
      </c>
      <c r="AV8" s="239"/>
    </row>
    <row r="9" spans="1:48" x14ac:dyDescent="0.25">
      <c r="A9" s="96">
        <f t="shared" si="8"/>
        <v>45151.041666666664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45151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45151.041666666664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0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45151.083333333336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45151.041666666672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45151.083333333336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0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45151.125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45151.083333333336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45151.125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0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45151.166666666664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45151.125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45151.166666666664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0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45151.208333333336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45151.166666666672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45151.208333333336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0</v>
      </c>
      <c r="AU13" s="104">
        <f t="shared" ca="1" si="7"/>
        <v>0</v>
      </c>
      <c r="AV13" s="239"/>
    </row>
    <row r="14" spans="1:48" x14ac:dyDescent="0.25">
      <c r="A14" s="96">
        <f t="shared" si="8"/>
        <v>45151.25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45151.208333333336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45151.25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0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 t="str">
        <f ca="1">IFERROR(D15/24/AT15,"")</f>
        <v/>
      </c>
      <c r="F15" s="125">
        <f t="shared" si="9"/>
        <v>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</v>
      </c>
      <c r="AU15" s="133">
        <f ca="1">SUM(AU7:AU14)</f>
        <v>0</v>
      </c>
      <c r="AV15" s="132"/>
    </row>
    <row r="16" spans="1:48" ht="13.15" customHeight="1" x14ac:dyDescent="0.25">
      <c r="A16" s="96">
        <f t="shared" si="8"/>
        <v>45151.291666666664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v>160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45151.25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45151.291666666664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0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45151.333333333336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160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45151.291666666672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45151.333333333336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0</v>
      </c>
      <c r="AU17" s="104">
        <f t="shared" ca="1" si="24"/>
        <v>0</v>
      </c>
      <c r="AV17" s="239"/>
    </row>
    <row r="18" spans="1:48" x14ac:dyDescent="0.25">
      <c r="A18" s="96">
        <f t="shared" si="8"/>
        <v>45151.375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160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45151.333333333336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45151.375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0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45151.416666666664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160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45151.375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45151.416666666664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0</v>
      </c>
      <c r="AU19" s="104">
        <f t="shared" ca="1" si="24"/>
        <v>0</v>
      </c>
      <c r="AV19" s="239"/>
    </row>
    <row r="20" spans="1:48" x14ac:dyDescent="0.25">
      <c r="A20" s="96">
        <f t="shared" si="8"/>
        <v>45151.458333333336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160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45151.416666666672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45151.458333333336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0</v>
      </c>
      <c r="AU20" s="104">
        <f t="shared" ca="1" si="24"/>
        <v>0</v>
      </c>
      <c r="AV20" s="239"/>
    </row>
    <row r="21" spans="1:48" x14ac:dyDescent="0.25">
      <c r="A21" s="96">
        <f t="shared" si="8"/>
        <v>45151.5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160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45151.458333333336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45151.5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0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45151.541666666664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160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45151.5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45151.541666666664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0</v>
      </c>
      <c r="AU22" s="104">
        <f t="shared" ca="1" si="24"/>
        <v>0</v>
      </c>
      <c r="AV22" s="239"/>
    </row>
    <row r="23" spans="1:48" x14ac:dyDescent="0.25">
      <c r="A23" s="96">
        <f t="shared" si="8"/>
        <v>45151.583333333336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160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45151.541666666672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45151.583333333336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0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 t="str">
        <f ca="1">IFERROR(D24/24/AT24,"")</f>
        <v/>
      </c>
      <c r="F24" s="125">
        <f t="shared" si="9"/>
        <v>160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45151.625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160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45151.583333333336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45151.625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0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45151.666666666664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160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45151.625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45151.666666666664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0</v>
      </c>
      <c r="AU26" s="104">
        <f t="shared" ca="1" si="38"/>
        <v>0</v>
      </c>
      <c r="AV26" s="239"/>
    </row>
    <row r="27" spans="1:48" x14ac:dyDescent="0.25">
      <c r="A27" s="96">
        <f t="shared" si="28"/>
        <v>45151.708333333336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160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45151.666666666672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45151.708333333336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0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45151.75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160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45151.708333333336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45151.75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0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45151.791666666664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160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45151.75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45151.791666666664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0</v>
      </c>
      <c r="AU29" s="104">
        <f t="shared" ca="1" si="38"/>
        <v>0</v>
      </c>
      <c r="AV29" s="239"/>
    </row>
    <row r="30" spans="1:48" x14ac:dyDescent="0.25">
      <c r="A30" s="96">
        <f t="shared" si="28"/>
        <v>45151.833333333336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160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45151.791666666672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45151.833333333336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0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45151.875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160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45151.833333333336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45151.875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0</v>
      </c>
      <c r="AU31" s="104">
        <f t="shared" ca="1" si="38"/>
        <v>0</v>
      </c>
      <c r="AV31" s="239"/>
    </row>
    <row r="32" spans="1:48" x14ac:dyDescent="0.25">
      <c r="A32" s="96">
        <f t="shared" si="28"/>
        <v>45151.916666666664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160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45151.875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45151.916666666664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0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 t="str">
        <f ca="1">IFERROR(D33/24/AT33,"")</f>
        <v/>
      </c>
      <c r="F33" s="121">
        <f t="shared" si="9"/>
        <v>160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0</v>
      </c>
      <c r="AU35" s="162">
        <f ca="1">+AU33+AU24+AU15</f>
        <v>0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45151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171">
        <f>+J40+I40+H40</f>
        <v>0</v>
      </c>
      <c r="L40" s="194">
        <f>819*2</f>
        <v>1638</v>
      </c>
      <c r="Q40" s="177"/>
    </row>
    <row r="41" spans="1:48" x14ac:dyDescent="0.25">
      <c r="G41" s="79" t="s">
        <v>125</v>
      </c>
      <c r="H41" s="235">
        <f ca="1">AT15</f>
        <v>0</v>
      </c>
      <c r="I41" s="235">
        <f ca="1">AT24</f>
        <v>0</v>
      </c>
      <c r="J41" s="235">
        <f ca="1">AT33</f>
        <v>0</v>
      </c>
      <c r="K41" s="235">
        <f ca="1">IF(SUM(H41:J41)=1,"24 h",SUM(H41:J41))</f>
        <v>0</v>
      </c>
      <c r="L41" s="79"/>
    </row>
    <row r="42" spans="1:48" x14ac:dyDescent="0.25">
      <c r="G42" s="79" t="s">
        <v>126</v>
      </c>
      <c r="H42" s="171" t="str">
        <f ca="1">E15</f>
        <v/>
      </c>
      <c r="I42" s="171" t="str">
        <f ca="1">E24</f>
        <v/>
      </c>
      <c r="J42" s="171" t="str">
        <f ca="1">E33</f>
        <v/>
      </c>
      <c r="K42" s="171" t="str">
        <f>E35</f>
        <v/>
      </c>
      <c r="L42" s="171">
        <f>F33</f>
        <v>160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0</v>
      </c>
      <c r="N46" s="79">
        <f>+L46*24</f>
        <v>16</v>
      </c>
      <c r="O46" s="238">
        <f ca="1">+AU35</f>
        <v>0</v>
      </c>
      <c r="P46" s="79">
        <v>160</v>
      </c>
      <c r="Q46" s="111" t="e">
        <f ca="1">+I46/M46/24</f>
        <v>#DIV/0!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0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G2:H2"/>
    <mergeCell ref="I2:I3"/>
    <mergeCell ref="N2:O2"/>
    <mergeCell ref="R2:R3"/>
    <mergeCell ref="AT5:AU5"/>
    <mergeCell ref="J2:J3"/>
    <mergeCell ref="K2:K3"/>
    <mergeCell ref="C1:F1"/>
    <mergeCell ref="AA1:AD1"/>
    <mergeCell ref="AE1:AF1"/>
    <mergeCell ref="AG1:AH1"/>
    <mergeCell ref="L2:M2"/>
    <mergeCell ref="Q2:Q3"/>
    <mergeCell ref="P2:P3"/>
    <mergeCell ref="T2:U2"/>
    <mergeCell ref="S2:S3"/>
    <mergeCell ref="G1:M1"/>
    <mergeCell ref="N1:U1"/>
    <mergeCell ref="V1:X1"/>
    <mergeCell ref="Y1:Z1"/>
  </mergeCells>
  <conditionalFormatting sqref="I6">
    <cfRule type="cellIs" dxfId="183" priority="40" operator="greaterThan">
      <formula>$I$4</formula>
    </cfRule>
    <cfRule type="cellIs" dxfId="182" priority="39" operator="lessThan">
      <formula>$I$4</formula>
    </cfRule>
  </conditionalFormatting>
  <conditionalFormatting sqref="N33">
    <cfRule type="cellIs" dxfId="181" priority="49" operator="greaterThan">
      <formula>75</formula>
    </cfRule>
    <cfRule type="cellIs" dxfId="180" priority="48" operator="lessThan">
      <formula>75</formula>
    </cfRule>
  </conditionalFormatting>
  <conditionalFormatting sqref="P15 P24 P33">
    <cfRule type="cellIs" dxfId="179" priority="38" operator="greaterThan">
      <formula>52.5</formula>
    </cfRule>
    <cfRule type="cellIs" dxfId="178" priority="37" operator="lessThan">
      <formula>52.5</formula>
    </cfRule>
  </conditionalFormatting>
  <conditionalFormatting sqref="S18:S22 U18:U22 S23:U23">
    <cfRule type="cellIs" dxfId="177" priority="17" operator="equal">
      <formula>"N"</formula>
    </cfRule>
    <cfRule type="cellIs" dxfId="176" priority="18" operator="equal">
      <formula>"Y"</formula>
    </cfRule>
  </conditionalFormatting>
  <conditionalFormatting sqref="S18:S22 U18:AB22 S23:AB23">
    <cfRule type="cellIs" dxfId="175" priority="11" operator="equal">
      <formula>"N"</formula>
    </cfRule>
    <cfRule type="cellIs" dxfId="174" priority="12" operator="equal">
      <formula>"Y"</formula>
    </cfRule>
  </conditionalFormatting>
  <conditionalFormatting sqref="T23">
    <cfRule type="cellIs" dxfId="173" priority="9" operator="equal">
      <formula>"S"</formula>
    </cfRule>
    <cfRule type="cellIs" dxfId="172" priority="10" operator="equal">
      <formula>"C"</formula>
    </cfRule>
    <cfRule type="cellIs" dxfId="171" priority="21" operator="equal">
      <formula>"N"</formula>
    </cfRule>
    <cfRule type="cellIs" dxfId="170" priority="22" operator="equal">
      <formula>"Y"</formula>
    </cfRule>
    <cfRule type="cellIs" dxfId="169" priority="23" operator="equal">
      <formula>"N"</formula>
    </cfRule>
    <cfRule type="cellIs" dxfId="168" priority="24" operator="equal">
      <formula>"Y"</formula>
    </cfRule>
  </conditionalFormatting>
  <conditionalFormatting sqref="T15:Z15">
    <cfRule type="cellIs" dxfId="167" priority="44" operator="equal">
      <formula>"N"</formula>
    </cfRule>
    <cfRule type="cellIs" dxfId="166" priority="45" operator="equal">
      <formula>"Y"</formula>
    </cfRule>
  </conditionalFormatting>
  <conditionalFormatting sqref="T6:AA14">
    <cfRule type="cellIs" dxfId="165" priority="32" operator="equal">
      <formula>"Y"</formula>
    </cfRule>
    <cfRule type="cellIs" dxfId="164" priority="31" operator="equal">
      <formula>"N"</formula>
    </cfRule>
  </conditionalFormatting>
  <conditionalFormatting sqref="T16:AA16 U17:AA17 T17:T22">
    <cfRule type="cellIs" dxfId="163" priority="7" operator="equal">
      <formula>"N"</formula>
    </cfRule>
    <cfRule type="cellIs" dxfId="162" priority="8" operator="equal">
      <formula>"Y"</formula>
    </cfRule>
  </conditionalFormatting>
  <conditionalFormatting sqref="T24:AA24 T33:AA33">
    <cfRule type="cellIs" dxfId="161" priority="35" operator="equal">
      <formula>"N"</formula>
    </cfRule>
    <cfRule type="cellIs" dxfId="160" priority="36" operator="equal">
      <formula>"Y"</formula>
    </cfRule>
  </conditionalFormatting>
  <conditionalFormatting sqref="T6:AC16 U17:AC17 T17:T22">
    <cfRule type="cellIs" dxfId="159" priority="3" operator="equal">
      <formula>"N"</formula>
    </cfRule>
    <cfRule type="cellIs" dxfId="158" priority="4" operator="equal">
      <formula>"Y"</formula>
    </cfRule>
  </conditionalFormatting>
  <conditionalFormatting sqref="T24:AC24 T33:AC33">
    <cfRule type="cellIs" dxfId="157" priority="28" operator="equal">
      <formula>"Y"</formula>
    </cfRule>
    <cfRule type="cellIs" dxfId="156" priority="27" operator="equal">
      <formula>"N"</formula>
    </cfRule>
  </conditionalFormatting>
  <conditionalFormatting sqref="U6:U24">
    <cfRule type="cellIs" dxfId="155" priority="1" operator="equal">
      <formula>"S"</formula>
    </cfRule>
    <cfRule type="cellIs" dxfId="154" priority="2" operator="equal">
      <formula>"C"</formula>
    </cfRule>
  </conditionalFormatting>
  <conditionalFormatting sqref="U33">
    <cfRule type="cellIs" dxfId="153" priority="26" operator="equal">
      <formula>"C"</formula>
    </cfRule>
    <cfRule type="cellIs" dxfId="152" priority="25" operator="equal">
      <formula>"S"</formula>
    </cfRule>
  </conditionalFormatting>
  <conditionalFormatting sqref="V15">
    <cfRule type="cellIs" dxfId="151" priority="42" operator="equal">
      <formula>"S"</formula>
    </cfRule>
    <cfRule type="cellIs" dxfId="150" priority="43" operator="equal">
      <formula>"C"</formula>
    </cfRule>
  </conditionalFormatting>
  <conditionalFormatting sqref="V18:W23">
    <cfRule type="cellIs" dxfId="149" priority="20" operator="equal">
      <formula>"C"</formula>
    </cfRule>
    <cfRule type="cellIs" dxfId="148" priority="19" operator="equal">
      <formula>"S"</formula>
    </cfRule>
  </conditionalFormatting>
  <conditionalFormatting sqref="V6:X14">
    <cfRule type="cellIs" dxfId="147" priority="29" operator="equal">
      <formula>"S"</formula>
    </cfRule>
    <cfRule type="cellIs" dxfId="146" priority="30" operator="equal">
      <formula>"C"</formula>
    </cfRule>
  </conditionalFormatting>
  <conditionalFormatting sqref="V16:X17">
    <cfRule type="cellIs" dxfId="145" priority="6" operator="equal">
      <formula>"C"</formula>
    </cfRule>
    <cfRule type="cellIs" dxfId="144" priority="5" operator="equal">
      <formula>"S"</formula>
    </cfRule>
  </conditionalFormatting>
  <conditionalFormatting sqref="V18:Z23">
    <cfRule type="cellIs" dxfId="143" priority="14" operator="equal">
      <formula>"Y"</formula>
    </cfRule>
    <cfRule type="cellIs" dxfId="142" priority="13" operator="equal">
      <formula>"N"</formula>
    </cfRule>
  </conditionalFormatting>
  <conditionalFormatting sqref="AG6:AG14">
    <cfRule type="cellIs" dxfId="141" priority="33" operator="lessThan">
      <formula>1.19</formula>
    </cfRule>
    <cfRule type="cellIs" dxfId="140" priority="34" operator="greaterThan">
      <formula>1.19</formula>
    </cfRule>
  </conditionalFormatting>
  <conditionalFormatting sqref="AG16:AG23">
    <cfRule type="cellIs" dxfId="139" priority="46" operator="lessThan">
      <formula>1.19</formula>
    </cfRule>
    <cfRule type="cellIs" dxfId="138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DB57-97D6-40AC-B49F-329481CF7D40}">
  <dimension ref="A1:AV71"/>
  <sheetViews>
    <sheetView workbookViewId="0">
      <pane ySplit="5" topLeftCell="A29" activePane="bottomLeft" state="frozen"/>
      <selection pane="bottomLeft" sqref="A1:XFD1048576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'26 Jul 23'!B1+1</f>
        <v>45134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45133.958333333336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45134.916666666672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45133.958333333336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45134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45133.958333333336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45134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45134.041666666664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45134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45134.041666666664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45134.083333333336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45134.041666666672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45134.083333333336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45134.125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45134.083333333336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45134.125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45134.166666666664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45134.125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45134.166666666664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45134.208333333336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45134.166666666672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45134.208333333336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45134.25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45134.208333333336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45134.25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45134.291666666664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45134.25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45134.291666666664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45134.333333333336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45134.291666666672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45134.333333333336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45134.375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45134.333333333336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45134.375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45134.416666666664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45134.375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45134.416666666664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45134.458333333336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45134.416666666672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45134.458333333336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45134.5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45134.458333333336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45134.5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45134.541666666664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45134.5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45134.541666666664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45134.583333333336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45134.541666666672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45134.583333333336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45134.625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45134.583333333336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45134.625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45134.666666666664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45134.625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45134.666666666664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45134.708333333336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45134.666666666672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45134.708333333336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45134.75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45134.708333333336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45134.75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45134.791666666664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45134.75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45134.791666666664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45134.833333333336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45134.791666666672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45134.833333333336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45134.875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45134.833333333336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45134.875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45134.916666666664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45134.875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45134.916666666664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45134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79"/>
      <c r="L40" s="194">
        <v>3063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G38:L38"/>
    <mergeCell ref="G2:H2"/>
    <mergeCell ref="I2:I3"/>
    <mergeCell ref="N2:O2"/>
    <mergeCell ref="R2:R3"/>
    <mergeCell ref="AT5:AU5"/>
    <mergeCell ref="J2:J3"/>
    <mergeCell ref="K2:K3"/>
    <mergeCell ref="C1:F1"/>
    <mergeCell ref="AA1:AD1"/>
    <mergeCell ref="AE1:AF1"/>
    <mergeCell ref="AG1:AH1"/>
    <mergeCell ref="L2:M2"/>
    <mergeCell ref="Q2:Q3"/>
    <mergeCell ref="P2:P3"/>
    <mergeCell ref="T2:U2"/>
    <mergeCell ref="S2:S3"/>
    <mergeCell ref="G1:M1"/>
    <mergeCell ref="N1:U1"/>
    <mergeCell ref="V1:X1"/>
    <mergeCell ref="Y1:Z1"/>
  </mergeCells>
  <phoneticPr fontId="13" type="noConversion"/>
  <conditionalFormatting sqref="I6">
    <cfRule type="cellIs" dxfId="137" priority="40" operator="greaterThan">
      <formula>$I$4</formula>
    </cfRule>
    <cfRule type="cellIs" dxfId="136" priority="39" operator="lessThan">
      <formula>$I$4</formula>
    </cfRule>
  </conditionalFormatting>
  <conditionalFormatting sqref="N33">
    <cfRule type="cellIs" dxfId="135" priority="49" operator="greaterThan">
      <formula>75</formula>
    </cfRule>
    <cfRule type="cellIs" dxfId="134" priority="48" operator="lessThan">
      <formula>75</formula>
    </cfRule>
  </conditionalFormatting>
  <conditionalFormatting sqref="P15 P24 P33">
    <cfRule type="cellIs" dxfId="133" priority="38" operator="greaterThan">
      <formula>52.5</formula>
    </cfRule>
    <cfRule type="cellIs" dxfId="132" priority="37" operator="lessThan">
      <formula>52.5</formula>
    </cfRule>
  </conditionalFormatting>
  <conditionalFormatting sqref="S18:S22 U18:U22 S23:U23">
    <cfRule type="cellIs" dxfId="131" priority="17" operator="equal">
      <formula>"N"</formula>
    </cfRule>
    <cfRule type="cellIs" dxfId="130" priority="18" operator="equal">
      <formula>"Y"</formula>
    </cfRule>
  </conditionalFormatting>
  <conditionalFormatting sqref="S18:S22 U18:AB22 S23:AB23">
    <cfRule type="cellIs" dxfId="129" priority="11" operator="equal">
      <formula>"N"</formula>
    </cfRule>
    <cfRule type="cellIs" dxfId="128" priority="12" operator="equal">
      <formula>"Y"</formula>
    </cfRule>
  </conditionalFormatting>
  <conditionalFormatting sqref="T23">
    <cfRule type="cellIs" dxfId="127" priority="9" operator="equal">
      <formula>"S"</formula>
    </cfRule>
    <cfRule type="cellIs" dxfId="126" priority="10" operator="equal">
      <formula>"C"</formula>
    </cfRule>
    <cfRule type="cellIs" dxfId="125" priority="21" operator="equal">
      <formula>"N"</formula>
    </cfRule>
    <cfRule type="cellIs" dxfId="124" priority="22" operator="equal">
      <formula>"Y"</formula>
    </cfRule>
    <cfRule type="cellIs" dxfId="123" priority="23" operator="equal">
      <formula>"N"</formula>
    </cfRule>
    <cfRule type="cellIs" dxfId="122" priority="24" operator="equal">
      <formula>"Y"</formula>
    </cfRule>
  </conditionalFormatting>
  <conditionalFormatting sqref="T15:Z15">
    <cfRule type="cellIs" dxfId="121" priority="44" operator="equal">
      <formula>"N"</formula>
    </cfRule>
    <cfRule type="cellIs" dxfId="120" priority="45" operator="equal">
      <formula>"Y"</formula>
    </cfRule>
  </conditionalFormatting>
  <conditionalFormatting sqref="T6:AA14">
    <cfRule type="cellIs" dxfId="119" priority="32" operator="equal">
      <formula>"Y"</formula>
    </cfRule>
    <cfRule type="cellIs" dxfId="118" priority="31" operator="equal">
      <formula>"N"</formula>
    </cfRule>
  </conditionalFormatting>
  <conditionalFormatting sqref="T16:AA16 U17:AA17 T17:T22">
    <cfRule type="cellIs" dxfId="117" priority="7" operator="equal">
      <formula>"N"</formula>
    </cfRule>
    <cfRule type="cellIs" dxfId="116" priority="8" operator="equal">
      <formula>"Y"</formula>
    </cfRule>
  </conditionalFormatting>
  <conditionalFormatting sqref="T24:AA24 T33:AA33">
    <cfRule type="cellIs" dxfId="115" priority="35" operator="equal">
      <formula>"N"</formula>
    </cfRule>
    <cfRule type="cellIs" dxfId="114" priority="36" operator="equal">
      <formula>"Y"</formula>
    </cfRule>
  </conditionalFormatting>
  <conditionalFormatting sqref="T6:AC16 U17:AC17 T17:T22">
    <cfRule type="cellIs" dxfId="113" priority="3" operator="equal">
      <formula>"N"</formula>
    </cfRule>
    <cfRule type="cellIs" dxfId="112" priority="4" operator="equal">
      <formula>"Y"</formula>
    </cfRule>
  </conditionalFormatting>
  <conditionalFormatting sqref="T24:AC24 T33:AC33">
    <cfRule type="cellIs" dxfId="111" priority="28" operator="equal">
      <formula>"Y"</formula>
    </cfRule>
    <cfRule type="cellIs" dxfId="110" priority="27" operator="equal">
      <formula>"N"</formula>
    </cfRule>
  </conditionalFormatting>
  <conditionalFormatting sqref="U6:U24">
    <cfRule type="cellIs" dxfId="109" priority="1" operator="equal">
      <formula>"S"</formula>
    </cfRule>
    <cfRule type="cellIs" dxfId="108" priority="2" operator="equal">
      <formula>"C"</formula>
    </cfRule>
  </conditionalFormatting>
  <conditionalFormatting sqref="U33">
    <cfRule type="cellIs" dxfId="107" priority="26" operator="equal">
      <formula>"C"</formula>
    </cfRule>
    <cfRule type="cellIs" dxfId="106" priority="25" operator="equal">
      <formula>"S"</formula>
    </cfRule>
  </conditionalFormatting>
  <conditionalFormatting sqref="V15">
    <cfRule type="cellIs" dxfId="105" priority="42" operator="equal">
      <formula>"S"</formula>
    </cfRule>
    <cfRule type="cellIs" dxfId="104" priority="43" operator="equal">
      <formula>"C"</formula>
    </cfRule>
  </conditionalFormatting>
  <conditionalFormatting sqref="V18:W23">
    <cfRule type="cellIs" dxfId="103" priority="20" operator="equal">
      <formula>"C"</formula>
    </cfRule>
    <cfRule type="cellIs" dxfId="102" priority="19" operator="equal">
      <formula>"S"</formula>
    </cfRule>
  </conditionalFormatting>
  <conditionalFormatting sqref="V6:X14">
    <cfRule type="cellIs" dxfId="101" priority="29" operator="equal">
      <formula>"S"</formula>
    </cfRule>
    <cfRule type="cellIs" dxfId="100" priority="30" operator="equal">
      <formula>"C"</formula>
    </cfRule>
  </conditionalFormatting>
  <conditionalFormatting sqref="V16:X17">
    <cfRule type="cellIs" dxfId="99" priority="6" operator="equal">
      <formula>"C"</formula>
    </cfRule>
    <cfRule type="cellIs" dxfId="98" priority="5" operator="equal">
      <formula>"S"</formula>
    </cfRule>
  </conditionalFormatting>
  <conditionalFormatting sqref="V18:Z23">
    <cfRule type="cellIs" dxfId="97" priority="14" operator="equal">
      <formula>"Y"</formula>
    </cfRule>
    <cfRule type="cellIs" dxfId="96" priority="13" operator="equal">
      <formula>"N"</formula>
    </cfRule>
  </conditionalFormatting>
  <conditionalFormatting sqref="AG6:AG14">
    <cfRule type="cellIs" dxfId="95" priority="33" operator="lessThan">
      <formula>1.19</formula>
    </cfRule>
    <cfRule type="cellIs" dxfId="94" priority="34" operator="greaterThan">
      <formula>1.19</formula>
    </cfRule>
  </conditionalFormatting>
  <conditionalFormatting sqref="AG16:AG23">
    <cfRule type="cellIs" dxfId="93" priority="46" operator="lessThan">
      <formula>1.19</formula>
    </cfRule>
    <cfRule type="cellIs" dxfId="92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2D06-ABE3-4C9E-BA04-DCF1D9AAB27E}">
  <dimension ref="A1:AV71"/>
  <sheetViews>
    <sheetView workbookViewId="0">
      <pane ySplit="5" topLeftCell="A29" activePane="bottomLeft" state="frozen"/>
      <selection pane="bottomLeft" sqref="A1:XFD1048576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'26 Jul 23'!B1+1</f>
        <v>45134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45133.958333333336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45134.916666666672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45133.958333333336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45134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45133.958333333336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45134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45134.041666666664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45134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45134.041666666664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45134.083333333336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45134.041666666672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45134.083333333336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45134.125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45134.083333333336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45134.125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45134.166666666664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45134.125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45134.166666666664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45134.208333333336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45134.166666666672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45134.208333333336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45134.25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45134.208333333336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45134.25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45134.291666666664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45134.25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45134.291666666664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45134.333333333336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45134.291666666672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45134.333333333336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45134.375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45134.333333333336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45134.375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45134.416666666664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45134.375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45134.416666666664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45134.458333333336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45134.416666666672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45134.458333333336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45134.5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45134.458333333336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45134.5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45134.541666666664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45134.5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45134.541666666664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45134.583333333336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45134.541666666672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45134.583333333336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45134.625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45134.583333333336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45134.625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45134.666666666664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45134.625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45134.666666666664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45134.708333333336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45134.666666666672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45134.708333333336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45134.75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45134.708333333336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45134.75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45134.791666666664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45134.75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45134.791666666664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45134.833333333336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45134.791666666672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45134.833333333336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45134.875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45134.833333333336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45134.875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45134.916666666664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45134.875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45134.916666666664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45134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79"/>
      <c r="L40" s="194">
        <v>3063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AT5:AU5"/>
    <mergeCell ref="G38:L38"/>
    <mergeCell ref="G1:M1"/>
    <mergeCell ref="N1:U1"/>
    <mergeCell ref="V1:X1"/>
    <mergeCell ref="Y1:Z1"/>
    <mergeCell ref="AA1:AD1"/>
    <mergeCell ref="AE1:AF1"/>
    <mergeCell ref="AG1:AH1"/>
    <mergeCell ref="L2:M2"/>
    <mergeCell ref="P2:P3"/>
    <mergeCell ref="G2:H2"/>
    <mergeCell ref="I2:I3"/>
    <mergeCell ref="N2:O2"/>
    <mergeCell ref="R2:R3"/>
    <mergeCell ref="S2:S3"/>
    <mergeCell ref="Q2:Q3"/>
    <mergeCell ref="T2:U2"/>
    <mergeCell ref="J2:J3"/>
    <mergeCell ref="K2:K3"/>
    <mergeCell ref="C1:F1"/>
  </mergeCells>
  <conditionalFormatting sqref="I6">
    <cfRule type="cellIs" dxfId="91" priority="40" operator="greaterThan">
      <formula>$I$4</formula>
    </cfRule>
    <cfRule type="cellIs" dxfId="90" priority="39" operator="lessThan">
      <formula>$I$4</formula>
    </cfRule>
  </conditionalFormatting>
  <conditionalFormatting sqref="N33">
    <cfRule type="cellIs" dxfId="89" priority="49" operator="greaterThan">
      <formula>75</formula>
    </cfRule>
    <cfRule type="cellIs" dxfId="88" priority="48" operator="lessThan">
      <formula>75</formula>
    </cfRule>
  </conditionalFormatting>
  <conditionalFormatting sqref="P15 P24 P33">
    <cfRule type="cellIs" dxfId="87" priority="38" operator="greaterThan">
      <formula>52.5</formula>
    </cfRule>
    <cfRule type="cellIs" dxfId="86" priority="37" operator="lessThan">
      <formula>52.5</formula>
    </cfRule>
  </conditionalFormatting>
  <conditionalFormatting sqref="S18:S22 U18:U22 S23:U23">
    <cfRule type="cellIs" dxfId="85" priority="17" operator="equal">
      <formula>"N"</formula>
    </cfRule>
    <cfRule type="cellIs" dxfId="84" priority="18" operator="equal">
      <formula>"Y"</formula>
    </cfRule>
  </conditionalFormatting>
  <conditionalFormatting sqref="S18:S22 U18:AB22 S23:AB23">
    <cfRule type="cellIs" dxfId="83" priority="11" operator="equal">
      <formula>"N"</formula>
    </cfRule>
    <cfRule type="cellIs" dxfId="82" priority="12" operator="equal">
      <formula>"Y"</formula>
    </cfRule>
  </conditionalFormatting>
  <conditionalFormatting sqref="T23">
    <cfRule type="cellIs" dxfId="81" priority="9" operator="equal">
      <formula>"S"</formula>
    </cfRule>
    <cfRule type="cellIs" dxfId="80" priority="10" operator="equal">
      <formula>"C"</formula>
    </cfRule>
    <cfRule type="cellIs" dxfId="79" priority="21" operator="equal">
      <formula>"N"</formula>
    </cfRule>
    <cfRule type="cellIs" dxfId="78" priority="22" operator="equal">
      <formula>"Y"</formula>
    </cfRule>
    <cfRule type="cellIs" dxfId="77" priority="23" operator="equal">
      <formula>"N"</formula>
    </cfRule>
    <cfRule type="cellIs" dxfId="76" priority="24" operator="equal">
      <formula>"Y"</formula>
    </cfRule>
  </conditionalFormatting>
  <conditionalFormatting sqref="T15:Z15">
    <cfRule type="cellIs" dxfId="75" priority="44" operator="equal">
      <formula>"N"</formula>
    </cfRule>
    <cfRule type="cellIs" dxfId="74" priority="45" operator="equal">
      <formula>"Y"</formula>
    </cfRule>
  </conditionalFormatting>
  <conditionalFormatting sqref="T6:AA14">
    <cfRule type="cellIs" dxfId="73" priority="32" operator="equal">
      <formula>"Y"</formula>
    </cfRule>
    <cfRule type="cellIs" dxfId="72" priority="31" operator="equal">
      <formula>"N"</formula>
    </cfRule>
  </conditionalFormatting>
  <conditionalFormatting sqref="T16:AA16 U17:AA17 T17:T22">
    <cfRule type="cellIs" dxfId="71" priority="7" operator="equal">
      <formula>"N"</formula>
    </cfRule>
    <cfRule type="cellIs" dxfId="70" priority="8" operator="equal">
      <formula>"Y"</formula>
    </cfRule>
  </conditionalFormatting>
  <conditionalFormatting sqref="T24:AA24 T33:AA33">
    <cfRule type="cellIs" dxfId="69" priority="35" operator="equal">
      <formula>"N"</formula>
    </cfRule>
    <cfRule type="cellIs" dxfId="68" priority="36" operator="equal">
      <formula>"Y"</formula>
    </cfRule>
  </conditionalFormatting>
  <conditionalFormatting sqref="T6:AC16 U17:AC17 T17:T22">
    <cfRule type="cellIs" dxfId="67" priority="3" operator="equal">
      <formula>"N"</formula>
    </cfRule>
    <cfRule type="cellIs" dxfId="66" priority="4" operator="equal">
      <formula>"Y"</formula>
    </cfRule>
  </conditionalFormatting>
  <conditionalFormatting sqref="T24:AC24 T33:AC33">
    <cfRule type="cellIs" dxfId="65" priority="28" operator="equal">
      <formula>"Y"</formula>
    </cfRule>
    <cfRule type="cellIs" dxfId="64" priority="27" operator="equal">
      <formula>"N"</formula>
    </cfRule>
  </conditionalFormatting>
  <conditionalFormatting sqref="U6:U24">
    <cfRule type="cellIs" dxfId="63" priority="1" operator="equal">
      <formula>"S"</formula>
    </cfRule>
    <cfRule type="cellIs" dxfId="62" priority="2" operator="equal">
      <formula>"C"</formula>
    </cfRule>
  </conditionalFormatting>
  <conditionalFormatting sqref="U33">
    <cfRule type="cellIs" dxfId="61" priority="26" operator="equal">
      <formula>"C"</formula>
    </cfRule>
    <cfRule type="cellIs" dxfId="60" priority="25" operator="equal">
      <formula>"S"</formula>
    </cfRule>
  </conditionalFormatting>
  <conditionalFormatting sqref="V15">
    <cfRule type="cellIs" dxfId="59" priority="42" operator="equal">
      <formula>"S"</formula>
    </cfRule>
    <cfRule type="cellIs" dxfId="58" priority="43" operator="equal">
      <formula>"C"</formula>
    </cfRule>
  </conditionalFormatting>
  <conditionalFormatting sqref="V18:W23">
    <cfRule type="cellIs" dxfId="57" priority="20" operator="equal">
      <formula>"C"</formula>
    </cfRule>
    <cfRule type="cellIs" dxfId="56" priority="19" operator="equal">
      <formula>"S"</formula>
    </cfRule>
  </conditionalFormatting>
  <conditionalFormatting sqref="V6:X14">
    <cfRule type="cellIs" dxfId="55" priority="29" operator="equal">
      <formula>"S"</formula>
    </cfRule>
    <cfRule type="cellIs" dxfId="54" priority="30" operator="equal">
      <formula>"C"</formula>
    </cfRule>
  </conditionalFormatting>
  <conditionalFormatting sqref="V16:X17">
    <cfRule type="cellIs" dxfId="53" priority="6" operator="equal">
      <formula>"C"</formula>
    </cfRule>
    <cfRule type="cellIs" dxfId="52" priority="5" operator="equal">
      <formula>"S"</formula>
    </cfRule>
  </conditionalFormatting>
  <conditionalFormatting sqref="V18:Z23">
    <cfRule type="cellIs" dxfId="51" priority="14" operator="equal">
      <formula>"Y"</formula>
    </cfRule>
    <cfRule type="cellIs" dxfId="50" priority="13" operator="equal">
      <formula>"N"</formula>
    </cfRule>
  </conditionalFormatting>
  <conditionalFormatting sqref="AG6:AG14">
    <cfRule type="cellIs" dxfId="49" priority="33" operator="lessThan">
      <formula>1.19</formula>
    </cfRule>
    <cfRule type="cellIs" dxfId="48" priority="34" operator="greaterThan">
      <formula>1.19</formula>
    </cfRule>
  </conditionalFormatting>
  <conditionalFormatting sqref="AG16:AG23">
    <cfRule type="cellIs" dxfId="47" priority="46" operator="lessThan">
      <formula>1.19</formula>
    </cfRule>
    <cfRule type="cellIs" dxfId="46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2327-FF61-45A0-9264-5FC48D759AF5}">
  <dimension ref="A1:AV71"/>
  <sheetViews>
    <sheetView workbookViewId="0">
      <pane ySplit="5" topLeftCell="A37" activePane="bottomLeft" state="frozen"/>
      <selection pane="bottomLeft" activeCell="D45" sqref="D45"/>
    </sheetView>
  </sheetViews>
  <sheetFormatPr defaultColWidth="9" defaultRowHeight="12.75" x14ac:dyDescent="0.25"/>
  <cols>
    <col min="1" max="1" width="0.28515625" style="1" customWidth="1"/>
    <col min="2" max="7" width="9" style="1"/>
    <col min="8" max="8" width="7.42578125" style="1" customWidth="1"/>
    <col min="9" max="9" width="12.42578125" style="1" customWidth="1"/>
    <col min="10" max="10" width="9.28515625" style="233" bestFit="1" customWidth="1"/>
    <col min="11" max="11" width="9" style="233"/>
    <col min="12" max="12" width="9" style="1"/>
    <col min="13" max="13" width="11" style="1" customWidth="1"/>
    <col min="14" max="14" width="8.7109375" style="1" customWidth="1"/>
    <col min="15" max="15" width="9" style="1"/>
    <col min="16" max="16" width="11.42578125" style="1" customWidth="1"/>
    <col min="17" max="17" width="8.42578125" style="1" customWidth="1"/>
    <col min="18" max="18" width="9" style="1"/>
    <col min="19" max="19" width="0" style="1" hidden="1" customWidth="1"/>
    <col min="20" max="20" width="11.5703125" style="1" customWidth="1"/>
    <col min="21" max="21" width="11.28515625" style="1" customWidth="1"/>
    <col min="22" max="22" width="9.140625" style="1" bestFit="1" customWidth="1"/>
    <col min="23" max="23" width="12.5703125" style="1" customWidth="1"/>
    <col min="24" max="24" width="13.7109375" style="1" customWidth="1"/>
    <col min="25" max="25" width="11.7109375" style="1" customWidth="1"/>
    <col min="26" max="26" width="11.140625" style="1" customWidth="1"/>
    <col min="27" max="27" width="11.28515625" style="1" customWidth="1"/>
    <col min="28" max="29" width="13.7109375" style="1" customWidth="1"/>
    <col min="30" max="30" width="10.5703125" style="232" customWidth="1"/>
    <col min="31" max="32" width="10.5703125" style="1" customWidth="1"/>
    <col min="33" max="34" width="10.5703125" style="1" hidden="1" customWidth="1"/>
    <col min="35" max="36" width="9" style="1"/>
    <col min="37" max="37" width="3.5703125" style="1" bestFit="1" customWidth="1"/>
    <col min="38" max="38" width="6.140625" style="1" hidden="1" customWidth="1"/>
    <col min="39" max="41" width="2.140625" style="1" hidden="1" customWidth="1"/>
    <col min="42" max="43" width="6" style="1" hidden="1" customWidth="1"/>
    <col min="44" max="44" width="9.42578125" style="1" hidden="1" customWidth="1"/>
    <col min="45" max="45" width="6" style="1" hidden="1" customWidth="1"/>
    <col min="46" max="46" width="20.28515625" style="1" bestFit="1" customWidth="1"/>
    <col min="47" max="47" width="12.42578125" style="1" customWidth="1"/>
    <col min="48" max="48" width="89.7109375" style="1" customWidth="1"/>
    <col min="49" max="16384" width="9" style="1"/>
  </cols>
  <sheetData>
    <row r="1" spans="1:48" ht="13.9" customHeight="1" thickBot="1" x14ac:dyDescent="0.3">
      <c r="B1" s="195">
        <f>'26 Jul 23'!B1+1</f>
        <v>45134</v>
      </c>
      <c r="C1" s="259" t="s">
        <v>127</v>
      </c>
      <c r="D1" s="260"/>
      <c r="E1" s="260"/>
      <c r="F1" s="261"/>
      <c r="G1" s="263"/>
      <c r="H1" s="263"/>
      <c r="I1" s="263"/>
      <c r="J1" s="263"/>
      <c r="K1" s="263"/>
      <c r="L1" s="263"/>
      <c r="M1" s="264"/>
      <c r="N1" s="266"/>
      <c r="O1" s="266"/>
      <c r="P1" s="266"/>
      <c r="Q1" s="266"/>
      <c r="R1" s="266"/>
      <c r="S1" s="266"/>
      <c r="T1" s="266"/>
      <c r="U1" s="267"/>
      <c r="V1" s="268" t="s">
        <v>3</v>
      </c>
      <c r="W1" s="269"/>
      <c r="X1" s="270"/>
      <c r="Y1" s="271" t="s">
        <v>4</v>
      </c>
      <c r="Z1" s="272"/>
      <c r="AA1" s="284" t="s">
        <v>5</v>
      </c>
      <c r="AB1" s="285"/>
      <c r="AC1" s="285"/>
      <c r="AD1" s="286"/>
      <c r="AE1" s="273" t="s">
        <v>6</v>
      </c>
      <c r="AF1" s="274"/>
      <c r="AG1" s="275" t="s">
        <v>7</v>
      </c>
      <c r="AH1" s="27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8</v>
      </c>
      <c r="AU1" s="5">
        <f ca="1">NOW()</f>
        <v>45148.321596759262</v>
      </c>
      <c r="AV1" s="6" t="s">
        <v>117</v>
      </c>
    </row>
    <row r="2" spans="1:48" ht="70.150000000000006" customHeight="1" x14ac:dyDescent="0.25">
      <c r="B2" s="196"/>
      <c r="C2" s="13" t="s">
        <v>12</v>
      </c>
      <c r="D2" s="13" t="s">
        <v>128</v>
      </c>
      <c r="E2" s="13" t="s">
        <v>14</v>
      </c>
      <c r="F2" s="13" t="s">
        <v>15</v>
      </c>
      <c r="G2" s="279" t="s">
        <v>17</v>
      </c>
      <c r="H2" s="279"/>
      <c r="I2" s="280" t="s">
        <v>18</v>
      </c>
      <c r="J2" s="280" t="s">
        <v>19</v>
      </c>
      <c r="K2" s="280" t="s">
        <v>20</v>
      </c>
      <c r="L2" s="279" t="s">
        <v>22</v>
      </c>
      <c r="M2" s="283"/>
      <c r="N2" s="289" t="s">
        <v>17</v>
      </c>
      <c r="O2" s="289"/>
      <c r="P2" s="287" t="s">
        <v>18</v>
      </c>
      <c r="Q2" s="287" t="s">
        <v>19</v>
      </c>
      <c r="R2" s="287" t="s">
        <v>20</v>
      </c>
      <c r="S2" s="287" t="s">
        <v>21</v>
      </c>
      <c r="T2" s="289" t="s">
        <v>22</v>
      </c>
      <c r="U2" s="290"/>
      <c r="V2" s="15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9" t="s">
        <v>28</v>
      </c>
      <c r="AB2" s="20" t="s">
        <v>29</v>
      </c>
      <c r="AC2" s="20" t="s">
        <v>30</v>
      </c>
      <c r="AD2" s="21" t="s">
        <v>30</v>
      </c>
      <c r="AE2" s="22" t="s">
        <v>31</v>
      </c>
      <c r="AF2" s="23" t="s">
        <v>32</v>
      </c>
      <c r="AG2" s="24" t="s">
        <v>33</v>
      </c>
      <c r="AH2" s="25" t="s">
        <v>34</v>
      </c>
      <c r="AI2" s="4" t="s">
        <v>35</v>
      </c>
      <c r="AJ2" s="4" t="s">
        <v>36</v>
      </c>
      <c r="AK2" s="4"/>
      <c r="AL2" s="4"/>
      <c r="AM2" s="4"/>
      <c r="AN2" s="4"/>
      <c r="AO2" s="4"/>
      <c r="AP2" s="4"/>
      <c r="AQ2" s="4"/>
      <c r="AR2" s="4"/>
      <c r="AS2" s="4"/>
      <c r="AT2" s="4" t="s">
        <v>37</v>
      </c>
      <c r="AU2" s="4" t="s">
        <v>38</v>
      </c>
      <c r="AV2" s="26" t="s">
        <v>39</v>
      </c>
    </row>
    <row r="3" spans="1:48" ht="26.25" thickBot="1" x14ac:dyDescent="0.3">
      <c r="B3" s="197" t="s">
        <v>44</v>
      </c>
      <c r="C3" s="32"/>
      <c r="D3" s="32"/>
      <c r="E3" s="32">
        <v>1021</v>
      </c>
      <c r="F3" s="32"/>
      <c r="G3" s="34" t="s">
        <v>45</v>
      </c>
      <c r="H3" s="34" t="s">
        <v>46</v>
      </c>
      <c r="I3" s="281"/>
      <c r="J3" s="281"/>
      <c r="K3" s="281"/>
      <c r="L3" s="34" t="s">
        <v>47</v>
      </c>
      <c r="M3" s="35" t="s">
        <v>48</v>
      </c>
      <c r="N3" s="36" t="s">
        <v>45</v>
      </c>
      <c r="O3" s="36" t="s">
        <v>46</v>
      </c>
      <c r="P3" s="288"/>
      <c r="Q3" s="288"/>
      <c r="R3" s="288"/>
      <c r="S3" s="288"/>
      <c r="T3" s="36" t="s">
        <v>47</v>
      </c>
      <c r="U3" s="37" t="s">
        <v>48</v>
      </c>
      <c r="V3" s="38"/>
      <c r="W3" s="39"/>
      <c r="X3" s="17"/>
      <c r="Y3" s="40" t="s">
        <v>49</v>
      </c>
      <c r="Z3" s="41" t="s">
        <v>50</v>
      </c>
      <c r="AA3" s="42" t="s">
        <v>49</v>
      </c>
      <c r="AB3" s="43" t="s">
        <v>50</v>
      </c>
      <c r="AC3" s="43" t="s">
        <v>49</v>
      </c>
      <c r="AD3" s="44" t="s">
        <v>50</v>
      </c>
      <c r="AE3" s="45" t="s">
        <v>51</v>
      </c>
      <c r="AF3" s="46" t="s">
        <v>51</v>
      </c>
      <c r="AG3" s="47"/>
      <c r="AH3" s="4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9"/>
    </row>
    <row r="4" spans="1:48" ht="14.45" customHeight="1" x14ac:dyDescent="0.25">
      <c r="B4" s="197" t="s">
        <v>52</v>
      </c>
      <c r="C4" s="32"/>
      <c r="D4" s="32"/>
      <c r="E4" s="32">
        <v>160</v>
      </c>
      <c r="F4" s="32"/>
      <c r="G4" s="52"/>
      <c r="H4" s="53"/>
      <c r="I4" s="53"/>
      <c r="J4" s="52"/>
      <c r="K4" s="54"/>
      <c r="L4" s="55"/>
      <c r="M4" s="56"/>
      <c r="N4" s="58"/>
      <c r="O4" s="59"/>
      <c r="P4" s="59"/>
      <c r="Q4" s="58"/>
      <c r="R4" s="60"/>
      <c r="S4" s="61"/>
      <c r="T4" s="61"/>
      <c r="U4" s="62"/>
      <c r="V4" s="63"/>
      <c r="W4" s="64"/>
      <c r="X4" s="65"/>
      <c r="Y4" s="40"/>
      <c r="Z4" s="41"/>
      <c r="AA4" s="42"/>
      <c r="AB4" s="43"/>
      <c r="AC4" s="43"/>
      <c r="AD4" s="44"/>
      <c r="AE4" s="45"/>
      <c r="AF4" s="46"/>
      <c r="AG4" s="47"/>
      <c r="AH4" s="48"/>
      <c r="AI4" s="4"/>
      <c r="AJ4" s="4"/>
      <c r="AK4" s="4">
        <v>0</v>
      </c>
      <c r="AL4" s="4"/>
      <c r="AM4" s="4"/>
      <c r="AN4" s="4"/>
      <c r="AO4" s="4"/>
      <c r="AP4" s="4"/>
      <c r="AQ4" s="4"/>
      <c r="AR4" s="4"/>
      <c r="AS4" s="4"/>
      <c r="AT4" s="66" t="s">
        <v>53</v>
      </c>
      <c r="AU4" s="4"/>
      <c r="AV4" s="49"/>
    </row>
    <row r="5" spans="1:48" ht="14.45" customHeight="1" thickBot="1" x14ac:dyDescent="0.3">
      <c r="B5" s="197" t="s">
        <v>54</v>
      </c>
      <c r="C5" s="32"/>
      <c r="D5" s="32"/>
      <c r="E5" s="32">
        <v>130</v>
      </c>
      <c r="F5" s="32"/>
      <c r="G5" s="52"/>
      <c r="H5" s="53"/>
      <c r="I5" s="53"/>
      <c r="J5" s="52"/>
      <c r="K5" s="54"/>
      <c r="L5" s="55"/>
      <c r="M5" s="56"/>
      <c r="N5" s="58"/>
      <c r="O5" s="59"/>
      <c r="P5" s="59"/>
      <c r="Q5" s="58"/>
      <c r="R5" s="60"/>
      <c r="S5" s="61"/>
      <c r="T5" s="61"/>
      <c r="U5" s="62"/>
      <c r="V5" s="67"/>
      <c r="W5" s="68"/>
      <c r="X5" s="69"/>
      <c r="Y5" s="40"/>
      <c r="Z5" s="41"/>
      <c r="AA5" s="70"/>
      <c r="AB5" s="71"/>
      <c r="AC5" s="71"/>
      <c r="AD5" s="72"/>
      <c r="AE5" s="73"/>
      <c r="AF5" s="74"/>
      <c r="AG5" s="75"/>
      <c r="AH5" s="76"/>
      <c r="AI5" s="4"/>
      <c r="AJ5" s="4"/>
      <c r="AK5" s="4">
        <v>1</v>
      </c>
      <c r="AL5" s="4"/>
      <c r="AM5" s="4"/>
      <c r="AN5" s="4"/>
      <c r="AO5" s="4"/>
      <c r="AP5" s="4"/>
      <c r="AQ5" s="4"/>
      <c r="AR5" s="4"/>
      <c r="AS5" s="4"/>
      <c r="AT5" s="291" t="s">
        <v>55</v>
      </c>
      <c r="AU5" s="292"/>
      <c r="AV5" s="49"/>
    </row>
    <row r="6" spans="1:48" ht="19.5" customHeight="1" x14ac:dyDescent="0.25">
      <c r="B6" s="198" t="s">
        <v>129</v>
      </c>
      <c r="C6" s="199" t="s">
        <v>130</v>
      </c>
      <c r="D6" s="79">
        <f>'26 Jul 23'!D32</f>
        <v>68115</v>
      </c>
      <c r="E6" s="80"/>
      <c r="F6" s="200">
        <v>200</v>
      </c>
      <c r="G6" s="79"/>
      <c r="H6" s="201"/>
      <c r="I6" s="85"/>
      <c r="J6" s="202"/>
      <c r="K6" s="202"/>
      <c r="L6" s="85"/>
      <c r="M6" s="85"/>
      <c r="N6" s="85"/>
      <c r="O6" s="85"/>
      <c r="P6" s="85"/>
      <c r="Q6" s="85"/>
      <c r="R6" s="85"/>
      <c r="S6" s="85"/>
      <c r="T6" s="85"/>
      <c r="U6" s="86"/>
      <c r="V6" s="86"/>
      <c r="W6" s="86"/>
      <c r="X6" s="86"/>
      <c r="Y6" s="85"/>
      <c r="Z6" s="85"/>
      <c r="AA6" s="85"/>
      <c r="AB6" s="86"/>
      <c r="AC6" s="86"/>
      <c r="AD6" s="203"/>
      <c r="AE6" s="85"/>
      <c r="AF6" s="85"/>
      <c r="AG6" s="85"/>
      <c r="AH6" s="85"/>
      <c r="AI6" s="4"/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9"/>
    </row>
    <row r="7" spans="1:48" ht="15" customHeight="1" x14ac:dyDescent="0.25">
      <c r="A7" s="96">
        <f>B7+$B$1-1</f>
        <v>45133.958333333336</v>
      </c>
      <c r="B7" s="198">
        <v>0.95833333333333304</v>
      </c>
      <c r="C7" s="199" t="s">
        <v>130</v>
      </c>
      <c r="D7" s="79"/>
      <c r="E7" s="80" t="str">
        <f t="shared" ref="E7:E14" si="0">IF(D7&gt;0,D7-D6,"")</f>
        <v/>
      </c>
      <c r="F7" s="200">
        <f>F6</f>
        <v>200</v>
      </c>
      <c r="G7" s="79"/>
      <c r="H7" s="79"/>
      <c r="I7" s="79"/>
      <c r="J7" s="202"/>
      <c r="K7" s="202"/>
      <c r="L7" s="85"/>
      <c r="M7" s="85"/>
      <c r="N7" s="79"/>
      <c r="O7" s="79"/>
      <c r="P7" s="79"/>
      <c r="Q7" s="79"/>
      <c r="R7" s="79"/>
      <c r="S7" s="85"/>
      <c r="T7" s="85"/>
      <c r="U7" s="86"/>
      <c r="V7" s="86"/>
      <c r="W7" s="86"/>
      <c r="X7" s="86"/>
      <c r="Y7" s="85"/>
      <c r="Z7" s="85"/>
      <c r="AA7" s="85"/>
      <c r="AB7" s="86"/>
      <c r="AC7" s="86"/>
      <c r="AD7" s="203"/>
      <c r="AE7" s="79"/>
      <c r="AF7" s="115"/>
      <c r="AG7" s="115"/>
      <c r="AH7" s="115"/>
      <c r="AI7" s="101"/>
      <c r="AJ7" s="101"/>
      <c r="AK7" s="102">
        <f t="shared" ref="AK7:AK13" si="1">AO7</f>
        <v>1</v>
      </c>
      <c r="AL7" s="103">
        <f>IF(AI7&lt;&gt;"",AI7+$B$1-1,B7+$B$1-1/24)</f>
        <v>45134.916666666672</v>
      </c>
      <c r="AM7" s="102">
        <f>AK6</f>
        <v>1</v>
      </c>
      <c r="AN7" s="102">
        <f t="shared" ref="AN7:AN14" si="2">IF(AI7="",AM7,0)</f>
        <v>1</v>
      </c>
      <c r="AO7" s="102">
        <f t="shared" ref="AO7:AO14" si="3">IF(AJ7&lt;&gt;"",1,AN7)</f>
        <v>1</v>
      </c>
      <c r="AP7" s="103">
        <f>IF(AJ7&lt;&gt;"",AJ7+$B$1-1,B7+$B$1-1)</f>
        <v>45133.958333333336</v>
      </c>
      <c r="AQ7" s="103">
        <f t="shared" ref="AQ7:AQ14" si="4">AL7-A7+1/24</f>
        <v>1.0000000000024254</v>
      </c>
      <c r="AR7" s="103">
        <f>AP7-AL7</f>
        <v>-0.95833333333575865</v>
      </c>
      <c r="AS7" s="103">
        <f t="shared" ref="AS7:AS14" si="5">A7-AP7</f>
        <v>0</v>
      </c>
      <c r="AT7" s="103">
        <f t="shared" ref="AT7:AT14" ca="1" si="6">IF(A7&lt;$AU$1,SUMPRODUCT(AM7:AO7,AQ7:AS7),0)</f>
        <v>4.1666666666666741E-2</v>
      </c>
      <c r="AU7" s="104">
        <f t="shared" ref="AU7:AU14" ca="1" si="7">IF(A7&lt;$AU$1,1/24-AT7,0)</f>
        <v>-7.6327832942979512E-17</v>
      </c>
      <c r="AV7" s="239"/>
    </row>
    <row r="8" spans="1:48" x14ac:dyDescent="0.25">
      <c r="A8" s="96">
        <f t="shared" ref="A8:A23" si="8">B8+$B$1</f>
        <v>45134</v>
      </c>
      <c r="B8" s="198">
        <v>0</v>
      </c>
      <c r="C8" s="199" t="s">
        <v>130</v>
      </c>
      <c r="D8" s="79"/>
      <c r="E8" s="80" t="str">
        <f t="shared" si="0"/>
        <v/>
      </c>
      <c r="F8" s="200">
        <f t="shared" ref="F8:F33" si="9">F7</f>
        <v>200</v>
      </c>
      <c r="G8" s="79"/>
      <c r="H8" s="79"/>
      <c r="I8" s="79"/>
      <c r="J8" s="202"/>
      <c r="K8" s="202"/>
      <c r="L8" s="85"/>
      <c r="M8" s="85"/>
      <c r="N8" s="79"/>
      <c r="O8" s="79"/>
      <c r="P8" s="79"/>
      <c r="Q8" s="79"/>
      <c r="R8" s="79"/>
      <c r="S8" s="85"/>
      <c r="T8" s="85"/>
      <c r="U8" s="86"/>
      <c r="V8" s="86"/>
      <c r="W8" s="86"/>
      <c r="X8" s="86"/>
      <c r="Y8" s="85"/>
      <c r="Z8" s="85"/>
      <c r="AA8" s="85"/>
      <c r="AB8" s="86"/>
      <c r="AC8" s="86"/>
      <c r="AD8" s="203"/>
      <c r="AE8" s="115"/>
      <c r="AF8" s="115"/>
      <c r="AG8" s="115"/>
      <c r="AH8" s="115"/>
      <c r="AI8" s="101"/>
      <c r="AJ8" s="101"/>
      <c r="AK8" s="102">
        <f t="shared" si="1"/>
        <v>1</v>
      </c>
      <c r="AL8" s="103">
        <f>IF(AI8&lt;&gt;"",AI8+$B$1-1,B8+$B$1-1/24)</f>
        <v>45133.958333333336</v>
      </c>
      <c r="AM8" s="102">
        <f t="shared" ref="AM8:AM14" si="10">AK7</f>
        <v>1</v>
      </c>
      <c r="AN8" s="102">
        <f t="shared" si="2"/>
        <v>1</v>
      </c>
      <c r="AO8" s="102">
        <f t="shared" si="3"/>
        <v>1</v>
      </c>
      <c r="AP8" s="103">
        <f>IF(AJ8&lt;&gt;"",AJ8+$B$1-1,B8+$B$1)</f>
        <v>45134</v>
      </c>
      <c r="AQ8" s="103">
        <f t="shared" si="4"/>
        <v>2.425316891763174E-12</v>
      </c>
      <c r="AR8" s="103">
        <f t="shared" ref="AR8:AR14" si="11">AP8-AL8</f>
        <v>4.1666666664241347E-2</v>
      </c>
      <c r="AS8" s="103">
        <f t="shared" si="5"/>
        <v>0</v>
      </c>
      <c r="AT8" s="103">
        <f t="shared" ca="1" si="6"/>
        <v>4.1666666666666664E-2</v>
      </c>
      <c r="AU8" s="104">
        <f t="shared" ca="1" si="7"/>
        <v>0</v>
      </c>
      <c r="AV8" s="239"/>
    </row>
    <row r="9" spans="1:48" x14ac:dyDescent="0.25">
      <c r="A9" s="96">
        <f t="shared" si="8"/>
        <v>45134.041666666664</v>
      </c>
      <c r="B9" s="198">
        <v>4.1666666666666664E-2</v>
      </c>
      <c r="C9" s="199" t="s">
        <v>130</v>
      </c>
      <c r="D9" s="79"/>
      <c r="E9" s="80" t="str">
        <f t="shared" si="0"/>
        <v/>
      </c>
      <c r="F9" s="200">
        <f t="shared" si="9"/>
        <v>200</v>
      </c>
      <c r="G9" s="79"/>
      <c r="H9" s="79"/>
      <c r="I9" s="79"/>
      <c r="J9" s="202"/>
      <c r="K9" s="202"/>
      <c r="L9" s="85"/>
      <c r="M9" s="85"/>
      <c r="N9" s="79"/>
      <c r="O9" s="79"/>
      <c r="P9" s="79"/>
      <c r="Q9" s="79"/>
      <c r="R9" s="79"/>
      <c r="S9" s="85"/>
      <c r="T9" s="85"/>
      <c r="U9" s="86"/>
      <c r="V9" s="86"/>
      <c r="W9" s="86"/>
      <c r="X9" s="86"/>
      <c r="Y9" s="85"/>
      <c r="Z9" s="85"/>
      <c r="AA9" s="85"/>
      <c r="AB9" s="86"/>
      <c r="AC9" s="86"/>
      <c r="AD9" s="203"/>
      <c r="AE9" s="115"/>
      <c r="AF9" s="115"/>
      <c r="AG9" s="115"/>
      <c r="AH9" s="115"/>
      <c r="AI9" s="101"/>
      <c r="AJ9" s="101"/>
      <c r="AK9" s="102">
        <f t="shared" si="1"/>
        <v>1</v>
      </c>
      <c r="AL9" s="103">
        <f t="shared" ref="AL9:AL14" si="12">IF(AI9&lt;&gt;"",AI9+$B$1,B9+$B$1-1/24)</f>
        <v>45134</v>
      </c>
      <c r="AM9" s="102">
        <f t="shared" si="10"/>
        <v>1</v>
      </c>
      <c r="AN9" s="102">
        <f t="shared" si="2"/>
        <v>1</v>
      </c>
      <c r="AO9" s="102">
        <f t="shared" si="3"/>
        <v>1</v>
      </c>
      <c r="AP9" s="103">
        <f t="shared" ref="AP9:AP14" si="13">IF(AJ9&lt;&gt;"",AJ9+$B$1,B9+$B$1)</f>
        <v>45134.041666666664</v>
      </c>
      <c r="AQ9" s="103">
        <f t="shared" si="4"/>
        <v>2.425316891763174E-12</v>
      </c>
      <c r="AR9" s="103">
        <f t="shared" si="11"/>
        <v>4.1666666664241347E-2</v>
      </c>
      <c r="AS9" s="103">
        <f t="shared" si="5"/>
        <v>0</v>
      </c>
      <c r="AT9" s="103">
        <f t="shared" ca="1" si="6"/>
        <v>4.1666666666666664E-2</v>
      </c>
      <c r="AU9" s="104">
        <f t="shared" ca="1" si="7"/>
        <v>0</v>
      </c>
      <c r="AV9" s="239"/>
    </row>
    <row r="10" spans="1:48" ht="15" customHeight="1" x14ac:dyDescent="0.25">
      <c r="A10" s="96">
        <f t="shared" si="8"/>
        <v>45134.083333333336</v>
      </c>
      <c r="B10" s="198">
        <v>8.3333333333333329E-2</v>
      </c>
      <c r="C10" s="199" t="s">
        <v>130</v>
      </c>
      <c r="D10" s="79"/>
      <c r="E10" s="80" t="str">
        <f t="shared" si="0"/>
        <v/>
      </c>
      <c r="F10" s="200">
        <f t="shared" si="9"/>
        <v>200</v>
      </c>
      <c r="G10" s="79"/>
      <c r="H10" s="79"/>
      <c r="I10" s="79"/>
      <c r="J10" s="202"/>
      <c r="K10" s="202"/>
      <c r="L10" s="85"/>
      <c r="M10" s="85"/>
      <c r="N10" s="79"/>
      <c r="O10" s="79"/>
      <c r="P10" s="79"/>
      <c r="Q10" s="79"/>
      <c r="R10" s="79"/>
      <c r="S10" s="85"/>
      <c r="T10" s="85"/>
      <c r="U10" s="86"/>
      <c r="V10" s="86"/>
      <c r="W10" s="86"/>
      <c r="X10" s="86"/>
      <c r="Y10" s="85"/>
      <c r="Z10" s="85"/>
      <c r="AA10" s="85"/>
      <c r="AB10" s="86"/>
      <c r="AC10" s="86"/>
      <c r="AD10" s="203"/>
      <c r="AE10" s="115"/>
      <c r="AF10" s="115"/>
      <c r="AG10" s="115"/>
      <c r="AH10" s="115"/>
      <c r="AI10" s="101"/>
      <c r="AJ10" s="101"/>
      <c r="AK10" s="102">
        <f t="shared" si="1"/>
        <v>1</v>
      </c>
      <c r="AL10" s="103">
        <f t="shared" si="12"/>
        <v>45134.041666666672</v>
      </c>
      <c r="AM10" s="102">
        <f t="shared" si="10"/>
        <v>1</v>
      </c>
      <c r="AN10" s="102">
        <f t="shared" si="2"/>
        <v>1</v>
      </c>
      <c r="AO10" s="102">
        <f t="shared" si="3"/>
        <v>1</v>
      </c>
      <c r="AP10" s="103">
        <f t="shared" si="13"/>
        <v>45134.083333333336</v>
      </c>
      <c r="AQ10" s="103">
        <f t="shared" si="4"/>
        <v>2.425316891763174E-12</v>
      </c>
      <c r="AR10" s="103">
        <f t="shared" si="11"/>
        <v>4.1666666664241347E-2</v>
      </c>
      <c r="AS10" s="103">
        <f t="shared" si="5"/>
        <v>0</v>
      </c>
      <c r="AT10" s="103">
        <f t="shared" ca="1" si="6"/>
        <v>4.1666666666666664E-2</v>
      </c>
      <c r="AU10" s="104">
        <f t="shared" ca="1" si="7"/>
        <v>0</v>
      </c>
      <c r="AV10" s="239"/>
    </row>
    <row r="11" spans="1:48" ht="15" customHeight="1" x14ac:dyDescent="0.25">
      <c r="A11" s="96">
        <f t="shared" si="8"/>
        <v>45134.125</v>
      </c>
      <c r="B11" s="198">
        <v>0.125</v>
      </c>
      <c r="C11" s="199" t="s">
        <v>130</v>
      </c>
      <c r="D11" s="79"/>
      <c r="E11" s="80" t="str">
        <f t="shared" si="0"/>
        <v/>
      </c>
      <c r="F11" s="200">
        <f t="shared" si="9"/>
        <v>200</v>
      </c>
      <c r="G11" s="79"/>
      <c r="H11" s="79"/>
      <c r="I11" s="79"/>
      <c r="J11" s="202"/>
      <c r="K11" s="202"/>
      <c r="L11" s="85"/>
      <c r="M11" s="85"/>
      <c r="N11" s="79"/>
      <c r="O11" s="79"/>
      <c r="P11" s="79"/>
      <c r="Q11" s="79"/>
      <c r="R11" s="79"/>
      <c r="S11" s="85"/>
      <c r="T11" s="85"/>
      <c r="U11" s="86"/>
      <c r="V11" s="86"/>
      <c r="W11" s="86"/>
      <c r="X11" s="86"/>
      <c r="Y11" s="85"/>
      <c r="Z11" s="85"/>
      <c r="AA11" s="85"/>
      <c r="AB11" s="86"/>
      <c r="AC11" s="86"/>
      <c r="AD11" s="203"/>
      <c r="AE11" s="115"/>
      <c r="AF11" s="115"/>
      <c r="AG11" s="115"/>
      <c r="AH11" s="115"/>
      <c r="AI11" s="101"/>
      <c r="AJ11" s="101"/>
      <c r="AK11" s="102">
        <f t="shared" si="1"/>
        <v>1</v>
      </c>
      <c r="AL11" s="103">
        <f t="shared" si="12"/>
        <v>45134.083333333336</v>
      </c>
      <c r="AM11" s="102">
        <f t="shared" si="10"/>
        <v>1</v>
      </c>
      <c r="AN11" s="102">
        <f>IF(AI11="",AM11,0)</f>
        <v>1</v>
      </c>
      <c r="AO11" s="102">
        <f t="shared" si="3"/>
        <v>1</v>
      </c>
      <c r="AP11" s="103">
        <f t="shared" si="13"/>
        <v>45134.125</v>
      </c>
      <c r="AQ11" s="103">
        <f t="shared" si="4"/>
        <v>2.425316891763174E-12</v>
      </c>
      <c r="AR11" s="103">
        <f t="shared" si="11"/>
        <v>4.1666666664241347E-2</v>
      </c>
      <c r="AS11" s="103">
        <f t="shared" si="5"/>
        <v>0</v>
      </c>
      <c r="AT11" s="103">
        <f t="shared" ca="1" si="6"/>
        <v>4.1666666666666664E-2</v>
      </c>
      <c r="AU11" s="104">
        <f t="shared" ca="1" si="7"/>
        <v>0</v>
      </c>
      <c r="AV11" s="239"/>
    </row>
    <row r="12" spans="1:48" ht="14.45" customHeight="1" x14ac:dyDescent="0.25">
      <c r="A12" s="96">
        <f t="shared" si="8"/>
        <v>45134.166666666664</v>
      </c>
      <c r="B12" s="198">
        <v>0.16666666666666666</v>
      </c>
      <c r="C12" s="199" t="s">
        <v>130</v>
      </c>
      <c r="D12" s="79"/>
      <c r="E12" s="80" t="str">
        <f t="shared" si="0"/>
        <v/>
      </c>
      <c r="F12" s="200">
        <f t="shared" si="9"/>
        <v>200</v>
      </c>
      <c r="G12" s="79"/>
      <c r="H12" s="79"/>
      <c r="I12" s="79"/>
      <c r="J12" s="202"/>
      <c r="K12" s="202"/>
      <c r="L12" s="85"/>
      <c r="M12" s="85"/>
      <c r="N12" s="79"/>
      <c r="O12" s="79"/>
      <c r="P12" s="79"/>
      <c r="Q12" s="79"/>
      <c r="R12" s="79"/>
      <c r="S12" s="85"/>
      <c r="T12" s="85"/>
      <c r="U12" s="86"/>
      <c r="V12" s="86"/>
      <c r="W12" s="86"/>
      <c r="X12" s="86"/>
      <c r="Y12" s="85"/>
      <c r="Z12" s="85"/>
      <c r="AA12" s="85"/>
      <c r="AB12" s="86"/>
      <c r="AC12" s="86"/>
      <c r="AD12" s="203"/>
      <c r="AE12" s="85"/>
      <c r="AF12" s="115"/>
      <c r="AG12" s="115"/>
      <c r="AH12" s="115"/>
      <c r="AI12" s="101"/>
      <c r="AJ12" s="101"/>
      <c r="AK12" s="102">
        <f t="shared" si="1"/>
        <v>1</v>
      </c>
      <c r="AL12" s="103">
        <f t="shared" si="12"/>
        <v>45134.125</v>
      </c>
      <c r="AM12" s="102">
        <f t="shared" si="10"/>
        <v>1</v>
      </c>
      <c r="AN12" s="102">
        <f>IF(AI12="",AM12,0)</f>
        <v>1</v>
      </c>
      <c r="AO12" s="102">
        <f t="shared" si="3"/>
        <v>1</v>
      </c>
      <c r="AP12" s="103">
        <f t="shared" si="13"/>
        <v>45134.166666666664</v>
      </c>
      <c r="AQ12" s="103">
        <f t="shared" si="4"/>
        <v>2.425316891763174E-12</v>
      </c>
      <c r="AR12" s="103">
        <f t="shared" si="11"/>
        <v>4.1666666664241347E-2</v>
      </c>
      <c r="AS12" s="103">
        <f t="shared" si="5"/>
        <v>0</v>
      </c>
      <c r="AT12" s="103">
        <f t="shared" ca="1" si="6"/>
        <v>4.1666666666666664E-2</v>
      </c>
      <c r="AU12" s="104">
        <f t="shared" ca="1" si="7"/>
        <v>0</v>
      </c>
      <c r="AV12" s="239"/>
    </row>
    <row r="13" spans="1:48" ht="15" customHeight="1" x14ac:dyDescent="0.25">
      <c r="A13" s="96">
        <f t="shared" si="8"/>
        <v>45134.208333333336</v>
      </c>
      <c r="B13" s="198">
        <v>0.20833333333333334</v>
      </c>
      <c r="C13" s="199" t="s">
        <v>130</v>
      </c>
      <c r="D13" s="79"/>
      <c r="E13" s="80" t="str">
        <f t="shared" si="0"/>
        <v/>
      </c>
      <c r="F13" s="200">
        <f t="shared" si="9"/>
        <v>200</v>
      </c>
      <c r="G13" s="79"/>
      <c r="H13" s="79"/>
      <c r="I13" s="79"/>
      <c r="J13" s="202"/>
      <c r="K13" s="202"/>
      <c r="L13" s="85"/>
      <c r="M13" s="85"/>
      <c r="N13" s="79"/>
      <c r="O13" s="79"/>
      <c r="P13" s="79"/>
      <c r="Q13" s="79"/>
      <c r="R13" s="79"/>
      <c r="S13" s="85"/>
      <c r="T13" s="85"/>
      <c r="U13" s="86"/>
      <c r="V13" s="86"/>
      <c r="W13" s="86"/>
      <c r="X13" s="86"/>
      <c r="Y13" s="85"/>
      <c r="Z13" s="85"/>
      <c r="AA13" s="85"/>
      <c r="AB13" s="86"/>
      <c r="AC13" s="86"/>
      <c r="AD13" s="203"/>
      <c r="AE13" s="85"/>
      <c r="AF13" s="115"/>
      <c r="AG13" s="115"/>
      <c r="AH13" s="115"/>
      <c r="AI13" s="101"/>
      <c r="AJ13" s="101"/>
      <c r="AK13" s="102">
        <f t="shared" si="1"/>
        <v>1</v>
      </c>
      <c r="AL13" s="103">
        <f t="shared" si="12"/>
        <v>45134.166666666672</v>
      </c>
      <c r="AM13" s="102">
        <f t="shared" si="10"/>
        <v>1</v>
      </c>
      <c r="AN13" s="102">
        <f t="shared" si="2"/>
        <v>1</v>
      </c>
      <c r="AO13" s="102">
        <f t="shared" si="3"/>
        <v>1</v>
      </c>
      <c r="AP13" s="103">
        <f t="shared" si="13"/>
        <v>45134.208333333336</v>
      </c>
      <c r="AQ13" s="103">
        <f t="shared" si="4"/>
        <v>2.425316891763174E-12</v>
      </c>
      <c r="AR13" s="103">
        <f t="shared" si="11"/>
        <v>4.1666666664241347E-2</v>
      </c>
      <c r="AS13" s="103">
        <f t="shared" si="5"/>
        <v>0</v>
      </c>
      <c r="AT13" s="103">
        <f t="shared" ca="1" si="6"/>
        <v>4.1666666666666664E-2</v>
      </c>
      <c r="AU13" s="104">
        <f t="shared" ca="1" si="7"/>
        <v>0</v>
      </c>
      <c r="AV13" s="239"/>
    </row>
    <row r="14" spans="1:48" x14ac:dyDescent="0.25">
      <c r="A14" s="96">
        <f t="shared" si="8"/>
        <v>45134.25</v>
      </c>
      <c r="B14" s="198">
        <v>0.25</v>
      </c>
      <c r="C14" s="199" t="s">
        <v>130</v>
      </c>
      <c r="D14" s="79"/>
      <c r="E14" s="80" t="str">
        <f t="shared" si="0"/>
        <v/>
      </c>
      <c r="F14" s="204">
        <f t="shared" si="9"/>
        <v>200</v>
      </c>
      <c r="G14" s="79"/>
      <c r="H14" s="79"/>
      <c r="I14" s="79"/>
      <c r="J14" s="202"/>
      <c r="K14" s="202"/>
      <c r="L14" s="85"/>
      <c r="M14" s="85"/>
      <c r="N14" s="79"/>
      <c r="O14" s="79"/>
      <c r="P14" s="79"/>
      <c r="Q14" s="79"/>
      <c r="R14" s="79"/>
      <c r="S14" s="85"/>
      <c r="T14" s="85"/>
      <c r="U14" s="86"/>
      <c r="V14" s="86"/>
      <c r="W14" s="86"/>
      <c r="X14" s="86"/>
      <c r="Y14" s="85"/>
      <c r="Z14" s="85"/>
      <c r="AA14" s="85"/>
      <c r="AB14" s="86"/>
      <c r="AC14" s="86"/>
      <c r="AD14" s="203"/>
      <c r="AE14" s="85"/>
      <c r="AF14" s="85"/>
      <c r="AG14" s="85"/>
      <c r="AH14" s="85"/>
      <c r="AI14" s="101"/>
      <c r="AJ14" s="101"/>
      <c r="AK14" s="102">
        <f>AO14</f>
        <v>1</v>
      </c>
      <c r="AL14" s="103">
        <f t="shared" si="12"/>
        <v>45134.208333333336</v>
      </c>
      <c r="AM14" s="102">
        <f t="shared" si="10"/>
        <v>1</v>
      </c>
      <c r="AN14" s="102">
        <f t="shared" si="2"/>
        <v>1</v>
      </c>
      <c r="AO14" s="102">
        <f t="shared" si="3"/>
        <v>1</v>
      </c>
      <c r="AP14" s="103">
        <f t="shared" si="13"/>
        <v>45134.25</v>
      </c>
      <c r="AQ14" s="103">
        <f t="shared" si="4"/>
        <v>2.425316891763174E-12</v>
      </c>
      <c r="AR14" s="103">
        <f t="shared" si="11"/>
        <v>4.1666666664241347E-2</v>
      </c>
      <c r="AS14" s="103">
        <f t="shared" si="5"/>
        <v>0</v>
      </c>
      <c r="AT14" s="103">
        <f t="shared" ca="1" si="6"/>
        <v>4.1666666666666664E-2</v>
      </c>
      <c r="AU14" s="104">
        <f t="shared" ca="1" si="7"/>
        <v>0</v>
      </c>
      <c r="AV14" s="239"/>
    </row>
    <row r="15" spans="1:48" x14ac:dyDescent="0.25">
      <c r="A15" s="96"/>
      <c r="B15" s="7" t="s">
        <v>58</v>
      </c>
      <c r="C15" s="7"/>
      <c r="D15" s="7">
        <f>IF(D14=0,SUM(E7:E14),D14-D6)</f>
        <v>0</v>
      </c>
      <c r="E15" s="121">
        <f ca="1">IFERROR(D15/24/AT15,"")</f>
        <v>0</v>
      </c>
      <c r="F15" s="125">
        <f t="shared" si="9"/>
        <v>200</v>
      </c>
      <c r="G15" s="7">
        <f>SUM(G6:G14)</f>
        <v>0</v>
      </c>
      <c r="H15" s="205"/>
      <c r="I15" s="124" t="str">
        <f>IFERROR(AVERAGE(I7:I14),"")</f>
        <v/>
      </c>
      <c r="J15" s="206" t="str">
        <f>IFERROR(+AVERAGE(J7:J14),"")</f>
        <v/>
      </c>
      <c r="K15" s="206" t="str">
        <f>IFERROR(+AVERAGE(K7:K14),"")</f>
        <v/>
      </c>
      <c r="L15" s="124" t="str">
        <f>IFERROR(AVERAGE(L7:L14),"")</f>
        <v/>
      </c>
      <c r="M15" s="124" t="str">
        <f>IFERROR(AVERAGE(M7:M14),"")</f>
        <v/>
      </c>
      <c r="N15" s="124" t="str">
        <f>IFERROR(AVERAGE(N7:N14),"")</f>
        <v/>
      </c>
      <c r="O15" s="125">
        <f>IF(O14=0,SUM(P7:P14),O14-O6)</f>
        <v>0</v>
      </c>
      <c r="P15" s="121"/>
      <c r="Q15" s="126" t="str">
        <f>IFERROR(AVERAGE(Q7:Q14),"")</f>
        <v/>
      </c>
      <c r="R15" s="126"/>
      <c r="S15" s="126"/>
      <c r="T15" s="126"/>
      <c r="U15" s="129"/>
      <c r="V15" s="129"/>
      <c r="W15" s="129"/>
      <c r="X15" s="129"/>
      <c r="Y15" s="129"/>
      <c r="Z15" s="129"/>
      <c r="AA15" s="207"/>
      <c r="AB15" s="207"/>
      <c r="AC15" s="207"/>
      <c r="AD15" s="208" t="str">
        <f t="shared" ref="AD15:AH15" si="14">IFERROR(AVERAGE(AD7:AD14),"")</f>
        <v/>
      </c>
      <c r="AE15" s="126" t="str">
        <f t="shared" si="14"/>
        <v/>
      </c>
      <c r="AF15" s="126" t="str">
        <f t="shared" si="14"/>
        <v/>
      </c>
      <c r="AG15" s="126" t="str">
        <f t="shared" si="14"/>
        <v/>
      </c>
      <c r="AH15" s="126" t="str">
        <f t="shared" si="14"/>
        <v/>
      </c>
      <c r="AI15" s="132"/>
      <c r="AJ15" s="132"/>
      <c r="AK15" s="120">
        <f>AK14</f>
        <v>1</v>
      </c>
      <c r="AL15" s="120"/>
      <c r="AM15" s="120"/>
      <c r="AN15" s="120"/>
      <c r="AO15" s="120"/>
      <c r="AP15" s="120"/>
      <c r="AQ15" s="120"/>
      <c r="AR15" s="120"/>
      <c r="AS15" s="120"/>
      <c r="AT15" s="133">
        <f ca="1">SUM(AT7:AT14)</f>
        <v>0.33333333333333343</v>
      </c>
      <c r="AU15" s="133">
        <f ca="1">SUM(AU7:AU14)</f>
        <v>-7.6327832942979512E-17</v>
      </c>
      <c r="AV15" s="132"/>
    </row>
    <row r="16" spans="1:48" ht="13.15" customHeight="1" x14ac:dyDescent="0.25">
      <c r="A16" s="96">
        <f t="shared" si="8"/>
        <v>45134.291666666664</v>
      </c>
      <c r="B16" s="198">
        <v>0.29166666666666669</v>
      </c>
      <c r="C16" s="199" t="s">
        <v>130</v>
      </c>
      <c r="D16" s="79"/>
      <c r="E16" s="80" t="str">
        <f>IF(D16&gt;0,D16-D14,"")</f>
        <v/>
      </c>
      <c r="F16" s="200">
        <f t="shared" si="9"/>
        <v>200</v>
      </c>
      <c r="G16" s="210"/>
      <c r="H16" s="210"/>
      <c r="I16" s="209"/>
      <c r="J16" s="211"/>
      <c r="K16" s="211"/>
      <c r="L16" s="209"/>
      <c r="M16" s="209"/>
      <c r="N16" s="79"/>
      <c r="O16" s="79"/>
      <c r="P16" s="79"/>
      <c r="Q16" s="79"/>
      <c r="R16" s="79"/>
      <c r="S16" s="85"/>
      <c r="T16" s="85"/>
      <c r="U16" s="86"/>
      <c r="V16" s="86"/>
      <c r="W16" s="86"/>
      <c r="X16" s="86"/>
      <c r="Y16" s="85"/>
      <c r="Z16" s="85"/>
      <c r="AA16" s="85"/>
      <c r="AB16" s="86"/>
      <c r="AC16" s="86"/>
      <c r="AD16" s="213"/>
      <c r="AE16" s="209"/>
      <c r="AF16" s="209"/>
      <c r="AG16" s="209"/>
      <c r="AH16" s="209"/>
      <c r="AI16" s="101"/>
      <c r="AJ16" s="101"/>
      <c r="AK16" s="102">
        <f t="shared" ref="AK16:AK23" si="15">AO16</f>
        <v>1</v>
      </c>
      <c r="AL16" s="103">
        <f t="shared" ref="AL16:AL23" si="16">IF(AI16&lt;&gt;"",AI16+$B$1,B16+$B$1-1/24)</f>
        <v>45134.25</v>
      </c>
      <c r="AM16" s="102">
        <f t="shared" ref="AM16:AM23" si="17">AK15</f>
        <v>1</v>
      </c>
      <c r="AN16" s="102">
        <f t="shared" ref="AN16:AN23" si="18">IF(AI16="",AM16,0)</f>
        <v>1</v>
      </c>
      <c r="AO16" s="102">
        <f t="shared" ref="AO16:AO23" si="19">IF(AJ16&lt;&gt;"",1,AN16)</f>
        <v>1</v>
      </c>
      <c r="AP16" s="103">
        <f t="shared" ref="AP16:AP23" si="20">IF(AJ16&lt;&gt;"",AJ16+$B$1,B16+$B$1)</f>
        <v>45134.291666666664</v>
      </c>
      <c r="AQ16" s="103">
        <f t="shared" ref="AQ16:AQ23" si="21">AL16-A16+1/24</f>
        <v>2.425316891763174E-12</v>
      </c>
      <c r="AR16" s="103">
        <f>AP16-AL16</f>
        <v>4.1666666664241347E-2</v>
      </c>
      <c r="AS16" s="103">
        <f t="shared" ref="AS16:AS23" si="22">A16-AP16</f>
        <v>0</v>
      </c>
      <c r="AT16" s="103">
        <f t="shared" ref="AT16:AT23" ca="1" si="23">IF(A16&lt;$AU$1,SUMPRODUCT(AM16:AO16,AQ16:AS16),0)</f>
        <v>4.1666666666666664E-2</v>
      </c>
      <c r="AU16" s="104">
        <f t="shared" ref="AU16:AU23" ca="1" si="24">IF(A16&lt;$AU$1,1/24-AT16,0)</f>
        <v>0</v>
      </c>
      <c r="AV16" s="239"/>
    </row>
    <row r="17" spans="1:48" x14ac:dyDescent="0.25">
      <c r="A17" s="96">
        <f t="shared" si="8"/>
        <v>45134.333333333336</v>
      </c>
      <c r="B17" s="198">
        <v>0.33333333333333331</v>
      </c>
      <c r="C17" s="199" t="s">
        <v>130</v>
      </c>
      <c r="D17" s="79"/>
      <c r="E17" s="80" t="str">
        <f>IF(D17&gt;0,D17-D16,"")</f>
        <v/>
      </c>
      <c r="F17" s="200">
        <f t="shared" si="9"/>
        <v>200</v>
      </c>
      <c r="G17" s="210"/>
      <c r="H17" s="210"/>
      <c r="I17" s="209"/>
      <c r="J17" s="211"/>
      <c r="K17" s="211"/>
      <c r="L17" s="209"/>
      <c r="M17" s="209"/>
      <c r="N17" s="79"/>
      <c r="O17" s="79"/>
      <c r="P17" s="79"/>
      <c r="Q17" s="79"/>
      <c r="R17" s="79"/>
      <c r="S17" s="85"/>
      <c r="T17" s="85"/>
      <c r="U17" s="86"/>
      <c r="V17" s="86"/>
      <c r="W17" s="86"/>
      <c r="X17" s="86"/>
      <c r="Y17" s="85"/>
      <c r="Z17" s="85"/>
      <c r="AA17" s="85"/>
      <c r="AB17" s="86"/>
      <c r="AC17" s="86"/>
      <c r="AD17" s="213"/>
      <c r="AE17" s="209"/>
      <c r="AF17" s="209"/>
      <c r="AG17" s="209"/>
      <c r="AH17" s="209"/>
      <c r="AI17" s="101"/>
      <c r="AJ17" s="101"/>
      <c r="AK17" s="102">
        <f t="shared" si="15"/>
        <v>1</v>
      </c>
      <c r="AL17" s="103">
        <f t="shared" si="16"/>
        <v>45134.291666666672</v>
      </c>
      <c r="AM17" s="102">
        <f t="shared" si="17"/>
        <v>1</v>
      </c>
      <c r="AN17" s="102">
        <f t="shared" si="18"/>
        <v>1</v>
      </c>
      <c r="AO17" s="102">
        <f t="shared" si="19"/>
        <v>1</v>
      </c>
      <c r="AP17" s="103">
        <f t="shared" si="20"/>
        <v>45134.333333333336</v>
      </c>
      <c r="AQ17" s="103">
        <f t="shared" si="21"/>
        <v>2.425316891763174E-12</v>
      </c>
      <c r="AR17" s="103">
        <f t="shared" ref="AR17:AR23" si="25">AP17-AL17</f>
        <v>4.1666666664241347E-2</v>
      </c>
      <c r="AS17" s="103">
        <f t="shared" si="22"/>
        <v>0</v>
      </c>
      <c r="AT17" s="103">
        <f t="shared" ca="1" si="23"/>
        <v>4.1666666666666664E-2</v>
      </c>
      <c r="AU17" s="104">
        <f t="shared" ca="1" si="24"/>
        <v>0</v>
      </c>
      <c r="AV17" s="239"/>
    </row>
    <row r="18" spans="1:48" x14ac:dyDescent="0.25">
      <c r="A18" s="96">
        <f t="shared" si="8"/>
        <v>45134.375</v>
      </c>
      <c r="B18" s="198">
        <v>0.375</v>
      </c>
      <c r="C18" s="199" t="s">
        <v>130</v>
      </c>
      <c r="D18" s="79"/>
      <c r="E18" s="80" t="str">
        <f>IF(D18&gt;0,D18-D17,"")</f>
        <v/>
      </c>
      <c r="F18" s="200">
        <f t="shared" si="9"/>
        <v>200</v>
      </c>
      <c r="G18" s="210"/>
      <c r="H18" s="209"/>
      <c r="I18" s="210"/>
      <c r="J18" s="211"/>
      <c r="K18" s="209"/>
      <c r="L18" s="209"/>
      <c r="M18" s="209"/>
      <c r="N18" s="209"/>
      <c r="O18" s="209"/>
      <c r="P18" s="79"/>
      <c r="Q18" s="79"/>
      <c r="R18" s="79"/>
      <c r="S18" s="209"/>
      <c r="T18" s="85"/>
      <c r="U18" s="209"/>
      <c r="V18" s="212"/>
      <c r="W18" s="212"/>
      <c r="X18" s="209"/>
      <c r="Y18" s="209"/>
      <c r="Z18" s="209"/>
      <c r="AA18" s="212"/>
      <c r="AB18" s="212"/>
      <c r="AC18" s="213"/>
      <c r="AD18" s="213"/>
      <c r="AE18" s="209"/>
      <c r="AF18" s="209"/>
      <c r="AG18" s="209"/>
      <c r="AH18" s="209"/>
      <c r="AI18" s="101"/>
      <c r="AJ18" s="101"/>
      <c r="AK18" s="102">
        <f t="shared" si="15"/>
        <v>1</v>
      </c>
      <c r="AL18" s="103">
        <f t="shared" si="16"/>
        <v>45134.333333333336</v>
      </c>
      <c r="AM18" s="102">
        <f t="shared" si="17"/>
        <v>1</v>
      </c>
      <c r="AN18" s="102">
        <f t="shared" si="18"/>
        <v>1</v>
      </c>
      <c r="AO18" s="102">
        <f t="shared" si="19"/>
        <v>1</v>
      </c>
      <c r="AP18" s="103">
        <f t="shared" si="20"/>
        <v>45134.375</v>
      </c>
      <c r="AQ18" s="103">
        <f t="shared" si="21"/>
        <v>2.425316891763174E-12</v>
      </c>
      <c r="AR18" s="103">
        <f t="shared" si="25"/>
        <v>4.1666666664241347E-2</v>
      </c>
      <c r="AS18" s="103">
        <f t="shared" si="22"/>
        <v>0</v>
      </c>
      <c r="AT18" s="103">
        <f t="shared" ca="1" si="23"/>
        <v>4.1666666666666664E-2</v>
      </c>
      <c r="AU18" s="104">
        <f t="shared" ca="1" si="24"/>
        <v>0</v>
      </c>
      <c r="AV18" s="239"/>
    </row>
    <row r="19" spans="1:48" ht="15.75" customHeight="1" x14ac:dyDescent="0.25">
      <c r="A19" s="96">
        <f t="shared" si="8"/>
        <v>45134.416666666664</v>
      </c>
      <c r="B19" s="198">
        <v>0.41666666666666702</v>
      </c>
      <c r="C19" s="199" t="s">
        <v>130</v>
      </c>
      <c r="D19" s="79"/>
      <c r="E19" s="80" t="str">
        <f t="shared" ref="E19:E35" si="26">IF(D19&gt;0,D19-D18,"")</f>
        <v/>
      </c>
      <c r="F19" s="200">
        <f t="shared" si="9"/>
        <v>200</v>
      </c>
      <c r="G19" s="210"/>
      <c r="H19" s="209"/>
      <c r="I19" s="210"/>
      <c r="J19" s="211"/>
      <c r="K19" s="209"/>
      <c r="L19" s="209"/>
      <c r="M19" s="209"/>
      <c r="N19" s="209"/>
      <c r="O19" s="209"/>
      <c r="P19" s="79"/>
      <c r="Q19" s="79"/>
      <c r="R19" s="79"/>
      <c r="S19" s="209"/>
      <c r="T19" s="85"/>
      <c r="U19" s="209"/>
      <c r="V19" s="212"/>
      <c r="W19" s="212"/>
      <c r="X19" s="209"/>
      <c r="Y19" s="209"/>
      <c r="Z19" s="209"/>
      <c r="AA19" s="212"/>
      <c r="AB19" s="212"/>
      <c r="AC19" s="213"/>
      <c r="AD19" s="213"/>
      <c r="AE19" s="209"/>
      <c r="AF19" s="209"/>
      <c r="AG19" s="209"/>
      <c r="AH19" s="209"/>
      <c r="AI19" s="101"/>
      <c r="AJ19" s="101"/>
      <c r="AK19" s="102">
        <f t="shared" si="15"/>
        <v>1</v>
      </c>
      <c r="AL19" s="103">
        <f t="shared" si="16"/>
        <v>45134.375</v>
      </c>
      <c r="AM19" s="102">
        <f t="shared" si="17"/>
        <v>1</v>
      </c>
      <c r="AN19" s="102">
        <f t="shared" si="18"/>
        <v>1</v>
      </c>
      <c r="AO19" s="102">
        <f t="shared" si="19"/>
        <v>1</v>
      </c>
      <c r="AP19" s="103">
        <f t="shared" si="20"/>
        <v>45134.416666666664</v>
      </c>
      <c r="AQ19" s="103">
        <f t="shared" si="21"/>
        <v>2.425316891763174E-12</v>
      </c>
      <c r="AR19" s="103">
        <f t="shared" si="25"/>
        <v>4.1666666664241347E-2</v>
      </c>
      <c r="AS19" s="103">
        <f t="shared" si="22"/>
        <v>0</v>
      </c>
      <c r="AT19" s="103">
        <f t="shared" ca="1" si="23"/>
        <v>4.1666666666666664E-2</v>
      </c>
      <c r="AU19" s="104">
        <f t="shared" ca="1" si="24"/>
        <v>0</v>
      </c>
      <c r="AV19" s="239"/>
    </row>
    <row r="20" spans="1:48" x14ac:dyDescent="0.25">
      <c r="A20" s="96">
        <f t="shared" si="8"/>
        <v>45134.458333333336</v>
      </c>
      <c r="B20" s="198">
        <v>0.45833333333333331</v>
      </c>
      <c r="C20" s="199" t="s">
        <v>130</v>
      </c>
      <c r="D20" s="79"/>
      <c r="E20" s="80" t="str">
        <f t="shared" si="26"/>
        <v/>
      </c>
      <c r="F20" s="200">
        <f t="shared" si="9"/>
        <v>200</v>
      </c>
      <c r="G20" s="210"/>
      <c r="H20" s="209"/>
      <c r="I20" s="210"/>
      <c r="J20" s="211"/>
      <c r="K20" s="209"/>
      <c r="L20" s="209"/>
      <c r="M20" s="209"/>
      <c r="N20" s="209"/>
      <c r="O20" s="209"/>
      <c r="P20" s="79"/>
      <c r="Q20" s="79"/>
      <c r="R20" s="79"/>
      <c r="S20" s="209"/>
      <c r="T20" s="85"/>
      <c r="U20" s="209"/>
      <c r="V20" s="212"/>
      <c r="W20" s="212"/>
      <c r="X20" s="209"/>
      <c r="Y20" s="209"/>
      <c r="Z20" s="209"/>
      <c r="AA20" s="212"/>
      <c r="AB20" s="212"/>
      <c r="AC20" s="213"/>
      <c r="AD20" s="213"/>
      <c r="AE20" s="209"/>
      <c r="AF20" s="209"/>
      <c r="AG20" s="209"/>
      <c r="AH20" s="209"/>
      <c r="AI20" s="101"/>
      <c r="AJ20" s="101"/>
      <c r="AK20" s="102">
        <f t="shared" si="15"/>
        <v>1</v>
      </c>
      <c r="AL20" s="103">
        <f t="shared" si="16"/>
        <v>45134.416666666672</v>
      </c>
      <c r="AM20" s="102">
        <f t="shared" si="17"/>
        <v>1</v>
      </c>
      <c r="AN20" s="102">
        <f t="shared" si="18"/>
        <v>1</v>
      </c>
      <c r="AO20" s="102">
        <f t="shared" si="19"/>
        <v>1</v>
      </c>
      <c r="AP20" s="103">
        <f t="shared" si="20"/>
        <v>45134.458333333336</v>
      </c>
      <c r="AQ20" s="103">
        <f t="shared" si="21"/>
        <v>2.425316891763174E-12</v>
      </c>
      <c r="AR20" s="103">
        <f t="shared" si="25"/>
        <v>4.1666666664241347E-2</v>
      </c>
      <c r="AS20" s="103">
        <f t="shared" si="22"/>
        <v>0</v>
      </c>
      <c r="AT20" s="103">
        <f t="shared" ca="1" si="23"/>
        <v>4.1666666666666664E-2</v>
      </c>
      <c r="AU20" s="104">
        <f t="shared" ca="1" si="24"/>
        <v>0</v>
      </c>
      <c r="AV20" s="239"/>
    </row>
    <row r="21" spans="1:48" x14ac:dyDescent="0.25">
      <c r="A21" s="96">
        <f t="shared" si="8"/>
        <v>45134.5</v>
      </c>
      <c r="B21" s="214">
        <v>0.5</v>
      </c>
      <c r="C21" s="199" t="s">
        <v>130</v>
      </c>
      <c r="D21" s="79"/>
      <c r="E21" s="80" t="str">
        <f t="shared" si="26"/>
        <v/>
      </c>
      <c r="F21" s="200">
        <f t="shared" si="9"/>
        <v>200</v>
      </c>
      <c r="G21" s="210"/>
      <c r="H21" s="209"/>
      <c r="I21" s="210"/>
      <c r="J21" s="211"/>
      <c r="K21" s="209"/>
      <c r="L21" s="209"/>
      <c r="M21" s="209"/>
      <c r="N21" s="209"/>
      <c r="O21" s="209"/>
      <c r="P21" s="79"/>
      <c r="Q21" s="79"/>
      <c r="R21" s="79"/>
      <c r="S21" s="209"/>
      <c r="T21" s="85"/>
      <c r="U21" s="209"/>
      <c r="V21" s="212"/>
      <c r="W21" s="212"/>
      <c r="X21" s="209"/>
      <c r="Y21" s="209"/>
      <c r="Z21" s="209"/>
      <c r="AA21" s="212"/>
      <c r="AB21" s="212"/>
      <c r="AC21" s="213"/>
      <c r="AD21" s="213"/>
      <c r="AE21" s="209"/>
      <c r="AF21" s="209"/>
      <c r="AG21" s="209"/>
      <c r="AH21" s="209"/>
      <c r="AI21" s="101"/>
      <c r="AJ21" s="101"/>
      <c r="AK21" s="102">
        <f t="shared" si="15"/>
        <v>1</v>
      </c>
      <c r="AL21" s="103">
        <f t="shared" si="16"/>
        <v>45134.458333333336</v>
      </c>
      <c r="AM21" s="102">
        <f t="shared" si="17"/>
        <v>1</v>
      </c>
      <c r="AN21" s="102">
        <f t="shared" si="18"/>
        <v>1</v>
      </c>
      <c r="AO21" s="102">
        <f t="shared" si="19"/>
        <v>1</v>
      </c>
      <c r="AP21" s="103">
        <f t="shared" si="20"/>
        <v>45134.5</v>
      </c>
      <c r="AQ21" s="103">
        <f t="shared" si="21"/>
        <v>2.425316891763174E-12</v>
      </c>
      <c r="AR21" s="103">
        <f t="shared" si="25"/>
        <v>4.1666666664241347E-2</v>
      </c>
      <c r="AS21" s="103">
        <f t="shared" si="22"/>
        <v>0</v>
      </c>
      <c r="AT21" s="103">
        <f t="shared" ca="1" si="23"/>
        <v>4.1666666666666664E-2</v>
      </c>
      <c r="AU21" s="104">
        <f t="shared" ca="1" si="24"/>
        <v>0</v>
      </c>
      <c r="AV21" s="239"/>
    </row>
    <row r="22" spans="1:48" ht="13.5" customHeight="1" x14ac:dyDescent="0.25">
      <c r="A22" s="96">
        <f t="shared" si="8"/>
        <v>45134.541666666664</v>
      </c>
      <c r="B22" s="214">
        <v>0.54166666666666663</v>
      </c>
      <c r="C22" s="199" t="s">
        <v>130</v>
      </c>
      <c r="D22" s="79"/>
      <c r="E22" s="80" t="str">
        <f t="shared" si="26"/>
        <v/>
      </c>
      <c r="F22" s="200">
        <f t="shared" si="9"/>
        <v>200</v>
      </c>
      <c r="G22" s="210"/>
      <c r="H22" s="209"/>
      <c r="I22" s="210"/>
      <c r="J22" s="211"/>
      <c r="K22" s="209"/>
      <c r="L22" s="209"/>
      <c r="M22" s="209"/>
      <c r="N22" s="209"/>
      <c r="O22" s="209"/>
      <c r="P22" s="79"/>
      <c r="Q22" s="79"/>
      <c r="R22" s="79"/>
      <c r="S22" s="209"/>
      <c r="T22" s="85"/>
      <c r="U22" s="209"/>
      <c r="V22" s="212"/>
      <c r="W22" s="212"/>
      <c r="X22" s="209"/>
      <c r="Y22" s="209"/>
      <c r="Z22" s="209"/>
      <c r="AA22" s="212"/>
      <c r="AB22" s="212"/>
      <c r="AC22" s="213"/>
      <c r="AD22" s="213"/>
      <c r="AE22" s="209"/>
      <c r="AF22" s="209"/>
      <c r="AG22" s="209"/>
      <c r="AH22" s="209"/>
      <c r="AI22" s="101"/>
      <c r="AJ22" s="101"/>
      <c r="AK22" s="102">
        <f t="shared" si="15"/>
        <v>1</v>
      </c>
      <c r="AL22" s="103">
        <f t="shared" si="16"/>
        <v>45134.5</v>
      </c>
      <c r="AM22" s="102">
        <f t="shared" si="17"/>
        <v>1</v>
      </c>
      <c r="AN22" s="102">
        <f t="shared" si="18"/>
        <v>1</v>
      </c>
      <c r="AO22" s="102">
        <f t="shared" si="19"/>
        <v>1</v>
      </c>
      <c r="AP22" s="103">
        <f t="shared" si="20"/>
        <v>45134.541666666664</v>
      </c>
      <c r="AQ22" s="103">
        <f t="shared" si="21"/>
        <v>2.425316891763174E-12</v>
      </c>
      <c r="AR22" s="103">
        <f t="shared" si="25"/>
        <v>4.1666666664241347E-2</v>
      </c>
      <c r="AS22" s="103">
        <f t="shared" si="22"/>
        <v>0</v>
      </c>
      <c r="AT22" s="103">
        <f t="shared" ca="1" si="23"/>
        <v>4.1666666666666664E-2</v>
      </c>
      <c r="AU22" s="104">
        <f t="shared" ca="1" si="24"/>
        <v>0</v>
      </c>
      <c r="AV22" s="239"/>
    </row>
    <row r="23" spans="1:48" x14ac:dyDescent="0.25">
      <c r="A23" s="96">
        <f t="shared" si="8"/>
        <v>45134.583333333336</v>
      </c>
      <c r="B23" s="215">
        <v>0.58333333333333337</v>
      </c>
      <c r="C23" s="199" t="s">
        <v>130</v>
      </c>
      <c r="D23" s="79"/>
      <c r="E23" s="80" t="str">
        <f t="shared" si="26"/>
        <v/>
      </c>
      <c r="F23" s="200">
        <f t="shared" si="9"/>
        <v>200</v>
      </c>
      <c r="G23" s="210"/>
      <c r="H23" s="209"/>
      <c r="I23" s="210"/>
      <c r="J23" s="211"/>
      <c r="K23" s="209"/>
      <c r="L23" s="209"/>
      <c r="M23" s="209"/>
      <c r="N23" s="209"/>
      <c r="O23" s="209"/>
      <c r="P23" s="79"/>
      <c r="Q23" s="79"/>
      <c r="R23" s="209"/>
      <c r="S23" s="209"/>
      <c r="T23" s="212"/>
      <c r="U23" s="209"/>
      <c r="V23" s="212"/>
      <c r="W23" s="212"/>
      <c r="X23" s="209"/>
      <c r="Y23" s="209"/>
      <c r="Z23" s="209"/>
      <c r="AA23" s="212"/>
      <c r="AB23" s="212"/>
      <c r="AC23" s="213"/>
      <c r="AD23" s="213"/>
      <c r="AE23" s="209"/>
      <c r="AF23" s="209"/>
      <c r="AG23" s="209"/>
      <c r="AH23" s="209"/>
      <c r="AI23" s="101"/>
      <c r="AJ23" s="101"/>
      <c r="AK23" s="102">
        <f t="shared" si="15"/>
        <v>1</v>
      </c>
      <c r="AL23" s="103">
        <f t="shared" si="16"/>
        <v>45134.541666666672</v>
      </c>
      <c r="AM23" s="102">
        <f t="shared" si="17"/>
        <v>1</v>
      </c>
      <c r="AN23" s="102">
        <f t="shared" si="18"/>
        <v>1</v>
      </c>
      <c r="AO23" s="102">
        <f t="shared" si="19"/>
        <v>1</v>
      </c>
      <c r="AP23" s="103">
        <f t="shared" si="20"/>
        <v>45134.583333333336</v>
      </c>
      <c r="AQ23" s="103">
        <f t="shared" si="21"/>
        <v>2.425316891763174E-12</v>
      </c>
      <c r="AR23" s="103">
        <f t="shared" si="25"/>
        <v>4.1666666664241347E-2</v>
      </c>
      <c r="AS23" s="103">
        <f t="shared" si="22"/>
        <v>0</v>
      </c>
      <c r="AT23" s="103">
        <f t="shared" ca="1" si="23"/>
        <v>4.1666666666666664E-2</v>
      </c>
      <c r="AU23" s="104">
        <f t="shared" ca="1" si="24"/>
        <v>0</v>
      </c>
      <c r="AV23" s="239"/>
    </row>
    <row r="24" spans="1:48" ht="13.5" thickBot="1" x14ac:dyDescent="0.3">
      <c r="A24" s="96"/>
      <c r="B24" s="7" t="s">
        <v>59</v>
      </c>
      <c r="C24" s="7"/>
      <c r="D24" s="125">
        <f>IF(D23=0,SUM(E16:E23),D23-D14)</f>
        <v>0</v>
      </c>
      <c r="E24" s="121">
        <f ca="1">IFERROR(D24/24/AT24,"")</f>
        <v>0</v>
      </c>
      <c r="F24" s="125">
        <f t="shared" si="9"/>
        <v>200</v>
      </c>
      <c r="G24" s="216"/>
      <c r="H24" s="216"/>
      <c r="I24" s="216"/>
      <c r="J24" s="216"/>
      <c r="K24" s="217"/>
      <c r="L24" s="126"/>
      <c r="M24" s="126"/>
      <c r="N24" s="216"/>
      <c r="O24" s="216"/>
      <c r="P24" s="218"/>
      <c r="Q24" s="136"/>
      <c r="R24" s="136"/>
      <c r="S24" s="136"/>
      <c r="T24" s="136"/>
      <c r="U24" s="139"/>
      <c r="V24" s="139"/>
      <c r="W24" s="139"/>
      <c r="X24" s="139"/>
      <c r="Y24" s="139"/>
      <c r="Z24" s="139"/>
      <c r="AA24" s="139"/>
      <c r="AB24" s="129"/>
      <c r="AC24" s="219"/>
      <c r="AD24" s="220"/>
      <c r="AE24" s="136" t="str">
        <f t="shared" ref="AE24:AH24" si="27">IFERROR(AVERAGE(AE16:AE23),"")</f>
        <v/>
      </c>
      <c r="AF24" s="136" t="str">
        <f t="shared" si="27"/>
        <v/>
      </c>
      <c r="AG24" s="136" t="str">
        <f t="shared" si="27"/>
        <v/>
      </c>
      <c r="AH24" s="136" t="str">
        <f t="shared" si="27"/>
        <v/>
      </c>
      <c r="AI24" s="132"/>
      <c r="AJ24" s="132"/>
      <c r="AK24" s="120">
        <f>AK23</f>
        <v>1</v>
      </c>
      <c r="AL24" s="120"/>
      <c r="AM24" s="120"/>
      <c r="AN24" s="120"/>
      <c r="AO24" s="120"/>
      <c r="AP24" s="120"/>
      <c r="AQ24" s="120"/>
      <c r="AR24" s="120"/>
      <c r="AS24" s="120"/>
      <c r="AT24" s="143">
        <f ca="1">SUM(AT16:AT23)</f>
        <v>0.33333333333333331</v>
      </c>
      <c r="AU24" s="143">
        <f ca="1">SUM(AU16:AU23)</f>
        <v>0</v>
      </c>
      <c r="AV24" s="239"/>
    </row>
    <row r="25" spans="1:48" ht="13.15" customHeight="1" thickTop="1" x14ac:dyDescent="0.25">
      <c r="A25" s="96">
        <f t="shared" ref="A25:A32" si="28">B25+$B$1</f>
        <v>45134.625</v>
      </c>
      <c r="B25" s="198">
        <v>0.625</v>
      </c>
      <c r="C25" s="199" t="s">
        <v>130</v>
      </c>
      <c r="D25" s="79"/>
      <c r="E25" s="80" t="str">
        <f>IF(D25&gt;0,D25-D23,"")</f>
        <v/>
      </c>
      <c r="F25" s="200">
        <f t="shared" si="9"/>
        <v>200</v>
      </c>
      <c r="G25" s="210"/>
      <c r="H25" s="210"/>
      <c r="I25" s="209"/>
      <c r="J25" s="211"/>
      <c r="K25" s="211"/>
      <c r="L25" s="209"/>
      <c r="M25" s="209"/>
      <c r="N25" s="209"/>
      <c r="O25" s="209"/>
      <c r="P25" s="209"/>
      <c r="Q25" s="209"/>
      <c r="R25" s="209"/>
      <c r="S25" s="209"/>
      <c r="T25" s="209"/>
      <c r="U25" s="212"/>
      <c r="V25" s="212"/>
      <c r="W25" s="212"/>
      <c r="X25" s="212"/>
      <c r="Y25" s="209"/>
      <c r="Z25" s="209"/>
      <c r="AA25" s="209"/>
      <c r="AB25" s="212"/>
      <c r="AC25" s="209"/>
      <c r="AD25" s="213"/>
      <c r="AE25" s="209"/>
      <c r="AF25" s="209"/>
      <c r="AG25" s="209"/>
      <c r="AH25" s="209"/>
      <c r="AI25" s="134"/>
      <c r="AJ25" s="134"/>
      <c r="AK25" s="102">
        <f t="shared" ref="AK25:AK32" si="29">AO25</f>
        <v>1</v>
      </c>
      <c r="AL25" s="103">
        <f t="shared" ref="AL25:AL32" si="30">IF(AI25&lt;&gt;"",AI25+$B$1,B25+$B$1-1/24)</f>
        <v>45134.583333333336</v>
      </c>
      <c r="AM25" s="102">
        <f t="shared" ref="AM25:AM32" si="31">AK24</f>
        <v>1</v>
      </c>
      <c r="AN25" s="102">
        <f t="shared" ref="AN25:AN32" si="32">IF(AI25="",AM25,0)</f>
        <v>1</v>
      </c>
      <c r="AO25" s="102">
        <f t="shared" ref="AO25:AO32" si="33">IF(AJ25&lt;&gt;"",1,AN25)</f>
        <v>1</v>
      </c>
      <c r="AP25" s="103">
        <f>IF(AJ23&lt;&gt;"",AJ23+$B$1,B25+$B$1)</f>
        <v>45134.625</v>
      </c>
      <c r="AQ25" s="103">
        <f t="shared" ref="AQ25:AQ32" si="34">AL25-A25+1/24</f>
        <v>2.425316891763174E-12</v>
      </c>
      <c r="AR25" s="103">
        <f t="shared" ref="AR25:AR32" si="35">AP25-AL25</f>
        <v>4.1666666664241347E-2</v>
      </c>
      <c r="AS25" s="103">
        <f t="shared" ref="AS25:AS32" si="36">A25-AP25</f>
        <v>0</v>
      </c>
      <c r="AT25" s="103">
        <f t="shared" ref="AT25:AT32" ca="1" si="37">IF(A25&lt;$AU$1,SUMPRODUCT(AM25:AO25,AQ25:AS25),0)</f>
        <v>4.1666666666666664E-2</v>
      </c>
      <c r="AU25" s="104">
        <f t="shared" ref="AU25:AU32" ca="1" si="38">IF(A25&lt;$AU$1,1/24-AT25,0)</f>
        <v>0</v>
      </c>
      <c r="AV25" s="239"/>
    </row>
    <row r="26" spans="1:48" x14ac:dyDescent="0.25">
      <c r="A26" s="96">
        <f t="shared" si="28"/>
        <v>45134.666666666664</v>
      </c>
      <c r="B26" s="198">
        <v>0.66666666666666663</v>
      </c>
      <c r="C26" s="199" t="s">
        <v>130</v>
      </c>
      <c r="D26" s="79"/>
      <c r="E26" s="80" t="str">
        <f t="shared" si="26"/>
        <v/>
      </c>
      <c r="F26" s="200">
        <f t="shared" si="9"/>
        <v>200</v>
      </c>
      <c r="G26" s="210"/>
      <c r="H26" s="210"/>
      <c r="I26" s="209"/>
      <c r="J26" s="211"/>
      <c r="K26" s="211"/>
      <c r="L26" s="209"/>
      <c r="M26" s="209"/>
      <c r="N26" s="209"/>
      <c r="O26" s="209"/>
      <c r="P26" s="209"/>
      <c r="Q26" s="209"/>
      <c r="R26" s="209"/>
      <c r="S26" s="209"/>
      <c r="T26" s="209"/>
      <c r="U26" s="212"/>
      <c r="V26" s="212"/>
      <c r="W26" s="212"/>
      <c r="X26" s="212"/>
      <c r="Y26" s="209"/>
      <c r="Z26" s="209"/>
      <c r="AA26" s="209"/>
      <c r="AB26" s="212"/>
      <c r="AC26" s="209"/>
      <c r="AD26" s="213"/>
      <c r="AE26" s="209"/>
      <c r="AF26" s="209"/>
      <c r="AG26" s="209"/>
      <c r="AH26" s="209"/>
      <c r="AI26" s="134"/>
      <c r="AJ26" s="145"/>
      <c r="AK26" s="102">
        <f t="shared" si="29"/>
        <v>1</v>
      </c>
      <c r="AL26" s="103">
        <f t="shared" si="30"/>
        <v>45134.625</v>
      </c>
      <c r="AM26" s="102">
        <f t="shared" si="31"/>
        <v>1</v>
      </c>
      <c r="AN26" s="102">
        <f t="shared" si="32"/>
        <v>1</v>
      </c>
      <c r="AO26" s="102">
        <f t="shared" si="33"/>
        <v>1</v>
      </c>
      <c r="AP26" s="103">
        <f t="shared" ref="AP26:AP32" si="39">IF(AJ25&lt;&gt;"",AJ25+$B$1,B26+$B$1)</f>
        <v>45134.666666666664</v>
      </c>
      <c r="AQ26" s="103">
        <f t="shared" si="34"/>
        <v>2.425316891763174E-12</v>
      </c>
      <c r="AR26" s="103">
        <f t="shared" si="35"/>
        <v>4.1666666664241347E-2</v>
      </c>
      <c r="AS26" s="103">
        <f t="shared" si="36"/>
        <v>0</v>
      </c>
      <c r="AT26" s="103">
        <f t="shared" ca="1" si="37"/>
        <v>4.1666666666666664E-2</v>
      </c>
      <c r="AU26" s="104">
        <f t="shared" ca="1" si="38"/>
        <v>0</v>
      </c>
      <c r="AV26" s="239"/>
    </row>
    <row r="27" spans="1:48" x14ac:dyDescent="0.25">
      <c r="A27" s="96">
        <f t="shared" si="28"/>
        <v>45134.708333333336</v>
      </c>
      <c r="B27" s="198">
        <v>0.70833333333333337</v>
      </c>
      <c r="C27" s="199" t="s">
        <v>130</v>
      </c>
      <c r="D27" s="79"/>
      <c r="E27" s="80" t="str">
        <f t="shared" si="26"/>
        <v/>
      </c>
      <c r="F27" s="200">
        <f t="shared" si="9"/>
        <v>200</v>
      </c>
      <c r="G27" s="210"/>
      <c r="H27" s="210"/>
      <c r="I27" s="209"/>
      <c r="J27" s="211"/>
      <c r="K27" s="211"/>
      <c r="L27" s="209"/>
      <c r="M27" s="209"/>
      <c r="N27" s="209"/>
      <c r="O27" s="209"/>
      <c r="P27" s="209"/>
      <c r="Q27" s="209"/>
      <c r="R27" s="209"/>
      <c r="S27" s="209"/>
      <c r="T27" s="209"/>
      <c r="U27" s="212"/>
      <c r="V27" s="212"/>
      <c r="W27" s="212"/>
      <c r="X27" s="212"/>
      <c r="Y27" s="209"/>
      <c r="Z27" s="209"/>
      <c r="AA27" s="209"/>
      <c r="AB27" s="212"/>
      <c r="AC27" s="209"/>
      <c r="AD27" s="213"/>
      <c r="AE27" s="209"/>
      <c r="AF27" s="209"/>
      <c r="AG27" s="209"/>
      <c r="AH27" s="209"/>
      <c r="AI27" s="134"/>
      <c r="AJ27" s="145"/>
      <c r="AK27" s="102">
        <f t="shared" si="29"/>
        <v>1</v>
      </c>
      <c r="AL27" s="103">
        <f t="shared" si="30"/>
        <v>45134.666666666672</v>
      </c>
      <c r="AM27" s="102">
        <f t="shared" si="31"/>
        <v>1</v>
      </c>
      <c r="AN27" s="102">
        <f t="shared" si="32"/>
        <v>1</v>
      </c>
      <c r="AO27" s="102">
        <f t="shared" si="33"/>
        <v>1</v>
      </c>
      <c r="AP27" s="103">
        <f t="shared" si="39"/>
        <v>45134.708333333336</v>
      </c>
      <c r="AQ27" s="103">
        <f t="shared" si="34"/>
        <v>2.425316891763174E-12</v>
      </c>
      <c r="AR27" s="103">
        <f t="shared" si="35"/>
        <v>4.1666666664241347E-2</v>
      </c>
      <c r="AS27" s="103">
        <f t="shared" si="36"/>
        <v>0</v>
      </c>
      <c r="AT27" s="103">
        <f t="shared" ca="1" si="37"/>
        <v>4.1666666666666664E-2</v>
      </c>
      <c r="AU27" s="104">
        <f t="shared" ca="1" si="38"/>
        <v>0</v>
      </c>
      <c r="AV27" s="239"/>
    </row>
    <row r="28" spans="1:48" ht="14.25" customHeight="1" x14ac:dyDescent="0.25">
      <c r="A28" s="96">
        <f t="shared" si="28"/>
        <v>45134.75</v>
      </c>
      <c r="B28" s="198">
        <v>0.75</v>
      </c>
      <c r="C28" s="199" t="s">
        <v>130</v>
      </c>
      <c r="D28" s="79"/>
      <c r="E28" s="80" t="str">
        <f t="shared" si="26"/>
        <v/>
      </c>
      <c r="F28" s="200">
        <f t="shared" si="9"/>
        <v>200</v>
      </c>
      <c r="G28" s="210"/>
      <c r="H28" s="210"/>
      <c r="I28" s="209"/>
      <c r="J28" s="211"/>
      <c r="K28" s="211"/>
      <c r="L28" s="209"/>
      <c r="M28" s="209"/>
      <c r="N28" s="209"/>
      <c r="O28" s="209"/>
      <c r="P28" s="209"/>
      <c r="Q28" s="209"/>
      <c r="R28" s="209"/>
      <c r="S28" s="209"/>
      <c r="T28" s="209"/>
      <c r="U28" s="212"/>
      <c r="V28" s="212"/>
      <c r="W28" s="212"/>
      <c r="X28" s="212"/>
      <c r="Y28" s="209"/>
      <c r="Z28" s="209"/>
      <c r="AA28" s="209"/>
      <c r="AB28" s="212"/>
      <c r="AC28" s="212"/>
      <c r="AD28" s="213"/>
      <c r="AE28" s="209"/>
      <c r="AF28" s="209"/>
      <c r="AG28" s="209"/>
      <c r="AH28" s="209"/>
      <c r="AI28" s="101"/>
      <c r="AJ28" s="101"/>
      <c r="AK28" s="102">
        <f t="shared" si="29"/>
        <v>1</v>
      </c>
      <c r="AL28" s="103">
        <f t="shared" si="30"/>
        <v>45134.708333333336</v>
      </c>
      <c r="AM28" s="102">
        <f t="shared" si="31"/>
        <v>1</v>
      </c>
      <c r="AN28" s="102">
        <f t="shared" si="32"/>
        <v>1</v>
      </c>
      <c r="AO28" s="102">
        <f t="shared" si="33"/>
        <v>1</v>
      </c>
      <c r="AP28" s="103">
        <f t="shared" si="39"/>
        <v>45134.75</v>
      </c>
      <c r="AQ28" s="103">
        <f t="shared" si="34"/>
        <v>2.425316891763174E-12</v>
      </c>
      <c r="AR28" s="103">
        <f t="shared" si="35"/>
        <v>4.1666666664241347E-2</v>
      </c>
      <c r="AS28" s="103">
        <f t="shared" si="36"/>
        <v>0</v>
      </c>
      <c r="AT28" s="103">
        <f t="shared" ca="1" si="37"/>
        <v>4.1666666666666664E-2</v>
      </c>
      <c r="AU28" s="104">
        <f t="shared" ca="1" si="38"/>
        <v>0</v>
      </c>
      <c r="AV28" s="239"/>
    </row>
    <row r="29" spans="1:48" ht="15" customHeight="1" x14ac:dyDescent="0.25">
      <c r="A29" s="96">
        <f t="shared" si="28"/>
        <v>45134.791666666664</v>
      </c>
      <c r="B29" s="198">
        <v>0.79166666666666663</v>
      </c>
      <c r="C29" s="199" t="s">
        <v>130</v>
      </c>
      <c r="D29" s="79"/>
      <c r="E29" s="80" t="str">
        <f t="shared" si="26"/>
        <v/>
      </c>
      <c r="F29" s="200">
        <f t="shared" si="9"/>
        <v>200</v>
      </c>
      <c r="G29" s="210"/>
      <c r="H29" s="210"/>
      <c r="I29" s="209"/>
      <c r="J29" s="211"/>
      <c r="K29" s="211"/>
      <c r="L29" s="209"/>
      <c r="M29" s="209"/>
      <c r="N29" s="209"/>
      <c r="O29" s="209"/>
      <c r="P29" s="209"/>
      <c r="Q29" s="209"/>
      <c r="R29" s="209"/>
      <c r="S29" s="209"/>
      <c r="T29" s="209"/>
      <c r="U29" s="212"/>
      <c r="V29" s="212"/>
      <c r="W29" s="212"/>
      <c r="X29" s="212"/>
      <c r="Y29" s="209"/>
      <c r="Z29" s="209"/>
      <c r="AA29" s="209"/>
      <c r="AB29" s="212"/>
      <c r="AC29" s="212"/>
      <c r="AD29" s="213"/>
      <c r="AE29" s="209"/>
      <c r="AF29" s="209"/>
      <c r="AG29" s="209"/>
      <c r="AH29" s="209"/>
      <c r="AI29" s="100"/>
      <c r="AJ29" s="101"/>
      <c r="AK29" s="102">
        <f t="shared" si="29"/>
        <v>1</v>
      </c>
      <c r="AL29" s="103">
        <f t="shared" si="30"/>
        <v>45134.75</v>
      </c>
      <c r="AM29" s="102">
        <f t="shared" si="31"/>
        <v>1</v>
      </c>
      <c r="AN29" s="102">
        <f t="shared" si="32"/>
        <v>1</v>
      </c>
      <c r="AO29" s="102">
        <f t="shared" si="33"/>
        <v>1</v>
      </c>
      <c r="AP29" s="103">
        <f t="shared" si="39"/>
        <v>45134.791666666664</v>
      </c>
      <c r="AQ29" s="103">
        <f t="shared" si="34"/>
        <v>2.425316891763174E-12</v>
      </c>
      <c r="AR29" s="103">
        <f t="shared" si="35"/>
        <v>4.1666666664241347E-2</v>
      </c>
      <c r="AS29" s="103">
        <f t="shared" si="36"/>
        <v>0</v>
      </c>
      <c r="AT29" s="103">
        <f t="shared" ca="1" si="37"/>
        <v>4.1666666666666664E-2</v>
      </c>
      <c r="AU29" s="104">
        <f t="shared" ca="1" si="38"/>
        <v>0</v>
      </c>
      <c r="AV29" s="239"/>
    </row>
    <row r="30" spans="1:48" x14ac:dyDescent="0.25">
      <c r="A30" s="96">
        <f t="shared" si="28"/>
        <v>45134.833333333336</v>
      </c>
      <c r="B30" s="198">
        <v>0.83333333333333337</v>
      </c>
      <c r="C30" s="199" t="s">
        <v>130</v>
      </c>
      <c r="D30" s="79"/>
      <c r="E30" s="80" t="str">
        <f t="shared" si="26"/>
        <v/>
      </c>
      <c r="F30" s="200">
        <f t="shared" si="9"/>
        <v>200</v>
      </c>
      <c r="G30" s="210"/>
      <c r="H30" s="210"/>
      <c r="I30" s="209"/>
      <c r="J30" s="211"/>
      <c r="K30" s="211"/>
      <c r="L30" s="209"/>
      <c r="M30" s="209"/>
      <c r="N30" s="209"/>
      <c r="O30" s="209"/>
      <c r="P30" s="209"/>
      <c r="Q30" s="209"/>
      <c r="R30" s="209"/>
      <c r="S30" s="209"/>
      <c r="T30" s="209"/>
      <c r="U30" s="212"/>
      <c r="V30" s="212"/>
      <c r="W30" s="212"/>
      <c r="X30" s="212"/>
      <c r="Y30" s="209"/>
      <c r="Z30" s="209"/>
      <c r="AA30" s="209"/>
      <c r="AB30" s="212"/>
      <c r="AC30" s="212"/>
      <c r="AD30" s="213"/>
      <c r="AE30" s="209"/>
      <c r="AF30" s="209"/>
      <c r="AG30" s="209"/>
      <c r="AH30" s="209"/>
      <c r="AI30" s="101"/>
      <c r="AJ30" s="101"/>
      <c r="AK30" s="102">
        <f t="shared" si="29"/>
        <v>1</v>
      </c>
      <c r="AL30" s="103">
        <f t="shared" si="30"/>
        <v>45134.791666666672</v>
      </c>
      <c r="AM30" s="102">
        <f t="shared" si="31"/>
        <v>1</v>
      </c>
      <c r="AN30" s="102">
        <f t="shared" si="32"/>
        <v>1</v>
      </c>
      <c r="AO30" s="102">
        <f t="shared" si="33"/>
        <v>1</v>
      </c>
      <c r="AP30" s="103">
        <f t="shared" si="39"/>
        <v>45134.833333333336</v>
      </c>
      <c r="AQ30" s="103">
        <f t="shared" si="34"/>
        <v>2.425316891763174E-12</v>
      </c>
      <c r="AR30" s="103">
        <f t="shared" si="35"/>
        <v>4.1666666664241347E-2</v>
      </c>
      <c r="AS30" s="103">
        <f t="shared" si="36"/>
        <v>0</v>
      </c>
      <c r="AT30" s="103">
        <f t="shared" ca="1" si="37"/>
        <v>4.1666666666666664E-2</v>
      </c>
      <c r="AU30" s="104">
        <f t="shared" ca="1" si="38"/>
        <v>0</v>
      </c>
      <c r="AV30" s="239"/>
    </row>
    <row r="31" spans="1:48" ht="14.25" customHeight="1" x14ac:dyDescent="0.25">
      <c r="A31" s="96">
        <f t="shared" si="28"/>
        <v>45134.875</v>
      </c>
      <c r="B31" s="198">
        <v>0.875</v>
      </c>
      <c r="C31" s="199" t="s">
        <v>130</v>
      </c>
      <c r="D31" s="79"/>
      <c r="E31" s="80" t="str">
        <f t="shared" si="26"/>
        <v/>
      </c>
      <c r="F31" s="200">
        <f t="shared" si="9"/>
        <v>200</v>
      </c>
      <c r="G31" s="210"/>
      <c r="H31" s="210"/>
      <c r="I31" s="209"/>
      <c r="J31" s="211"/>
      <c r="K31" s="211"/>
      <c r="L31" s="209"/>
      <c r="M31" s="209"/>
      <c r="N31" s="209"/>
      <c r="O31" s="209"/>
      <c r="P31" s="209"/>
      <c r="Q31" s="209"/>
      <c r="R31" s="209"/>
      <c r="S31" s="209"/>
      <c r="T31" s="209"/>
      <c r="U31" s="212"/>
      <c r="V31" s="212"/>
      <c r="W31" s="212"/>
      <c r="X31" s="212"/>
      <c r="Y31" s="209"/>
      <c r="Z31" s="209"/>
      <c r="AA31" s="209"/>
      <c r="AB31" s="212"/>
      <c r="AC31" s="212"/>
      <c r="AD31" s="213"/>
      <c r="AE31" s="209"/>
      <c r="AF31" s="209"/>
      <c r="AG31" s="209"/>
      <c r="AH31" s="209"/>
      <c r="AI31" s="101"/>
      <c r="AJ31" s="101"/>
      <c r="AK31" s="102">
        <f t="shared" si="29"/>
        <v>1</v>
      </c>
      <c r="AL31" s="103">
        <f t="shared" si="30"/>
        <v>45134.833333333336</v>
      </c>
      <c r="AM31" s="102">
        <f t="shared" si="31"/>
        <v>1</v>
      </c>
      <c r="AN31" s="102">
        <f t="shared" si="32"/>
        <v>1</v>
      </c>
      <c r="AO31" s="102">
        <f t="shared" si="33"/>
        <v>1</v>
      </c>
      <c r="AP31" s="103">
        <f t="shared" si="39"/>
        <v>45134.875</v>
      </c>
      <c r="AQ31" s="103">
        <f t="shared" si="34"/>
        <v>2.425316891763174E-12</v>
      </c>
      <c r="AR31" s="103">
        <f t="shared" si="35"/>
        <v>4.1666666664241347E-2</v>
      </c>
      <c r="AS31" s="103">
        <f t="shared" si="36"/>
        <v>0</v>
      </c>
      <c r="AT31" s="103">
        <f t="shared" ca="1" si="37"/>
        <v>4.1666666666666664E-2</v>
      </c>
      <c r="AU31" s="104">
        <f t="shared" ca="1" si="38"/>
        <v>0</v>
      </c>
      <c r="AV31" s="239"/>
    </row>
    <row r="32" spans="1:48" x14ac:dyDescent="0.25">
      <c r="A32" s="96">
        <f t="shared" si="28"/>
        <v>45134.916666666664</v>
      </c>
      <c r="B32" s="198">
        <v>0.91666666666666663</v>
      </c>
      <c r="C32" s="199" t="s">
        <v>130</v>
      </c>
      <c r="D32" s="79"/>
      <c r="E32" s="80" t="str">
        <f t="shared" si="26"/>
        <v/>
      </c>
      <c r="F32" s="200">
        <f t="shared" si="9"/>
        <v>200</v>
      </c>
      <c r="G32" s="210"/>
      <c r="H32" s="210"/>
      <c r="I32" s="209"/>
      <c r="J32" s="211"/>
      <c r="K32" s="211"/>
      <c r="L32" s="209"/>
      <c r="M32" s="209"/>
      <c r="N32" s="209"/>
      <c r="O32" s="209"/>
      <c r="P32" s="209"/>
      <c r="Q32" s="209"/>
      <c r="R32" s="209"/>
      <c r="S32" s="209"/>
      <c r="T32" s="209"/>
      <c r="U32" s="212"/>
      <c r="V32" s="212"/>
      <c r="W32" s="212"/>
      <c r="X32" s="212"/>
      <c r="Y32" s="209"/>
      <c r="Z32" s="209"/>
      <c r="AA32" s="209"/>
      <c r="AB32" s="212"/>
      <c r="AC32" s="212"/>
      <c r="AD32" s="213"/>
      <c r="AE32" s="209"/>
      <c r="AF32" s="209"/>
      <c r="AG32" s="209"/>
      <c r="AH32" s="209"/>
      <c r="AI32" s="101"/>
      <c r="AJ32" s="101"/>
      <c r="AK32" s="102">
        <f t="shared" si="29"/>
        <v>1</v>
      </c>
      <c r="AL32" s="103">
        <f t="shared" si="30"/>
        <v>45134.875</v>
      </c>
      <c r="AM32" s="102">
        <f t="shared" si="31"/>
        <v>1</v>
      </c>
      <c r="AN32" s="102">
        <f t="shared" si="32"/>
        <v>1</v>
      </c>
      <c r="AO32" s="102">
        <f t="shared" si="33"/>
        <v>1</v>
      </c>
      <c r="AP32" s="103">
        <f t="shared" si="39"/>
        <v>45134.916666666664</v>
      </c>
      <c r="AQ32" s="103">
        <f t="shared" si="34"/>
        <v>2.425316891763174E-12</v>
      </c>
      <c r="AR32" s="103">
        <f t="shared" si="35"/>
        <v>4.1666666664241347E-2</v>
      </c>
      <c r="AS32" s="103">
        <f t="shared" si="36"/>
        <v>0</v>
      </c>
      <c r="AT32" s="103">
        <f t="shared" ca="1" si="37"/>
        <v>4.1666666666666664E-2</v>
      </c>
      <c r="AU32" s="104">
        <f t="shared" ca="1" si="38"/>
        <v>0</v>
      </c>
      <c r="AV32" s="239"/>
    </row>
    <row r="33" spans="1:48" ht="13.5" thickBot="1" x14ac:dyDescent="0.3">
      <c r="A33" s="96"/>
      <c r="B33" s="7" t="s">
        <v>60</v>
      </c>
      <c r="C33" s="7"/>
      <c r="D33" s="7">
        <f>IF(D32=0,SUM(E25:E32),D32-D23)</f>
        <v>0</v>
      </c>
      <c r="E33" s="121">
        <f ca="1">IFERROR(D33/24/AT33,"")</f>
        <v>0</v>
      </c>
      <c r="F33" s="121">
        <f t="shared" si="9"/>
        <v>200</v>
      </c>
      <c r="G33" s="216"/>
      <c r="H33" s="216"/>
      <c r="I33" s="216"/>
      <c r="J33" s="216"/>
      <c r="K33" s="206"/>
      <c r="L33" s="124"/>
      <c r="M33" s="124"/>
      <c r="N33" s="124"/>
      <c r="O33" s="7"/>
      <c r="P33" s="121"/>
      <c r="Q33" s="136"/>
      <c r="R33" s="136"/>
      <c r="S33" s="136"/>
      <c r="T33" s="136"/>
      <c r="U33" s="222"/>
      <c r="V33" s="222"/>
      <c r="W33" s="222"/>
      <c r="X33" s="222"/>
      <c r="Y33" s="222"/>
      <c r="Z33" s="222"/>
      <c r="AA33" s="222"/>
      <c r="AB33" s="124"/>
      <c r="AC33" s="223"/>
      <c r="AD33" s="220"/>
      <c r="AE33" s="136" t="str">
        <f t="shared" ref="AE33:AH33" si="40">IFERROR(AVERAGE(AE25:AE32),"")</f>
        <v/>
      </c>
      <c r="AF33" s="136" t="str">
        <f t="shared" si="40"/>
        <v/>
      </c>
      <c r="AG33" s="136" t="str">
        <f t="shared" si="40"/>
        <v/>
      </c>
      <c r="AH33" s="136" t="str">
        <f t="shared" si="40"/>
        <v/>
      </c>
      <c r="AI33" s="124"/>
      <c r="AJ33" s="124"/>
      <c r="AK33" s="124"/>
      <c r="AL33" s="102"/>
      <c r="AM33" s="102"/>
      <c r="AN33" s="102"/>
      <c r="AO33" s="102"/>
      <c r="AP33" s="102"/>
      <c r="AQ33" s="102"/>
      <c r="AR33" s="102"/>
      <c r="AS33" s="102"/>
      <c r="AT33" s="143">
        <f ca="1">SUM(AT25:AT32)</f>
        <v>0.33333333333333331</v>
      </c>
      <c r="AU33" s="143">
        <f ca="1">SUM(AU25:AU32)</f>
        <v>0</v>
      </c>
      <c r="AV33" s="105"/>
    </row>
    <row r="34" spans="1:48" ht="1.9" customHeight="1" thickTop="1" x14ac:dyDescent="0.25">
      <c r="A34" s="96"/>
      <c r="B34" s="155"/>
      <c r="C34" s="155"/>
      <c r="D34" s="155"/>
      <c r="E34" s="80" t="str">
        <f t="shared" si="26"/>
        <v/>
      </c>
      <c r="F34" s="224"/>
      <c r="G34" s="155"/>
      <c r="H34" s="225"/>
      <c r="I34" s="226"/>
      <c r="J34" s="227"/>
      <c r="K34" s="227"/>
      <c r="L34" s="158"/>
      <c r="M34" s="158"/>
      <c r="N34" s="158"/>
      <c r="O34" s="159"/>
      <c r="P34" s="158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58"/>
      <c r="AC34" s="158"/>
      <c r="AD34" s="228"/>
      <c r="AE34" s="160"/>
      <c r="AF34" s="160"/>
      <c r="AG34" s="160"/>
      <c r="AH34" s="160"/>
      <c r="AI34" s="158"/>
      <c r="AJ34" s="158"/>
      <c r="AK34" s="158"/>
      <c r="AT34" s="159"/>
      <c r="AU34" s="159"/>
    </row>
    <row r="35" spans="1:48" ht="13.5" thickBot="1" x14ac:dyDescent="0.3">
      <c r="B35" s="161" t="s">
        <v>61</v>
      </c>
      <c r="C35" s="161"/>
      <c r="D35" s="161">
        <f>D24+D33+D15</f>
        <v>0</v>
      </c>
      <c r="E35" s="80" t="str">
        <f t="shared" si="26"/>
        <v/>
      </c>
      <c r="F35" s="161"/>
      <c r="G35" s="161"/>
      <c r="H35" s="229" t="str">
        <f>IFERROR(#REF!/D35,"")</f>
        <v/>
      </c>
      <c r="I35" s="230"/>
      <c r="J35" s="231"/>
      <c r="K35" s="231"/>
      <c r="AT35" s="162">
        <f ca="1">AT33+AT24+AT15</f>
        <v>1</v>
      </c>
      <c r="AU35" s="162">
        <f ca="1">+AU33+AU24+AU15</f>
        <v>-7.6327832942979512E-17</v>
      </c>
    </row>
    <row r="36" spans="1:48" ht="13.5" thickTop="1" x14ac:dyDescent="0.25"/>
    <row r="37" spans="1:48" ht="12.75" customHeight="1" x14ac:dyDescent="0.25"/>
    <row r="38" spans="1:48" ht="15.75" customHeight="1" x14ac:dyDescent="0.25">
      <c r="G38" s="293" t="s">
        <v>132</v>
      </c>
      <c r="H38" s="299"/>
      <c r="I38" s="299"/>
      <c r="J38" s="299"/>
      <c r="K38" s="299"/>
      <c r="L38" s="300"/>
    </row>
    <row r="39" spans="1:48" ht="15.75" customHeight="1" x14ac:dyDescent="0.25">
      <c r="D39" s="177"/>
      <c r="G39" s="234">
        <f>B1</f>
        <v>45134</v>
      </c>
      <c r="H39" s="168" t="s">
        <v>115</v>
      </c>
      <c r="I39" s="168" t="s">
        <v>63</v>
      </c>
      <c r="J39" s="168" t="s">
        <v>64</v>
      </c>
      <c r="K39" s="169" t="s">
        <v>61</v>
      </c>
      <c r="L39" s="169" t="s">
        <v>65</v>
      </c>
      <c r="Q39" s="177"/>
    </row>
    <row r="40" spans="1:48" x14ac:dyDescent="0.25">
      <c r="G40" s="79" t="s">
        <v>66</v>
      </c>
      <c r="H40" s="171">
        <f>D15</f>
        <v>0</v>
      </c>
      <c r="I40" s="171">
        <f>D24</f>
        <v>0</v>
      </c>
      <c r="J40" s="171">
        <f>D33</f>
        <v>0</v>
      </c>
      <c r="K40" s="79"/>
      <c r="L40" s="194">
        <v>3063</v>
      </c>
      <c r="Q40" s="177"/>
    </row>
    <row r="41" spans="1:48" x14ac:dyDescent="0.25">
      <c r="G41" s="79" t="s">
        <v>125</v>
      </c>
      <c r="H41" s="235">
        <f ca="1">AT15</f>
        <v>0.33333333333333343</v>
      </c>
      <c r="I41" s="235">
        <f ca="1">AT24</f>
        <v>0.33333333333333331</v>
      </c>
      <c r="J41" s="235">
        <f ca="1">AT33</f>
        <v>0.33333333333333331</v>
      </c>
      <c r="K41" s="235" t="str">
        <f ca="1">IF(SUM(H41:J41)=1,"24 h",SUM(H41:J41))</f>
        <v>24 h</v>
      </c>
      <c r="L41" s="79"/>
    </row>
    <row r="42" spans="1:48" x14ac:dyDescent="0.25">
      <c r="G42" s="79" t="s">
        <v>126</v>
      </c>
      <c r="H42" s="171">
        <f ca="1">E15</f>
        <v>0</v>
      </c>
      <c r="I42" s="171">
        <f ca="1">E24</f>
        <v>0</v>
      </c>
      <c r="J42" s="171">
        <f ca="1">E33</f>
        <v>0</v>
      </c>
      <c r="K42" s="171" t="str">
        <f>E35</f>
        <v/>
      </c>
      <c r="L42" s="171">
        <f>F33</f>
        <v>200</v>
      </c>
    </row>
    <row r="43" spans="1:48" x14ac:dyDescent="0.25">
      <c r="J43" s="1"/>
      <c r="P43" s="233"/>
      <c r="Q43" s="233"/>
    </row>
    <row r="44" spans="1:48" x14ac:dyDescent="0.25">
      <c r="J44" s="1"/>
      <c r="P44" s="233"/>
      <c r="Q44" s="233"/>
    </row>
    <row r="45" spans="1:48" ht="63.75" x14ac:dyDescent="0.25">
      <c r="G45" s="236" t="s">
        <v>68</v>
      </c>
      <c r="H45" s="236" t="s">
        <v>69</v>
      </c>
      <c r="I45" s="236" t="s">
        <v>70</v>
      </c>
      <c r="J45" s="236" t="s">
        <v>71</v>
      </c>
      <c r="K45" s="236" t="s">
        <v>133</v>
      </c>
      <c r="L45" s="236" t="s">
        <v>73</v>
      </c>
      <c r="M45" s="236" t="s">
        <v>74</v>
      </c>
      <c r="N45" s="236" t="s">
        <v>75</v>
      </c>
      <c r="O45" s="236" t="s">
        <v>76</v>
      </c>
      <c r="P45" s="236" t="s">
        <v>77</v>
      </c>
      <c r="Q45" s="236" t="s">
        <v>78</v>
      </c>
      <c r="R45" s="236" t="s">
        <v>79</v>
      </c>
    </row>
    <row r="46" spans="1:48" x14ac:dyDescent="0.25">
      <c r="G46" s="79">
        <f>+D6</f>
        <v>68115</v>
      </c>
      <c r="H46" s="79">
        <f>+D32</f>
        <v>0</v>
      </c>
      <c r="I46" s="79">
        <f>+D35</f>
        <v>0</v>
      </c>
      <c r="J46" s="235">
        <v>0.25</v>
      </c>
      <c r="K46" s="235">
        <v>0.91666666666666663</v>
      </c>
      <c r="L46" s="235">
        <f>+K46-J46</f>
        <v>0.66666666666666663</v>
      </c>
      <c r="M46" s="235">
        <f ca="1">+AT35</f>
        <v>1</v>
      </c>
      <c r="N46" s="79">
        <f>+L46*24</f>
        <v>16</v>
      </c>
      <c r="O46" s="238">
        <f ca="1">+AU35</f>
        <v>-7.6327832942979512E-17</v>
      </c>
      <c r="P46" s="79">
        <v>160</v>
      </c>
      <c r="Q46" s="111">
        <f ca="1">+I46/M46/24</f>
        <v>0</v>
      </c>
      <c r="R46" s="79"/>
      <c r="U46" s="233"/>
      <c r="V46" s="233"/>
    </row>
    <row r="47" spans="1:48" ht="12.75" hidden="1" customHeight="1" x14ac:dyDescent="0.25">
      <c r="F47" s="1" t="s">
        <v>80</v>
      </c>
      <c r="G47" s="79" t="str">
        <f>D2</f>
        <v>Crusher Product Totalizer</v>
      </c>
      <c r="H47" s="79" t="e">
        <f>#REF!</f>
        <v>#REF!</v>
      </c>
      <c r="I47" s="79">
        <f>O2</f>
        <v>0</v>
      </c>
      <c r="J47" s="111" t="str">
        <f>AE2</f>
        <v>FE 02 Secondary Feed</v>
      </c>
      <c r="K47" s="111" t="str">
        <f>AF2</f>
        <v>FE 03 Tertiary Feed</v>
      </c>
      <c r="L47" s="1" t="str">
        <f>AU2</f>
        <v>Standing</v>
      </c>
      <c r="M47" s="1" t="str">
        <f>AV2</f>
        <v>Notes/Description</v>
      </c>
    </row>
    <row r="48" spans="1:48" ht="12.75" hidden="1" customHeight="1" x14ac:dyDescent="0.25">
      <c r="F48" s="1">
        <v>1</v>
      </c>
      <c r="G48" s="79">
        <f t="shared" ref="G48:G55" si="41">D7</f>
        <v>0</v>
      </c>
      <c r="H48" s="79" t="e">
        <f>#REF!</f>
        <v>#REF!</v>
      </c>
      <c r="I48" s="79">
        <f>O7</f>
        <v>0</v>
      </c>
      <c r="J48" s="111">
        <f t="shared" ref="J48:K55" si="42">AE7</f>
        <v>0</v>
      </c>
      <c r="K48" s="111">
        <f t="shared" si="42"/>
        <v>0</v>
      </c>
      <c r="L48" s="162">
        <f ca="1">AU7</f>
        <v>-7.6327832942979512E-17</v>
      </c>
      <c r="M48" s="175">
        <f>AV7</f>
        <v>0</v>
      </c>
    </row>
    <row r="49" spans="6:13" ht="12.75" hidden="1" customHeight="1" x14ac:dyDescent="0.25">
      <c r="F49" s="1">
        <v>2</v>
      </c>
      <c r="G49" s="79">
        <f t="shared" si="41"/>
        <v>0</v>
      </c>
      <c r="H49" s="79" t="e">
        <f>#REF!</f>
        <v>#REF!</v>
      </c>
      <c r="I49" s="79">
        <f t="shared" ref="I49:I55" si="43">O8</f>
        <v>0</v>
      </c>
      <c r="J49" s="111">
        <f t="shared" si="42"/>
        <v>0</v>
      </c>
      <c r="K49" s="111">
        <f t="shared" si="42"/>
        <v>0</v>
      </c>
      <c r="L49" s="162">
        <f t="shared" ref="L49:M55" ca="1" si="44">AU8</f>
        <v>0</v>
      </c>
      <c r="M49" s="175">
        <f t="shared" si="44"/>
        <v>0</v>
      </c>
    </row>
    <row r="50" spans="6:13" ht="12.75" hidden="1" customHeight="1" x14ac:dyDescent="0.25">
      <c r="F50" s="1">
        <v>3</v>
      </c>
      <c r="G50" s="79">
        <f t="shared" si="41"/>
        <v>0</v>
      </c>
      <c r="H50" s="79" t="e">
        <f>#REF!</f>
        <v>#REF!</v>
      </c>
      <c r="I50" s="79">
        <f t="shared" si="43"/>
        <v>0</v>
      </c>
      <c r="J50" s="111">
        <f t="shared" si="42"/>
        <v>0</v>
      </c>
      <c r="K50" s="111">
        <f t="shared" si="42"/>
        <v>0</v>
      </c>
      <c r="L50" s="162">
        <f t="shared" ca="1" si="44"/>
        <v>0</v>
      </c>
      <c r="M50" s="175">
        <f t="shared" si="44"/>
        <v>0</v>
      </c>
    </row>
    <row r="51" spans="6:13" ht="12.75" hidden="1" customHeight="1" x14ac:dyDescent="0.25">
      <c r="F51" s="1">
        <v>4</v>
      </c>
      <c r="G51" s="79">
        <f t="shared" si="41"/>
        <v>0</v>
      </c>
      <c r="H51" s="79" t="e">
        <f>#REF!</f>
        <v>#REF!</v>
      </c>
      <c r="I51" s="79">
        <f t="shared" si="43"/>
        <v>0</v>
      </c>
      <c r="J51" s="111">
        <f t="shared" si="42"/>
        <v>0</v>
      </c>
      <c r="K51" s="111">
        <f t="shared" si="42"/>
        <v>0</v>
      </c>
      <c r="L51" s="162">
        <f t="shared" ca="1" si="44"/>
        <v>0</v>
      </c>
      <c r="M51" s="175">
        <f t="shared" si="44"/>
        <v>0</v>
      </c>
    </row>
    <row r="52" spans="6:13" ht="12.75" hidden="1" customHeight="1" x14ac:dyDescent="0.25">
      <c r="F52" s="1">
        <v>5</v>
      </c>
      <c r="G52" s="79">
        <f t="shared" si="41"/>
        <v>0</v>
      </c>
      <c r="H52" s="79" t="e">
        <f>#REF!</f>
        <v>#REF!</v>
      </c>
      <c r="I52" s="79">
        <f>O11</f>
        <v>0</v>
      </c>
      <c r="J52" s="111">
        <f t="shared" si="42"/>
        <v>0</v>
      </c>
      <c r="K52" s="111">
        <f t="shared" si="42"/>
        <v>0</v>
      </c>
      <c r="L52" s="162">
        <f t="shared" ca="1" si="44"/>
        <v>0</v>
      </c>
      <c r="M52" s="175">
        <f t="shared" si="44"/>
        <v>0</v>
      </c>
    </row>
    <row r="53" spans="6:13" ht="12.75" hidden="1" customHeight="1" x14ac:dyDescent="0.25">
      <c r="F53" s="1">
        <v>6</v>
      </c>
      <c r="G53" s="79">
        <f t="shared" si="41"/>
        <v>0</v>
      </c>
      <c r="H53" s="79" t="e">
        <f>#REF!</f>
        <v>#REF!</v>
      </c>
      <c r="I53" s="79">
        <f t="shared" si="43"/>
        <v>0</v>
      </c>
      <c r="J53" s="111">
        <f t="shared" si="42"/>
        <v>0</v>
      </c>
      <c r="K53" s="111">
        <f t="shared" si="42"/>
        <v>0</v>
      </c>
      <c r="L53" s="162">
        <f t="shared" ca="1" si="44"/>
        <v>0</v>
      </c>
      <c r="M53" s="175">
        <f t="shared" si="44"/>
        <v>0</v>
      </c>
    </row>
    <row r="54" spans="6:13" ht="12.75" hidden="1" customHeight="1" x14ac:dyDescent="0.25">
      <c r="F54" s="1">
        <v>7</v>
      </c>
      <c r="G54" s="79">
        <f t="shared" si="41"/>
        <v>0</v>
      </c>
      <c r="H54" s="79" t="e">
        <f>#REF!</f>
        <v>#REF!</v>
      </c>
      <c r="I54" s="79">
        <f t="shared" si="43"/>
        <v>0</v>
      </c>
      <c r="J54" s="111">
        <f t="shared" si="42"/>
        <v>0</v>
      </c>
      <c r="K54" s="111">
        <f t="shared" si="42"/>
        <v>0</v>
      </c>
      <c r="L54" s="162">
        <f t="shared" ca="1" si="44"/>
        <v>0</v>
      </c>
      <c r="M54" s="175">
        <f t="shared" si="44"/>
        <v>0</v>
      </c>
    </row>
    <row r="55" spans="6:13" ht="12.75" hidden="1" customHeight="1" x14ac:dyDescent="0.25">
      <c r="F55" s="1">
        <v>8</v>
      </c>
      <c r="G55" s="79">
        <f t="shared" si="41"/>
        <v>0</v>
      </c>
      <c r="H55" s="79" t="e">
        <f>#REF!</f>
        <v>#REF!</v>
      </c>
      <c r="I55" s="79">
        <f t="shared" si="43"/>
        <v>0</v>
      </c>
      <c r="J55" s="111">
        <f t="shared" si="42"/>
        <v>0</v>
      </c>
      <c r="K55" s="111">
        <f t="shared" si="42"/>
        <v>0</v>
      </c>
      <c r="L55" s="162">
        <f t="shared" ca="1" si="44"/>
        <v>0</v>
      </c>
      <c r="M55" s="175">
        <f t="shared" si="44"/>
        <v>0</v>
      </c>
    </row>
    <row r="56" spans="6:13" ht="12.75" hidden="1" customHeight="1" x14ac:dyDescent="0.25">
      <c r="F56" s="1">
        <v>9</v>
      </c>
      <c r="G56" s="79">
        <f t="shared" ref="G56:G63" si="45">D16</f>
        <v>0</v>
      </c>
      <c r="H56" s="79" t="e">
        <f>#REF!</f>
        <v>#REF!</v>
      </c>
      <c r="I56" s="79">
        <f t="shared" ref="I56:I63" si="46">O16</f>
        <v>0</v>
      </c>
      <c r="J56" s="111">
        <f t="shared" ref="J56:K63" si="47">AE16</f>
        <v>0</v>
      </c>
      <c r="K56" s="111">
        <f t="shared" si="47"/>
        <v>0</v>
      </c>
      <c r="L56" s="162">
        <f t="shared" ref="L56:M63" ca="1" si="48">AU16</f>
        <v>0</v>
      </c>
      <c r="M56" s="175">
        <f t="shared" si="48"/>
        <v>0</v>
      </c>
    </row>
    <row r="57" spans="6:13" ht="12.75" hidden="1" customHeight="1" x14ac:dyDescent="0.25">
      <c r="F57" s="1">
        <v>10</v>
      </c>
      <c r="G57" s="79">
        <f t="shared" si="45"/>
        <v>0</v>
      </c>
      <c r="H57" s="79" t="e">
        <f>#REF!</f>
        <v>#REF!</v>
      </c>
      <c r="I57" s="79">
        <f t="shared" si="46"/>
        <v>0</v>
      </c>
      <c r="J57" s="111">
        <f t="shared" si="47"/>
        <v>0</v>
      </c>
      <c r="K57" s="111">
        <f t="shared" si="47"/>
        <v>0</v>
      </c>
      <c r="L57" s="162">
        <f t="shared" ca="1" si="48"/>
        <v>0</v>
      </c>
      <c r="M57" s="175">
        <f t="shared" si="48"/>
        <v>0</v>
      </c>
    </row>
    <row r="58" spans="6:13" ht="12.75" hidden="1" customHeight="1" x14ac:dyDescent="0.25">
      <c r="F58" s="1">
        <v>11</v>
      </c>
      <c r="G58" s="79">
        <f t="shared" si="45"/>
        <v>0</v>
      </c>
      <c r="H58" s="79" t="e">
        <f>#REF!</f>
        <v>#REF!</v>
      </c>
      <c r="I58" s="79">
        <f t="shared" si="46"/>
        <v>0</v>
      </c>
      <c r="J58" s="111">
        <f t="shared" si="47"/>
        <v>0</v>
      </c>
      <c r="K58" s="111">
        <f t="shared" si="47"/>
        <v>0</v>
      </c>
      <c r="L58" s="162">
        <f t="shared" ca="1" si="48"/>
        <v>0</v>
      </c>
      <c r="M58" s="175">
        <f t="shared" si="48"/>
        <v>0</v>
      </c>
    </row>
    <row r="59" spans="6:13" ht="12.75" hidden="1" customHeight="1" x14ac:dyDescent="0.25">
      <c r="F59" s="1">
        <v>12</v>
      </c>
      <c r="G59" s="79">
        <f t="shared" si="45"/>
        <v>0</v>
      </c>
      <c r="H59" s="79" t="e">
        <f>#REF!</f>
        <v>#REF!</v>
      </c>
      <c r="I59" s="79">
        <f t="shared" si="46"/>
        <v>0</v>
      </c>
      <c r="J59" s="111">
        <f t="shared" si="47"/>
        <v>0</v>
      </c>
      <c r="K59" s="111">
        <f t="shared" si="47"/>
        <v>0</v>
      </c>
      <c r="L59" s="162">
        <f t="shared" ca="1" si="48"/>
        <v>0</v>
      </c>
      <c r="M59" s="175">
        <f t="shared" si="48"/>
        <v>0</v>
      </c>
    </row>
    <row r="60" spans="6:13" ht="12.75" hidden="1" customHeight="1" x14ac:dyDescent="0.25">
      <c r="F60" s="1">
        <v>13</v>
      </c>
      <c r="G60" s="79">
        <f t="shared" si="45"/>
        <v>0</v>
      </c>
      <c r="H60" s="79" t="e">
        <f>#REF!</f>
        <v>#REF!</v>
      </c>
      <c r="I60" s="79">
        <f t="shared" si="46"/>
        <v>0</v>
      </c>
      <c r="J60" s="111">
        <f t="shared" si="47"/>
        <v>0</v>
      </c>
      <c r="K60" s="111">
        <f t="shared" si="47"/>
        <v>0</v>
      </c>
      <c r="L60" s="162">
        <f t="shared" ca="1" si="48"/>
        <v>0</v>
      </c>
      <c r="M60" s="175">
        <f t="shared" si="48"/>
        <v>0</v>
      </c>
    </row>
    <row r="61" spans="6:13" ht="12.75" hidden="1" customHeight="1" x14ac:dyDescent="0.25">
      <c r="F61" s="1">
        <v>14</v>
      </c>
      <c r="G61" s="79">
        <f t="shared" si="45"/>
        <v>0</v>
      </c>
      <c r="H61" s="79" t="e">
        <f>#REF!</f>
        <v>#REF!</v>
      </c>
      <c r="I61" s="79">
        <f t="shared" si="46"/>
        <v>0</v>
      </c>
      <c r="J61" s="111">
        <f t="shared" si="47"/>
        <v>0</v>
      </c>
      <c r="K61" s="111">
        <f t="shared" si="47"/>
        <v>0</v>
      </c>
      <c r="L61" s="162">
        <f t="shared" ca="1" si="48"/>
        <v>0</v>
      </c>
      <c r="M61" s="175">
        <f t="shared" si="48"/>
        <v>0</v>
      </c>
    </row>
    <row r="62" spans="6:13" ht="12.75" hidden="1" customHeight="1" x14ac:dyDescent="0.25">
      <c r="F62" s="1">
        <v>15</v>
      </c>
      <c r="G62" s="79">
        <f t="shared" si="45"/>
        <v>0</v>
      </c>
      <c r="H62" s="79" t="e">
        <f>#REF!</f>
        <v>#REF!</v>
      </c>
      <c r="I62" s="79">
        <f t="shared" si="46"/>
        <v>0</v>
      </c>
      <c r="J62" s="111">
        <f t="shared" si="47"/>
        <v>0</v>
      </c>
      <c r="K62" s="111">
        <f t="shared" si="47"/>
        <v>0</v>
      </c>
      <c r="L62" s="162">
        <f t="shared" ca="1" si="48"/>
        <v>0</v>
      </c>
      <c r="M62" s="175">
        <f t="shared" si="48"/>
        <v>0</v>
      </c>
    </row>
    <row r="63" spans="6:13" ht="12.75" hidden="1" customHeight="1" x14ac:dyDescent="0.25">
      <c r="F63" s="1">
        <v>16</v>
      </c>
      <c r="G63" s="79">
        <f t="shared" si="45"/>
        <v>0</v>
      </c>
      <c r="H63" s="79" t="e">
        <f>#REF!</f>
        <v>#REF!</v>
      </c>
      <c r="I63" s="79">
        <f t="shared" si="46"/>
        <v>0</v>
      </c>
      <c r="J63" s="111">
        <f t="shared" si="47"/>
        <v>0</v>
      </c>
      <c r="K63" s="111">
        <f t="shared" si="47"/>
        <v>0</v>
      </c>
      <c r="L63" s="162">
        <f t="shared" ca="1" si="48"/>
        <v>0</v>
      </c>
      <c r="M63" s="175">
        <f t="shared" si="48"/>
        <v>0</v>
      </c>
    </row>
    <row r="64" spans="6:13" ht="12.75" hidden="1" customHeight="1" x14ac:dyDescent="0.25">
      <c r="F64" s="1">
        <v>17</v>
      </c>
      <c r="G64" s="79">
        <f t="shared" ref="G64:G71" si="49">D25</f>
        <v>0</v>
      </c>
      <c r="H64" s="79" t="e">
        <f>#REF!</f>
        <v>#REF!</v>
      </c>
      <c r="I64" s="79">
        <f t="shared" ref="I64:I71" si="50">O25</f>
        <v>0</v>
      </c>
      <c r="J64" s="111">
        <f t="shared" ref="J64:K71" si="51">AE25</f>
        <v>0</v>
      </c>
      <c r="K64" s="111">
        <f t="shared" si="51"/>
        <v>0</v>
      </c>
      <c r="L64" s="162">
        <f t="shared" ref="L64:M71" ca="1" si="52">AU25</f>
        <v>0</v>
      </c>
      <c r="M64" s="175">
        <f>AV24</f>
        <v>0</v>
      </c>
    </row>
    <row r="65" spans="6:13" ht="12.75" hidden="1" customHeight="1" x14ac:dyDescent="0.25">
      <c r="F65" s="1">
        <v>18</v>
      </c>
      <c r="G65" s="79">
        <f t="shared" si="49"/>
        <v>0</v>
      </c>
      <c r="H65" s="79" t="e">
        <f>#REF!</f>
        <v>#REF!</v>
      </c>
      <c r="I65" s="79">
        <f t="shared" si="50"/>
        <v>0</v>
      </c>
      <c r="J65" s="111">
        <f t="shared" si="51"/>
        <v>0</v>
      </c>
      <c r="K65" s="111">
        <f t="shared" si="51"/>
        <v>0</v>
      </c>
      <c r="L65" s="162">
        <f t="shared" ca="1" si="52"/>
        <v>0</v>
      </c>
      <c r="M65" s="175">
        <f t="shared" si="52"/>
        <v>0</v>
      </c>
    </row>
    <row r="66" spans="6:13" ht="12.75" hidden="1" customHeight="1" x14ac:dyDescent="0.25">
      <c r="F66" s="1">
        <v>19</v>
      </c>
      <c r="G66" s="79">
        <f t="shared" si="49"/>
        <v>0</v>
      </c>
      <c r="H66" s="79" t="e">
        <f>#REF!</f>
        <v>#REF!</v>
      </c>
      <c r="I66" s="79">
        <f t="shared" si="50"/>
        <v>0</v>
      </c>
      <c r="J66" s="111">
        <f t="shared" si="51"/>
        <v>0</v>
      </c>
      <c r="K66" s="111">
        <f t="shared" si="51"/>
        <v>0</v>
      </c>
      <c r="L66" s="162">
        <f t="shared" ca="1" si="52"/>
        <v>0</v>
      </c>
      <c r="M66" s="175">
        <f t="shared" si="52"/>
        <v>0</v>
      </c>
    </row>
    <row r="67" spans="6:13" ht="12.75" hidden="1" customHeight="1" x14ac:dyDescent="0.25">
      <c r="F67" s="1">
        <v>20</v>
      </c>
      <c r="G67" s="79">
        <f t="shared" si="49"/>
        <v>0</v>
      </c>
      <c r="H67" s="79" t="e">
        <f>#REF!</f>
        <v>#REF!</v>
      </c>
      <c r="I67" s="79">
        <f t="shared" si="50"/>
        <v>0</v>
      </c>
      <c r="J67" s="111">
        <f t="shared" si="51"/>
        <v>0</v>
      </c>
      <c r="K67" s="111">
        <f t="shared" si="51"/>
        <v>0</v>
      </c>
      <c r="L67" s="162">
        <f t="shared" ca="1" si="52"/>
        <v>0</v>
      </c>
      <c r="M67" s="175">
        <f t="shared" si="52"/>
        <v>0</v>
      </c>
    </row>
    <row r="68" spans="6:13" ht="12.75" hidden="1" customHeight="1" x14ac:dyDescent="0.25">
      <c r="F68" s="1">
        <v>21</v>
      </c>
      <c r="G68" s="79">
        <f t="shared" si="49"/>
        <v>0</v>
      </c>
      <c r="H68" s="79" t="e">
        <f>#REF!</f>
        <v>#REF!</v>
      </c>
      <c r="I68" s="79">
        <f t="shared" si="50"/>
        <v>0</v>
      </c>
      <c r="J68" s="111">
        <f t="shared" si="51"/>
        <v>0</v>
      </c>
      <c r="K68" s="111">
        <f t="shared" si="51"/>
        <v>0</v>
      </c>
      <c r="L68" s="162">
        <f t="shared" ca="1" si="52"/>
        <v>0</v>
      </c>
      <c r="M68" s="175">
        <f t="shared" si="52"/>
        <v>0</v>
      </c>
    </row>
    <row r="69" spans="6:13" ht="12.75" hidden="1" customHeight="1" x14ac:dyDescent="0.25">
      <c r="F69" s="1">
        <v>22</v>
      </c>
      <c r="G69" s="79">
        <f t="shared" si="49"/>
        <v>0</v>
      </c>
      <c r="H69" s="79" t="e">
        <f>#REF!</f>
        <v>#REF!</v>
      </c>
      <c r="I69" s="79">
        <f t="shared" si="50"/>
        <v>0</v>
      </c>
      <c r="J69" s="111">
        <f t="shared" si="51"/>
        <v>0</v>
      </c>
      <c r="K69" s="111">
        <f t="shared" si="51"/>
        <v>0</v>
      </c>
      <c r="L69" s="162">
        <f t="shared" ca="1" si="52"/>
        <v>0</v>
      </c>
      <c r="M69" s="175">
        <f t="shared" si="52"/>
        <v>0</v>
      </c>
    </row>
    <row r="70" spans="6:13" ht="13.5" hidden="1" customHeight="1" x14ac:dyDescent="0.25">
      <c r="F70" s="1">
        <v>23</v>
      </c>
      <c r="G70" s="79">
        <f t="shared" si="49"/>
        <v>0</v>
      </c>
      <c r="H70" s="79" t="e">
        <f>#REF!</f>
        <v>#REF!</v>
      </c>
      <c r="I70" s="79">
        <f t="shared" si="50"/>
        <v>0</v>
      </c>
      <c r="J70" s="111">
        <f t="shared" si="51"/>
        <v>0</v>
      </c>
      <c r="K70" s="111">
        <f t="shared" si="51"/>
        <v>0</v>
      </c>
      <c r="L70" s="162">
        <f t="shared" ca="1" si="52"/>
        <v>0</v>
      </c>
      <c r="M70" s="175">
        <f t="shared" si="52"/>
        <v>0</v>
      </c>
    </row>
    <row r="71" spans="6:13" hidden="1" x14ac:dyDescent="0.25">
      <c r="F71" s="1">
        <v>24</v>
      </c>
      <c r="G71" s="79">
        <f t="shared" si="49"/>
        <v>0</v>
      </c>
      <c r="H71" s="79" t="e">
        <f>#REF!</f>
        <v>#REF!</v>
      </c>
      <c r="I71" s="79">
        <f t="shared" si="50"/>
        <v>0</v>
      </c>
      <c r="J71" s="111">
        <f t="shared" si="51"/>
        <v>0</v>
      </c>
      <c r="K71" s="111">
        <f t="shared" si="51"/>
        <v>0</v>
      </c>
      <c r="L71" s="162">
        <f t="shared" ca="1" si="52"/>
        <v>0</v>
      </c>
      <c r="M71" s="175">
        <f t="shared" si="52"/>
        <v>0</v>
      </c>
    </row>
  </sheetData>
  <mergeCells count="21">
    <mergeCell ref="L2:M2"/>
    <mergeCell ref="Q2:Q3"/>
    <mergeCell ref="T2:U2"/>
    <mergeCell ref="AT5:AU5"/>
    <mergeCell ref="G38:L38"/>
    <mergeCell ref="C1:F1"/>
    <mergeCell ref="AG1:AH1"/>
    <mergeCell ref="AE1:AF1"/>
    <mergeCell ref="P2:P3"/>
    <mergeCell ref="R2:R3"/>
    <mergeCell ref="S2:S3"/>
    <mergeCell ref="G2:H2"/>
    <mergeCell ref="I2:I3"/>
    <mergeCell ref="J2:J3"/>
    <mergeCell ref="K2:K3"/>
    <mergeCell ref="N2:O2"/>
    <mergeCell ref="G1:M1"/>
    <mergeCell ref="N1:U1"/>
    <mergeCell ref="V1:X1"/>
    <mergeCell ref="Y1:Z1"/>
    <mergeCell ref="AA1:AD1"/>
  </mergeCells>
  <conditionalFormatting sqref="I6">
    <cfRule type="cellIs" dxfId="45" priority="40" operator="greaterThan">
      <formula>$I$4</formula>
    </cfRule>
    <cfRule type="cellIs" dxfId="44" priority="39" operator="lessThan">
      <formula>$I$4</formula>
    </cfRule>
  </conditionalFormatting>
  <conditionalFormatting sqref="N33">
    <cfRule type="cellIs" dxfId="43" priority="49" operator="greaterThan">
      <formula>75</formula>
    </cfRule>
    <cfRule type="cellIs" dxfId="42" priority="48" operator="lessThan">
      <formula>75</formula>
    </cfRule>
  </conditionalFormatting>
  <conditionalFormatting sqref="P15 P24 P33">
    <cfRule type="cellIs" dxfId="41" priority="38" operator="greaterThan">
      <formula>52.5</formula>
    </cfRule>
    <cfRule type="cellIs" dxfId="40" priority="37" operator="lessThan">
      <formula>52.5</formula>
    </cfRule>
  </conditionalFormatting>
  <conditionalFormatting sqref="S18:S22 U18:U22 S23:U23">
    <cfRule type="cellIs" dxfId="39" priority="17" operator="equal">
      <formula>"N"</formula>
    </cfRule>
    <cfRule type="cellIs" dxfId="38" priority="18" operator="equal">
      <formula>"Y"</formula>
    </cfRule>
  </conditionalFormatting>
  <conditionalFormatting sqref="S18:S22 U18:AB22 S23:AB23">
    <cfRule type="cellIs" dxfId="37" priority="11" operator="equal">
      <formula>"N"</formula>
    </cfRule>
    <cfRule type="cellIs" dxfId="36" priority="12" operator="equal">
      <formula>"Y"</formula>
    </cfRule>
  </conditionalFormatting>
  <conditionalFormatting sqref="T23">
    <cfRule type="cellIs" dxfId="35" priority="9" operator="equal">
      <formula>"S"</formula>
    </cfRule>
    <cfRule type="cellIs" dxfId="34" priority="10" operator="equal">
      <formula>"C"</formula>
    </cfRule>
    <cfRule type="cellIs" dxfId="33" priority="21" operator="equal">
      <formula>"N"</formula>
    </cfRule>
    <cfRule type="cellIs" dxfId="32" priority="22" operator="equal">
      <formula>"Y"</formula>
    </cfRule>
    <cfRule type="cellIs" dxfId="31" priority="23" operator="equal">
      <formula>"N"</formula>
    </cfRule>
    <cfRule type="cellIs" dxfId="30" priority="24" operator="equal">
      <formula>"Y"</formula>
    </cfRule>
  </conditionalFormatting>
  <conditionalFormatting sqref="T15:Z15">
    <cfRule type="cellIs" dxfId="29" priority="44" operator="equal">
      <formula>"N"</formula>
    </cfRule>
    <cfRule type="cellIs" dxfId="28" priority="45" operator="equal">
      <formula>"Y"</formula>
    </cfRule>
  </conditionalFormatting>
  <conditionalFormatting sqref="T6:AA14">
    <cfRule type="cellIs" dxfId="27" priority="32" operator="equal">
      <formula>"Y"</formula>
    </cfRule>
    <cfRule type="cellIs" dxfId="26" priority="31" operator="equal">
      <formula>"N"</formula>
    </cfRule>
  </conditionalFormatting>
  <conditionalFormatting sqref="T16:AA16 U17:AA17 T17:T22">
    <cfRule type="cellIs" dxfId="25" priority="7" operator="equal">
      <formula>"N"</formula>
    </cfRule>
    <cfRule type="cellIs" dxfId="24" priority="8" operator="equal">
      <formula>"Y"</formula>
    </cfRule>
  </conditionalFormatting>
  <conditionalFormatting sqref="T24:AA24 T33:AA33">
    <cfRule type="cellIs" dxfId="23" priority="35" operator="equal">
      <formula>"N"</formula>
    </cfRule>
    <cfRule type="cellIs" dxfId="22" priority="36" operator="equal">
      <formula>"Y"</formula>
    </cfRule>
  </conditionalFormatting>
  <conditionalFormatting sqref="T6:AC16 U17:AC17 T17:T22">
    <cfRule type="cellIs" dxfId="21" priority="3" operator="equal">
      <formula>"N"</formula>
    </cfRule>
    <cfRule type="cellIs" dxfId="20" priority="4" operator="equal">
      <formula>"Y"</formula>
    </cfRule>
  </conditionalFormatting>
  <conditionalFormatting sqref="T24:AC24 T33:AC33">
    <cfRule type="cellIs" dxfId="19" priority="28" operator="equal">
      <formula>"Y"</formula>
    </cfRule>
    <cfRule type="cellIs" dxfId="18" priority="27" operator="equal">
      <formula>"N"</formula>
    </cfRule>
  </conditionalFormatting>
  <conditionalFormatting sqref="U6:U24">
    <cfRule type="cellIs" dxfId="17" priority="1" operator="equal">
      <formula>"S"</formula>
    </cfRule>
    <cfRule type="cellIs" dxfId="16" priority="2" operator="equal">
      <formula>"C"</formula>
    </cfRule>
  </conditionalFormatting>
  <conditionalFormatting sqref="U33">
    <cfRule type="cellIs" dxfId="15" priority="26" operator="equal">
      <formula>"C"</formula>
    </cfRule>
    <cfRule type="cellIs" dxfId="14" priority="25" operator="equal">
      <formula>"S"</formula>
    </cfRule>
  </conditionalFormatting>
  <conditionalFormatting sqref="V15">
    <cfRule type="cellIs" dxfId="13" priority="42" operator="equal">
      <formula>"S"</formula>
    </cfRule>
    <cfRule type="cellIs" dxfId="12" priority="43" operator="equal">
      <formula>"C"</formula>
    </cfRule>
  </conditionalFormatting>
  <conditionalFormatting sqref="V18:W23">
    <cfRule type="cellIs" dxfId="11" priority="20" operator="equal">
      <formula>"C"</formula>
    </cfRule>
    <cfRule type="cellIs" dxfId="10" priority="19" operator="equal">
      <formula>"S"</formula>
    </cfRule>
  </conditionalFormatting>
  <conditionalFormatting sqref="V6:X14">
    <cfRule type="cellIs" dxfId="9" priority="29" operator="equal">
      <formula>"S"</formula>
    </cfRule>
    <cfRule type="cellIs" dxfId="8" priority="30" operator="equal">
      <formula>"C"</formula>
    </cfRule>
  </conditionalFormatting>
  <conditionalFormatting sqref="V16:X17">
    <cfRule type="cellIs" dxfId="7" priority="6" operator="equal">
      <formula>"C"</formula>
    </cfRule>
    <cfRule type="cellIs" dxfId="6" priority="5" operator="equal">
      <formula>"S"</formula>
    </cfRule>
  </conditionalFormatting>
  <conditionalFormatting sqref="V18:Z23">
    <cfRule type="cellIs" dxfId="5" priority="14" operator="equal">
      <formula>"Y"</formula>
    </cfRule>
    <cfRule type="cellIs" dxfId="4" priority="13" operator="equal">
      <formula>"N"</formula>
    </cfRule>
  </conditionalFormatting>
  <conditionalFormatting sqref="AG6:AG14">
    <cfRule type="cellIs" dxfId="3" priority="33" operator="lessThan">
      <formula>1.19</formula>
    </cfRule>
    <cfRule type="cellIs" dxfId="2" priority="34" operator="greaterThan">
      <formula>1.19</formula>
    </cfRule>
  </conditionalFormatting>
  <conditionalFormatting sqref="AG16:AG23">
    <cfRule type="cellIs" dxfId="1" priority="46" operator="lessThan">
      <formula>1.19</formula>
    </cfRule>
    <cfRule type="cellIs" dxfId="0" priority="47" operator="greaterThan">
      <formula>1.19</formula>
    </cfRule>
  </conditionalFormatting>
  <conditionalFormatting sqref="AK4:AK5">
    <cfRule type="iconSet" priority="54">
      <iconSet iconSet="3Symbols2">
        <cfvo type="percent" val="0"/>
        <cfvo type="percent" val="33"/>
        <cfvo type="percent" val="67"/>
      </iconSet>
    </cfRule>
  </conditionalFormatting>
  <conditionalFormatting sqref="AK6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AK7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AK8:AK14">
    <cfRule type="iconSet" priority="51">
      <iconSet iconSet="3Symbols2">
        <cfvo type="percent" val="0"/>
        <cfvo type="percent" val="33"/>
        <cfvo type="percent" val="67"/>
      </iconSet>
    </cfRule>
  </conditionalFormatting>
  <conditionalFormatting sqref="AK15 AK24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AK16:AK23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AK25:AK32">
    <cfRule type="iconSet" priority="5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DFAF-BC3B-4927-A9C3-B6B7BCB2BDD8}">
  <dimension ref="A2:B24"/>
  <sheetViews>
    <sheetView topLeftCell="A13" workbookViewId="0">
      <selection activeCell="F13" sqref="F13"/>
    </sheetView>
  </sheetViews>
  <sheetFormatPr defaultRowHeight="15" x14ac:dyDescent="0.25"/>
  <cols>
    <col min="1" max="1" width="5.85546875" style="176" customWidth="1"/>
    <col min="2" max="2" width="75.85546875" bestFit="1" customWidth="1"/>
  </cols>
  <sheetData>
    <row r="2" spans="1:2" x14ac:dyDescent="0.25">
      <c r="A2" s="176" t="s">
        <v>82</v>
      </c>
      <c r="B2" t="s">
        <v>83</v>
      </c>
    </row>
    <row r="3" spans="1:2" x14ac:dyDescent="0.25">
      <c r="A3" s="176">
        <v>1</v>
      </c>
      <c r="B3" t="s">
        <v>84</v>
      </c>
    </row>
    <row r="4" spans="1:2" x14ac:dyDescent="0.25">
      <c r="A4" s="176">
        <v>2</v>
      </c>
      <c r="B4" t="s">
        <v>85</v>
      </c>
    </row>
    <row r="5" spans="1:2" x14ac:dyDescent="0.25">
      <c r="A5" s="176">
        <v>3</v>
      </c>
      <c r="B5" t="s">
        <v>86</v>
      </c>
    </row>
    <row r="6" spans="1:2" x14ac:dyDescent="0.25">
      <c r="A6" s="176">
        <v>4</v>
      </c>
      <c r="B6" t="s">
        <v>87</v>
      </c>
    </row>
    <row r="7" spans="1:2" x14ac:dyDescent="0.25">
      <c r="A7" s="176">
        <v>5</v>
      </c>
      <c r="B7" t="s">
        <v>88</v>
      </c>
    </row>
    <row r="8" spans="1:2" x14ac:dyDescent="0.25">
      <c r="A8" s="176">
        <v>6</v>
      </c>
      <c r="B8" t="s">
        <v>89</v>
      </c>
    </row>
    <row r="9" spans="1:2" x14ac:dyDescent="0.25">
      <c r="A9" s="176">
        <v>7</v>
      </c>
      <c r="B9" t="s">
        <v>90</v>
      </c>
    </row>
    <row r="10" spans="1:2" x14ac:dyDescent="0.25">
      <c r="A10" s="176">
        <v>8</v>
      </c>
      <c r="B10" t="s">
        <v>91</v>
      </c>
    </row>
    <row r="11" spans="1:2" x14ac:dyDescent="0.25">
      <c r="A11" s="176">
        <v>9</v>
      </c>
      <c r="B11" t="s">
        <v>92</v>
      </c>
    </row>
    <row r="12" spans="1:2" x14ac:dyDescent="0.25">
      <c r="A12" s="176">
        <v>10</v>
      </c>
      <c r="B12" t="s">
        <v>93</v>
      </c>
    </row>
    <row r="13" spans="1:2" x14ac:dyDescent="0.25">
      <c r="A13" s="176">
        <v>11</v>
      </c>
      <c r="B13" t="s">
        <v>94</v>
      </c>
    </row>
    <row r="14" spans="1:2" x14ac:dyDescent="0.25">
      <c r="A14" s="176">
        <v>12</v>
      </c>
      <c r="B14" t="s">
        <v>95</v>
      </c>
    </row>
    <row r="15" spans="1:2" x14ac:dyDescent="0.25">
      <c r="A15" s="176">
        <v>13</v>
      </c>
      <c r="B15" t="s">
        <v>96</v>
      </c>
    </row>
    <row r="16" spans="1:2" x14ac:dyDescent="0.25">
      <c r="A16" s="176">
        <v>14</v>
      </c>
      <c r="B16" t="s">
        <v>97</v>
      </c>
    </row>
    <row r="17" spans="1:2" x14ac:dyDescent="0.25">
      <c r="A17" s="176">
        <v>15</v>
      </c>
      <c r="B17" t="s">
        <v>98</v>
      </c>
    </row>
    <row r="18" spans="1:2" x14ac:dyDescent="0.25">
      <c r="A18" s="176">
        <v>16</v>
      </c>
      <c r="B18" t="s">
        <v>99</v>
      </c>
    </row>
    <row r="19" spans="1:2" x14ac:dyDescent="0.25">
      <c r="A19" s="176">
        <v>17</v>
      </c>
      <c r="B19" t="s">
        <v>100</v>
      </c>
    </row>
    <row r="20" spans="1:2" x14ac:dyDescent="0.25">
      <c r="A20" s="176">
        <v>18</v>
      </c>
      <c r="B20" t="s">
        <v>101</v>
      </c>
    </row>
    <row r="21" spans="1:2" x14ac:dyDescent="0.25">
      <c r="A21" s="176">
        <v>19</v>
      </c>
      <c r="B21" t="s">
        <v>104</v>
      </c>
    </row>
    <row r="22" spans="1:2" x14ac:dyDescent="0.25">
      <c r="A22" s="176">
        <v>20</v>
      </c>
      <c r="B22" t="s">
        <v>103</v>
      </c>
    </row>
    <row r="23" spans="1:2" x14ac:dyDescent="0.25">
      <c r="A23" s="176">
        <v>21</v>
      </c>
      <c r="B23" t="s">
        <v>102</v>
      </c>
    </row>
    <row r="24" spans="1:2" x14ac:dyDescent="0.25">
      <c r="A24" s="176">
        <v>22</v>
      </c>
      <c r="B24" t="s">
        <v>105</v>
      </c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76A5-0E6A-48C1-927A-38B1ACAD7AF1}">
  <dimension ref="A1:Q33"/>
  <sheetViews>
    <sheetView showGridLines="0" topLeftCell="A11" workbookViewId="0">
      <selection activeCell="L17" sqref="L17"/>
    </sheetView>
  </sheetViews>
  <sheetFormatPr defaultRowHeight="15" x14ac:dyDescent="0.25"/>
  <cols>
    <col min="1" max="1" width="14.28515625" style="248" customWidth="1"/>
    <col min="2" max="2" width="11" style="248" customWidth="1"/>
    <col min="3" max="3" width="16.28515625" style="248" customWidth="1"/>
    <col min="4" max="4" width="10" style="248" customWidth="1"/>
    <col min="5" max="6" width="18.7109375" customWidth="1"/>
    <col min="8" max="8" width="9.140625" style="176"/>
    <col min="9" max="9" width="10" style="176" bestFit="1" customWidth="1"/>
    <col min="10" max="10" width="9.140625" style="252"/>
    <col min="13" max="15" width="9.140625" style="248"/>
    <col min="16" max="16" width="10" style="248" bestFit="1" customWidth="1"/>
    <col min="17" max="17" width="10.42578125" bestFit="1" customWidth="1"/>
  </cols>
  <sheetData>
    <row r="1" spans="1:17" s="241" customFormat="1" ht="45" x14ac:dyDescent="0.25">
      <c r="A1" s="240" t="s">
        <v>142</v>
      </c>
      <c r="B1" s="240" t="s">
        <v>152</v>
      </c>
      <c r="C1" s="240" t="s">
        <v>154</v>
      </c>
      <c r="D1" s="240" t="s">
        <v>143</v>
      </c>
      <c r="E1" s="240" t="s">
        <v>153</v>
      </c>
      <c r="F1" s="254" t="s">
        <v>293</v>
      </c>
      <c r="H1" s="304" t="s">
        <v>142</v>
      </c>
      <c r="I1" s="305"/>
      <c r="J1" s="242" t="s">
        <v>144</v>
      </c>
    </row>
    <row r="2" spans="1:17" x14ac:dyDescent="0.25">
      <c r="A2" s="243">
        <f>'26 Jul 23'!G38</f>
        <v>45133</v>
      </c>
      <c r="B2" s="244">
        <f>'26 Jul 23'!K39</f>
        <v>492</v>
      </c>
      <c r="C2" s="244">
        <f>B2</f>
        <v>492</v>
      </c>
      <c r="D2" s="244">
        <f>J2</f>
        <v>819</v>
      </c>
      <c r="E2" s="244">
        <f>D2</f>
        <v>819</v>
      </c>
      <c r="F2" s="244">
        <f>C2-E2</f>
        <v>-327</v>
      </c>
      <c r="H2" s="245" t="s">
        <v>147</v>
      </c>
      <c r="I2" s="246">
        <v>45133</v>
      </c>
      <c r="J2" s="247">
        <v>819</v>
      </c>
    </row>
    <row r="3" spans="1:17" x14ac:dyDescent="0.25">
      <c r="A3" s="243">
        <f>'27 Jul 23'!G39</f>
        <v>45134</v>
      </c>
      <c r="B3" s="244">
        <f>'27 Jul 23'!K40</f>
        <v>1173</v>
      </c>
      <c r="C3" s="244">
        <f>C2+B3</f>
        <v>1665</v>
      </c>
      <c r="D3" s="244">
        <f t="shared" ref="D3:D31" si="0">J3</f>
        <v>1638</v>
      </c>
      <c r="E3" s="244">
        <f>D3+E2</f>
        <v>2457</v>
      </c>
      <c r="F3" s="244">
        <f t="shared" ref="F3:F32" si="1">C3-E3</f>
        <v>-792</v>
      </c>
      <c r="H3" s="245" t="s">
        <v>148</v>
      </c>
      <c r="I3" s="246">
        <f>+I2+1</f>
        <v>45134</v>
      </c>
      <c r="J3" s="247">
        <v>1638</v>
      </c>
    </row>
    <row r="4" spans="1:17" x14ac:dyDescent="0.25">
      <c r="A4" s="243">
        <f>'28 Jul 23'!G39</f>
        <v>45135</v>
      </c>
      <c r="B4" s="244">
        <f>'28 Jul 23'!K40</f>
        <v>1331</v>
      </c>
      <c r="C4" s="244">
        <f t="shared" ref="C4:C27" si="2">C3+B4</f>
        <v>2996</v>
      </c>
      <c r="D4" s="244">
        <f t="shared" si="0"/>
        <v>1638</v>
      </c>
      <c r="E4" s="244">
        <f t="shared" ref="E4:E32" si="3">D4+E3</f>
        <v>4095</v>
      </c>
      <c r="F4" s="244">
        <f t="shared" si="1"/>
        <v>-1099</v>
      </c>
      <c r="H4" s="245" t="s">
        <v>149</v>
      </c>
      <c r="I4" s="246">
        <f t="shared" ref="I4:I32" si="4">+I3+1</f>
        <v>45135</v>
      </c>
      <c r="J4" s="247">
        <v>1638</v>
      </c>
    </row>
    <row r="5" spans="1:17" x14ac:dyDescent="0.25">
      <c r="A5" s="243">
        <f>'29 Jul 23'!G39</f>
        <v>45136</v>
      </c>
      <c r="B5" s="244">
        <f>'29 Jul 23'!K40</f>
        <v>0</v>
      </c>
      <c r="C5" s="244">
        <f t="shared" si="2"/>
        <v>2996</v>
      </c>
      <c r="D5" s="244">
        <f t="shared" si="0"/>
        <v>0</v>
      </c>
      <c r="E5" s="244">
        <f t="shared" si="3"/>
        <v>4095</v>
      </c>
      <c r="F5" s="244">
        <f t="shared" si="1"/>
        <v>-1099</v>
      </c>
      <c r="H5" s="245" t="s">
        <v>150</v>
      </c>
      <c r="I5" s="246">
        <f t="shared" si="4"/>
        <v>45136</v>
      </c>
      <c r="J5" s="247">
        <v>0</v>
      </c>
    </row>
    <row r="6" spans="1:17" x14ac:dyDescent="0.25">
      <c r="A6" s="243">
        <f>'30 Jul 23'!G39</f>
        <v>45137</v>
      </c>
      <c r="B6" s="244">
        <f>'30 Jul 23'!K40</f>
        <v>0</v>
      </c>
      <c r="C6" s="244">
        <f t="shared" si="2"/>
        <v>2996</v>
      </c>
      <c r="D6" s="244">
        <f t="shared" si="0"/>
        <v>0</v>
      </c>
      <c r="E6" s="244">
        <f t="shared" si="3"/>
        <v>4095</v>
      </c>
      <c r="F6" s="244">
        <f t="shared" si="1"/>
        <v>-1099</v>
      </c>
      <c r="H6" s="245" t="s">
        <v>151</v>
      </c>
      <c r="I6" s="246">
        <f t="shared" si="4"/>
        <v>45137</v>
      </c>
      <c r="J6" s="247">
        <v>0</v>
      </c>
    </row>
    <row r="7" spans="1:17" x14ac:dyDescent="0.25">
      <c r="A7" s="243">
        <f>'31 Jul 23'!G39</f>
        <v>45138</v>
      </c>
      <c r="B7" s="244">
        <f>'31 Jul 23'!K40</f>
        <v>1090</v>
      </c>
      <c r="C7" s="244">
        <f t="shared" si="2"/>
        <v>4086</v>
      </c>
      <c r="D7" s="244">
        <f t="shared" si="0"/>
        <v>1638</v>
      </c>
      <c r="E7" s="244">
        <f t="shared" si="3"/>
        <v>5733</v>
      </c>
      <c r="F7" s="244">
        <f t="shared" si="1"/>
        <v>-1647</v>
      </c>
      <c r="H7" s="245" t="s">
        <v>145</v>
      </c>
      <c r="I7" s="246">
        <f t="shared" si="4"/>
        <v>45138</v>
      </c>
      <c r="J7" s="247">
        <v>1638</v>
      </c>
    </row>
    <row r="8" spans="1:17" x14ac:dyDescent="0.25">
      <c r="A8" s="243">
        <f>'01 Aug 23'!G39</f>
        <v>45139</v>
      </c>
      <c r="B8" s="244">
        <f>'01 Aug 23'!K40</f>
        <v>1104</v>
      </c>
      <c r="C8" s="244">
        <f t="shared" si="2"/>
        <v>5190</v>
      </c>
      <c r="D8" s="244">
        <f t="shared" si="0"/>
        <v>1638</v>
      </c>
      <c r="E8" s="244">
        <f t="shared" si="3"/>
        <v>7371</v>
      </c>
      <c r="F8" s="244">
        <f t="shared" si="1"/>
        <v>-2181</v>
      </c>
      <c r="H8" s="245" t="s">
        <v>146</v>
      </c>
      <c r="I8" s="246">
        <f t="shared" si="4"/>
        <v>45139</v>
      </c>
      <c r="J8" s="247">
        <v>1638</v>
      </c>
    </row>
    <row r="9" spans="1:17" x14ac:dyDescent="0.25">
      <c r="A9" s="243">
        <f>'02 Aug 23'!G39</f>
        <v>45140</v>
      </c>
      <c r="B9" s="244">
        <f>'02 Aug 23'!K40</f>
        <v>927</v>
      </c>
      <c r="C9" s="244">
        <f t="shared" si="2"/>
        <v>6117</v>
      </c>
      <c r="D9" s="244">
        <f t="shared" si="0"/>
        <v>819</v>
      </c>
      <c r="E9" s="244">
        <f t="shared" si="3"/>
        <v>8190</v>
      </c>
      <c r="F9" s="244">
        <f t="shared" si="1"/>
        <v>-2073</v>
      </c>
      <c r="H9" s="245" t="s">
        <v>147</v>
      </c>
      <c r="I9" s="246">
        <f t="shared" si="4"/>
        <v>45140</v>
      </c>
      <c r="J9" s="247">
        <v>819</v>
      </c>
    </row>
    <row r="10" spans="1:17" x14ac:dyDescent="0.25">
      <c r="A10" s="243">
        <f>'03 Aug 23'!G39</f>
        <v>45141</v>
      </c>
      <c r="B10" s="244">
        <f>'03 Aug 23'!K40</f>
        <v>1761</v>
      </c>
      <c r="C10" s="244">
        <f t="shared" si="2"/>
        <v>7878</v>
      </c>
      <c r="D10" s="244">
        <f t="shared" si="0"/>
        <v>1638</v>
      </c>
      <c r="E10" s="244">
        <f t="shared" si="3"/>
        <v>9828</v>
      </c>
      <c r="F10" s="244">
        <f t="shared" si="1"/>
        <v>-1950</v>
      </c>
      <c r="H10" s="245" t="s">
        <v>148</v>
      </c>
      <c r="I10" s="246">
        <f t="shared" si="4"/>
        <v>45141</v>
      </c>
      <c r="J10" s="247">
        <v>1638</v>
      </c>
    </row>
    <row r="11" spans="1:17" x14ac:dyDescent="0.25">
      <c r="A11" s="243">
        <f>'04 Aug 23'!G39</f>
        <v>45142</v>
      </c>
      <c r="B11" s="244">
        <f>'04 Aug 23'!K40</f>
        <v>902</v>
      </c>
      <c r="C11" s="244">
        <f t="shared" si="2"/>
        <v>8780</v>
      </c>
      <c r="D11" s="244">
        <f t="shared" si="0"/>
        <v>1638</v>
      </c>
      <c r="E11" s="244">
        <f t="shared" si="3"/>
        <v>11466</v>
      </c>
      <c r="F11" s="244">
        <f t="shared" si="1"/>
        <v>-2686</v>
      </c>
      <c r="H11" s="245" t="s">
        <v>149</v>
      </c>
      <c r="I11" s="246">
        <f t="shared" si="4"/>
        <v>45142</v>
      </c>
      <c r="J11" s="247">
        <v>1638</v>
      </c>
    </row>
    <row r="12" spans="1:17" x14ac:dyDescent="0.25">
      <c r="A12" s="243">
        <f>'05 Aug 23'!G39</f>
        <v>45143</v>
      </c>
      <c r="B12" s="244">
        <f>'05 Aug 23'!K40</f>
        <v>0</v>
      </c>
      <c r="C12" s="244">
        <f t="shared" si="2"/>
        <v>8780</v>
      </c>
      <c r="D12" s="244">
        <f t="shared" si="0"/>
        <v>0</v>
      </c>
      <c r="E12" s="244">
        <f t="shared" si="3"/>
        <v>11466</v>
      </c>
      <c r="F12" s="244">
        <f t="shared" si="1"/>
        <v>-2686</v>
      </c>
      <c r="H12" s="245" t="s">
        <v>150</v>
      </c>
      <c r="I12" s="246">
        <f t="shared" si="4"/>
        <v>45143</v>
      </c>
      <c r="J12" s="247">
        <v>0</v>
      </c>
    </row>
    <row r="13" spans="1:17" x14ac:dyDescent="0.25">
      <c r="A13" s="243">
        <f>'06 Aug 23'!B1</f>
        <v>45144</v>
      </c>
      <c r="B13" s="244">
        <f>'06 Aug 23'!K40</f>
        <v>0</v>
      </c>
      <c r="C13" s="244">
        <f t="shared" si="2"/>
        <v>8780</v>
      </c>
      <c r="D13" s="244">
        <f t="shared" si="0"/>
        <v>0</v>
      </c>
      <c r="E13" s="244">
        <f t="shared" si="3"/>
        <v>11466</v>
      </c>
      <c r="F13" s="244">
        <f t="shared" si="1"/>
        <v>-2686</v>
      </c>
      <c r="H13" s="245" t="s">
        <v>151</v>
      </c>
      <c r="I13" s="246">
        <f t="shared" si="4"/>
        <v>45144</v>
      </c>
      <c r="J13" s="247">
        <v>0</v>
      </c>
    </row>
    <row r="14" spans="1:17" x14ac:dyDescent="0.25">
      <c r="A14" s="243">
        <f>'07 Aug 23'!B1</f>
        <v>45145</v>
      </c>
      <c r="B14" s="244">
        <f>'07 Aug 23'!K40</f>
        <v>1563</v>
      </c>
      <c r="C14" s="244">
        <f t="shared" si="2"/>
        <v>10343</v>
      </c>
      <c r="D14" s="244">
        <f t="shared" si="0"/>
        <v>1638</v>
      </c>
      <c r="E14" s="244">
        <f t="shared" si="3"/>
        <v>13104</v>
      </c>
      <c r="F14" s="244">
        <f t="shared" si="1"/>
        <v>-2761</v>
      </c>
      <c r="H14" s="245" t="s">
        <v>145</v>
      </c>
      <c r="I14" s="246">
        <f t="shared" si="4"/>
        <v>45145</v>
      </c>
      <c r="J14" s="247">
        <v>1638</v>
      </c>
      <c r="N14" s="249"/>
      <c r="Q14" s="248"/>
    </row>
    <row r="15" spans="1:17" x14ac:dyDescent="0.25">
      <c r="A15" s="243">
        <f>'08 Aug 23'!B1</f>
        <v>45146</v>
      </c>
      <c r="B15" s="244">
        <f>'08 Aug 23'!K40</f>
        <v>1995</v>
      </c>
      <c r="C15" s="244">
        <f t="shared" si="2"/>
        <v>12338</v>
      </c>
      <c r="D15" s="244">
        <f t="shared" si="0"/>
        <v>1638</v>
      </c>
      <c r="E15" s="244">
        <f t="shared" si="3"/>
        <v>14742</v>
      </c>
      <c r="F15" s="244">
        <f t="shared" si="1"/>
        <v>-2404</v>
      </c>
      <c r="H15" s="245" t="s">
        <v>146</v>
      </c>
      <c r="I15" s="246">
        <f t="shared" si="4"/>
        <v>45146</v>
      </c>
      <c r="J15" s="247">
        <v>1638</v>
      </c>
    </row>
    <row r="16" spans="1:17" x14ac:dyDescent="0.25">
      <c r="A16" s="243">
        <f>'09 Aug 23'!B1</f>
        <v>45147</v>
      </c>
      <c r="B16" s="244">
        <f>'09 Aug 23'!K40</f>
        <v>2817</v>
      </c>
      <c r="C16" s="244">
        <f t="shared" si="2"/>
        <v>15155</v>
      </c>
      <c r="D16" s="244">
        <f t="shared" si="0"/>
        <v>819</v>
      </c>
      <c r="E16" s="244">
        <f t="shared" si="3"/>
        <v>15561</v>
      </c>
      <c r="F16" s="244">
        <f t="shared" si="1"/>
        <v>-406</v>
      </c>
      <c r="H16" s="245" t="s">
        <v>147</v>
      </c>
      <c r="I16" s="246">
        <f t="shared" si="4"/>
        <v>45147</v>
      </c>
      <c r="J16" s="247">
        <v>819</v>
      </c>
      <c r="L16" s="250"/>
    </row>
    <row r="17" spans="1:13" x14ac:dyDescent="0.25">
      <c r="A17" s="243">
        <f>'10 Aug 23'!B1</f>
        <v>45148</v>
      </c>
      <c r="B17" s="244">
        <f>'10 Aug 23'!K40</f>
        <v>1008</v>
      </c>
      <c r="C17" s="244">
        <f t="shared" si="2"/>
        <v>16163</v>
      </c>
      <c r="D17" s="244">
        <f t="shared" si="0"/>
        <v>1638</v>
      </c>
      <c r="E17" s="244">
        <f t="shared" si="3"/>
        <v>17199</v>
      </c>
      <c r="F17" s="244">
        <f t="shared" si="1"/>
        <v>-1036</v>
      </c>
      <c r="H17" s="245" t="s">
        <v>148</v>
      </c>
      <c r="I17" s="246">
        <f t="shared" si="4"/>
        <v>45148</v>
      </c>
      <c r="J17" s="247">
        <v>1638</v>
      </c>
    </row>
    <row r="18" spans="1:13" x14ac:dyDescent="0.25">
      <c r="A18" s="243">
        <f>'11 Aug 23'!B1</f>
        <v>45149</v>
      </c>
      <c r="B18" s="244">
        <f>'11 Aug 23'!K40</f>
        <v>0</v>
      </c>
      <c r="C18" s="244">
        <f t="shared" si="2"/>
        <v>16163</v>
      </c>
      <c r="D18" s="244">
        <f t="shared" si="0"/>
        <v>1638</v>
      </c>
      <c r="E18" s="244">
        <f t="shared" si="3"/>
        <v>18837</v>
      </c>
      <c r="F18" s="244">
        <f t="shared" si="1"/>
        <v>-2674</v>
      </c>
      <c r="H18" s="245" t="s">
        <v>149</v>
      </c>
      <c r="I18" s="246">
        <f t="shared" si="4"/>
        <v>45149</v>
      </c>
      <c r="J18" s="247">
        <v>1638</v>
      </c>
    </row>
    <row r="19" spans="1:13" x14ac:dyDescent="0.25">
      <c r="A19" s="243">
        <f>'12 Aug 23'!B1</f>
        <v>45150</v>
      </c>
      <c r="B19" s="244">
        <f>'12 Aug 23'!K40</f>
        <v>0</v>
      </c>
      <c r="C19" s="244">
        <f t="shared" si="2"/>
        <v>16163</v>
      </c>
      <c r="D19" s="244">
        <f t="shared" si="0"/>
        <v>0</v>
      </c>
      <c r="E19" s="244">
        <f t="shared" si="3"/>
        <v>18837</v>
      </c>
      <c r="F19" s="244">
        <f t="shared" si="1"/>
        <v>-2674</v>
      </c>
      <c r="H19" s="245" t="s">
        <v>150</v>
      </c>
      <c r="I19" s="246">
        <f t="shared" si="4"/>
        <v>45150</v>
      </c>
      <c r="J19" s="247">
        <v>0</v>
      </c>
      <c r="M19" s="249"/>
    </row>
    <row r="20" spans="1:13" x14ac:dyDescent="0.25">
      <c r="A20" s="243">
        <f>'13 Aug 23'!B1</f>
        <v>45151</v>
      </c>
      <c r="B20" s="244">
        <f>'13 Aug 23'!K40</f>
        <v>0</v>
      </c>
      <c r="C20" s="244">
        <f t="shared" si="2"/>
        <v>16163</v>
      </c>
      <c r="D20" s="244">
        <f t="shared" si="0"/>
        <v>0</v>
      </c>
      <c r="E20" s="244">
        <f t="shared" si="3"/>
        <v>18837</v>
      </c>
      <c r="F20" s="244">
        <f t="shared" si="1"/>
        <v>-2674</v>
      </c>
      <c r="H20" s="245" t="s">
        <v>151</v>
      </c>
      <c r="I20" s="246">
        <f t="shared" si="4"/>
        <v>45151</v>
      </c>
      <c r="J20" s="247">
        <v>0</v>
      </c>
    </row>
    <row r="21" spans="1:13" x14ac:dyDescent="0.25">
      <c r="A21" s="243"/>
      <c r="B21" s="244"/>
      <c r="C21" s="244">
        <f t="shared" si="2"/>
        <v>16163</v>
      </c>
      <c r="D21" s="244">
        <f t="shared" si="0"/>
        <v>1638</v>
      </c>
      <c r="E21" s="244">
        <f t="shared" si="3"/>
        <v>20475</v>
      </c>
      <c r="F21" s="244">
        <f t="shared" si="1"/>
        <v>-4312</v>
      </c>
      <c r="H21" s="245" t="s">
        <v>145</v>
      </c>
      <c r="I21" s="246">
        <f t="shared" si="4"/>
        <v>45152</v>
      </c>
      <c r="J21" s="247">
        <v>1638</v>
      </c>
    </row>
    <row r="22" spans="1:13" x14ac:dyDescent="0.25">
      <c r="A22" s="243"/>
      <c r="B22" s="244"/>
      <c r="C22" s="244">
        <f t="shared" si="2"/>
        <v>16163</v>
      </c>
      <c r="D22" s="244">
        <f t="shared" si="0"/>
        <v>1638</v>
      </c>
      <c r="E22" s="244">
        <f t="shared" si="3"/>
        <v>22113</v>
      </c>
      <c r="F22" s="244">
        <f t="shared" si="1"/>
        <v>-5950</v>
      </c>
      <c r="H22" s="245" t="s">
        <v>146</v>
      </c>
      <c r="I22" s="246">
        <f t="shared" si="4"/>
        <v>45153</v>
      </c>
      <c r="J22" s="247">
        <v>1638</v>
      </c>
      <c r="L22" s="250"/>
    </row>
    <row r="23" spans="1:13" x14ac:dyDescent="0.25">
      <c r="A23" s="243"/>
      <c r="B23" s="244"/>
      <c r="C23" s="244">
        <f t="shared" si="2"/>
        <v>16163</v>
      </c>
      <c r="D23" s="244">
        <f t="shared" si="0"/>
        <v>819</v>
      </c>
      <c r="E23" s="244">
        <f t="shared" si="3"/>
        <v>22932</v>
      </c>
      <c r="F23" s="244">
        <f t="shared" si="1"/>
        <v>-6769</v>
      </c>
      <c r="H23" s="245" t="s">
        <v>147</v>
      </c>
      <c r="I23" s="246">
        <f t="shared" si="4"/>
        <v>45154</v>
      </c>
      <c r="J23" s="247">
        <v>819</v>
      </c>
    </row>
    <row r="24" spans="1:13" x14ac:dyDescent="0.25">
      <c r="A24" s="243"/>
      <c r="B24" s="244"/>
      <c r="C24" s="244">
        <f t="shared" si="2"/>
        <v>16163</v>
      </c>
      <c r="D24" s="244">
        <f t="shared" si="0"/>
        <v>1638</v>
      </c>
      <c r="E24" s="244">
        <f t="shared" si="3"/>
        <v>24570</v>
      </c>
      <c r="F24" s="244">
        <f t="shared" si="1"/>
        <v>-8407</v>
      </c>
      <c r="H24" s="245" t="s">
        <v>148</v>
      </c>
      <c r="I24" s="246">
        <f t="shared" si="4"/>
        <v>45155</v>
      </c>
      <c r="J24" s="247">
        <v>1638</v>
      </c>
    </row>
    <row r="25" spans="1:13" x14ac:dyDescent="0.25">
      <c r="A25" s="243"/>
      <c r="B25" s="244"/>
      <c r="C25" s="244">
        <f t="shared" si="2"/>
        <v>16163</v>
      </c>
      <c r="D25" s="244">
        <f t="shared" si="0"/>
        <v>1638</v>
      </c>
      <c r="E25" s="244">
        <f t="shared" si="3"/>
        <v>26208</v>
      </c>
      <c r="F25" s="244">
        <f t="shared" si="1"/>
        <v>-10045</v>
      </c>
      <c r="H25" s="245" t="s">
        <v>149</v>
      </c>
      <c r="I25" s="246">
        <f t="shared" si="4"/>
        <v>45156</v>
      </c>
      <c r="J25" s="247">
        <v>1638</v>
      </c>
      <c r="L25" s="250"/>
    </row>
    <row r="26" spans="1:13" x14ac:dyDescent="0.25">
      <c r="A26" s="243"/>
      <c r="B26" s="244"/>
      <c r="C26" s="244">
        <f t="shared" si="2"/>
        <v>16163</v>
      </c>
      <c r="D26" s="244">
        <f t="shared" si="0"/>
        <v>0</v>
      </c>
      <c r="E26" s="244">
        <f t="shared" si="3"/>
        <v>26208</v>
      </c>
      <c r="F26" s="244">
        <f t="shared" si="1"/>
        <v>-10045</v>
      </c>
      <c r="H26" s="245" t="s">
        <v>150</v>
      </c>
      <c r="I26" s="246">
        <f t="shared" si="4"/>
        <v>45157</v>
      </c>
      <c r="J26" s="247">
        <v>0</v>
      </c>
    </row>
    <row r="27" spans="1:13" x14ac:dyDescent="0.25">
      <c r="A27" s="243"/>
      <c r="B27" s="244"/>
      <c r="C27" s="244">
        <f t="shared" si="2"/>
        <v>16163</v>
      </c>
      <c r="D27" s="244">
        <f t="shared" si="0"/>
        <v>0</v>
      </c>
      <c r="E27" s="244">
        <f t="shared" si="3"/>
        <v>26208</v>
      </c>
      <c r="F27" s="244">
        <f t="shared" si="1"/>
        <v>-10045</v>
      </c>
      <c r="H27" s="245" t="s">
        <v>151</v>
      </c>
      <c r="I27" s="246">
        <f t="shared" si="4"/>
        <v>45158</v>
      </c>
      <c r="J27" s="247">
        <v>0</v>
      </c>
    </row>
    <row r="28" spans="1:13" x14ac:dyDescent="0.25">
      <c r="A28" s="243"/>
      <c r="B28" s="244"/>
      <c r="C28" s="244">
        <f>C27+B28</f>
        <v>16163</v>
      </c>
      <c r="D28" s="244">
        <f t="shared" si="0"/>
        <v>1638</v>
      </c>
      <c r="E28" s="244">
        <f t="shared" si="3"/>
        <v>27846</v>
      </c>
      <c r="F28" s="244">
        <f t="shared" si="1"/>
        <v>-11683</v>
      </c>
      <c r="H28" s="245" t="s">
        <v>145</v>
      </c>
      <c r="I28" s="246">
        <f t="shared" si="4"/>
        <v>45159</v>
      </c>
      <c r="J28" s="247">
        <v>1638</v>
      </c>
    </row>
    <row r="29" spans="1:13" x14ac:dyDescent="0.25">
      <c r="A29" s="243"/>
      <c r="B29" s="244"/>
      <c r="C29" s="244">
        <f>C28+B29</f>
        <v>16163</v>
      </c>
      <c r="D29" s="244">
        <f t="shared" si="0"/>
        <v>1638</v>
      </c>
      <c r="E29" s="244">
        <f t="shared" si="3"/>
        <v>29484</v>
      </c>
      <c r="F29" s="244">
        <f t="shared" si="1"/>
        <v>-13321</v>
      </c>
      <c r="H29" s="245" t="s">
        <v>146</v>
      </c>
      <c r="I29" s="246">
        <f t="shared" si="4"/>
        <v>45160</v>
      </c>
      <c r="J29" s="247">
        <v>1638</v>
      </c>
    </row>
    <row r="30" spans="1:13" x14ac:dyDescent="0.25">
      <c r="A30" s="243"/>
      <c r="B30" s="244"/>
      <c r="C30" s="244">
        <f>C29+B30</f>
        <v>16163</v>
      </c>
      <c r="D30" s="244">
        <f t="shared" si="0"/>
        <v>819</v>
      </c>
      <c r="E30" s="244">
        <f t="shared" si="3"/>
        <v>30303</v>
      </c>
      <c r="F30" s="244">
        <f t="shared" si="1"/>
        <v>-14140</v>
      </c>
      <c r="H30" s="245" t="s">
        <v>147</v>
      </c>
      <c r="I30" s="246">
        <f t="shared" si="4"/>
        <v>45161</v>
      </c>
      <c r="J30" s="247">
        <v>819</v>
      </c>
    </row>
    <row r="31" spans="1:13" x14ac:dyDescent="0.25">
      <c r="A31" s="243"/>
      <c r="B31" s="244"/>
      <c r="C31" s="244">
        <f>C30+B31</f>
        <v>16163</v>
      </c>
      <c r="D31" s="244">
        <f t="shared" si="0"/>
        <v>1638</v>
      </c>
      <c r="E31" s="244">
        <f t="shared" si="3"/>
        <v>31941</v>
      </c>
      <c r="F31" s="244">
        <f t="shared" si="1"/>
        <v>-15778</v>
      </c>
      <c r="H31" s="245" t="s">
        <v>148</v>
      </c>
      <c r="I31" s="246">
        <f t="shared" si="4"/>
        <v>45162</v>
      </c>
      <c r="J31" s="247">
        <v>1638</v>
      </c>
    </row>
    <row r="32" spans="1:13" x14ac:dyDescent="0.25">
      <c r="A32" s="243"/>
      <c r="B32" s="244"/>
      <c r="C32" s="244">
        <f>C31+B32</f>
        <v>16163</v>
      </c>
      <c r="D32" s="244">
        <f t="shared" ref="D32" si="5">J32</f>
        <v>1638</v>
      </c>
      <c r="E32" s="244">
        <f t="shared" si="3"/>
        <v>33579</v>
      </c>
      <c r="F32" s="244">
        <f t="shared" si="1"/>
        <v>-17416</v>
      </c>
      <c r="H32" s="245" t="s">
        <v>149</v>
      </c>
      <c r="I32" s="246">
        <f t="shared" si="4"/>
        <v>45163</v>
      </c>
      <c r="J32" s="247">
        <v>1638</v>
      </c>
    </row>
    <row r="33" spans="10:10" x14ac:dyDescent="0.25">
      <c r="J33" s="251">
        <f>+SUM(J2:J32)</f>
        <v>33579</v>
      </c>
    </row>
  </sheetData>
  <mergeCells count="1">
    <mergeCell ref="H1:I1"/>
  </mergeCells>
  <phoneticPr fontId="13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0EF44A9-770D-4CC7-A9A2-0FD440E6C09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3Symbols2" iconId="0"/>
              <x14:cfIcon iconSet="3Symbols" iconId="2"/>
            </x14:iconSet>
          </x14:cfRule>
          <xm:sqref>F2:F32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104</vt:i4>
      </vt:variant>
    </vt:vector>
  </HeadingPairs>
  <TitlesOfParts>
    <vt:vector size="129" baseType="lpstr">
      <vt:lpstr>26 Jul 23</vt:lpstr>
      <vt:lpstr>27 Jul 23</vt:lpstr>
      <vt:lpstr>28 Jul 23</vt:lpstr>
      <vt:lpstr>29 Jul 23</vt:lpstr>
      <vt:lpstr>30 Jul 23</vt:lpstr>
      <vt:lpstr>31 Jul 23</vt:lpstr>
      <vt:lpstr>01 Aug 23</vt:lpstr>
      <vt:lpstr>02 Aug 23</vt:lpstr>
      <vt:lpstr>03 Aug 23</vt:lpstr>
      <vt:lpstr>04 Aug 23</vt:lpstr>
      <vt:lpstr>05 Aug 23</vt:lpstr>
      <vt:lpstr>l</vt:lpstr>
      <vt:lpstr>06 Aug 23</vt:lpstr>
      <vt:lpstr>07 Aug 23</vt:lpstr>
      <vt:lpstr>08 Aug 23</vt:lpstr>
      <vt:lpstr>09 Aug 23</vt:lpstr>
      <vt:lpstr>10 Aug 23</vt:lpstr>
      <vt:lpstr>11 Aug 23</vt:lpstr>
      <vt:lpstr>12 Aug 23</vt:lpstr>
      <vt:lpstr>13 Aug 23</vt:lpstr>
      <vt:lpstr>14 Aug 23</vt:lpstr>
      <vt:lpstr>15 Aug 23</vt:lpstr>
      <vt:lpstr>16 Aug 23</vt:lpstr>
      <vt:lpstr>Plant Start-up</vt:lpstr>
      <vt:lpstr>Production</vt:lpstr>
      <vt:lpstr>'05 Aug 23'!_10_Jul_23</vt:lpstr>
      <vt:lpstr>_10_Jul_23</vt:lpstr>
      <vt:lpstr>'01 Aug 23'!Day</vt:lpstr>
      <vt:lpstr>'02 Aug 23'!Day</vt:lpstr>
      <vt:lpstr>'03 Aug 23'!Day</vt:lpstr>
      <vt:lpstr>'04 Aug 23'!Day</vt:lpstr>
      <vt:lpstr>'05 Aug 23'!Day</vt:lpstr>
      <vt:lpstr>'06 Aug 23'!Day</vt:lpstr>
      <vt:lpstr>'07 Aug 23'!Day</vt:lpstr>
      <vt:lpstr>'08 Aug 23'!Day</vt:lpstr>
      <vt:lpstr>'09 Aug 23'!Day</vt:lpstr>
      <vt:lpstr>'10 Aug 23'!Day</vt:lpstr>
      <vt:lpstr>'11 Aug 23'!Day</vt:lpstr>
      <vt:lpstr>'27 Jul 23'!Day</vt:lpstr>
      <vt:lpstr>'28 Jul 23'!Day</vt:lpstr>
      <vt:lpstr>'29 Jul 23'!Day</vt:lpstr>
      <vt:lpstr>'30 Jul 23'!Day</vt:lpstr>
      <vt:lpstr>'31 Jul 23'!Day</vt:lpstr>
      <vt:lpstr>l!Day</vt:lpstr>
      <vt:lpstr>'01 Aug 23'!downtime</vt:lpstr>
      <vt:lpstr>'02 Aug 23'!downtime</vt:lpstr>
      <vt:lpstr>'03 Aug 23'!downtime</vt:lpstr>
      <vt:lpstr>'04 Aug 23'!downtime</vt:lpstr>
      <vt:lpstr>'05 Aug 23'!downtime</vt:lpstr>
      <vt:lpstr>'06 Aug 23'!downtime</vt:lpstr>
      <vt:lpstr>'07 Aug 23'!downtime</vt:lpstr>
      <vt:lpstr>'08 Aug 23'!downtime</vt:lpstr>
      <vt:lpstr>'09 Aug 23'!downtime</vt:lpstr>
      <vt:lpstr>'10 Aug 23'!downtime</vt:lpstr>
      <vt:lpstr>'11 Aug 23'!downtime</vt:lpstr>
      <vt:lpstr>'27 Jul 23'!downtime</vt:lpstr>
      <vt:lpstr>'28 Jul 23'!downtime</vt:lpstr>
      <vt:lpstr>'29 Jul 23'!downtime</vt:lpstr>
      <vt:lpstr>'30 Jul 23'!downtime</vt:lpstr>
      <vt:lpstr>'31 Jul 23'!downtime</vt:lpstr>
      <vt:lpstr>l!downtime</vt:lpstr>
      <vt:lpstr>'01 Aug 23'!Hourly</vt:lpstr>
      <vt:lpstr>'02 Aug 23'!Hourly</vt:lpstr>
      <vt:lpstr>'03 Aug 23'!Hourly</vt:lpstr>
      <vt:lpstr>'04 Aug 23'!Hourly</vt:lpstr>
      <vt:lpstr>'05 Aug 23'!Hourly</vt:lpstr>
      <vt:lpstr>'06 Aug 23'!Hourly</vt:lpstr>
      <vt:lpstr>'07 Aug 23'!Hourly</vt:lpstr>
      <vt:lpstr>'08 Aug 23'!Hourly</vt:lpstr>
      <vt:lpstr>'09 Aug 23'!Hourly</vt:lpstr>
      <vt:lpstr>'10 Aug 23'!Hourly</vt:lpstr>
      <vt:lpstr>'11 Aug 23'!Hourly</vt:lpstr>
      <vt:lpstr>'27 Jul 23'!Hourly</vt:lpstr>
      <vt:lpstr>'28 Jul 23'!Hourly</vt:lpstr>
      <vt:lpstr>'29 Jul 23'!Hourly</vt:lpstr>
      <vt:lpstr>'30 Jul 23'!Hourly</vt:lpstr>
      <vt:lpstr>'31 Jul 23'!Hourly</vt:lpstr>
      <vt:lpstr>l!Hourly</vt:lpstr>
      <vt:lpstr>'01 Aug 23'!NW</vt:lpstr>
      <vt:lpstr>'02 Aug 23'!NW</vt:lpstr>
      <vt:lpstr>'03 Aug 23'!NW</vt:lpstr>
      <vt:lpstr>'04 Aug 23'!NW</vt:lpstr>
      <vt:lpstr>'05 Aug 23'!NW</vt:lpstr>
      <vt:lpstr>'06 Aug 23'!NW</vt:lpstr>
      <vt:lpstr>'07 Aug 23'!NW</vt:lpstr>
      <vt:lpstr>'08 Aug 23'!NW</vt:lpstr>
      <vt:lpstr>'09 Aug 23'!NW</vt:lpstr>
      <vt:lpstr>'10 Aug 23'!NW</vt:lpstr>
      <vt:lpstr>'11 Aug 23'!NW</vt:lpstr>
      <vt:lpstr>'27 Jul 23'!NW</vt:lpstr>
      <vt:lpstr>'28 Jul 23'!NW</vt:lpstr>
      <vt:lpstr>'29 Jul 23'!NW</vt:lpstr>
      <vt:lpstr>'30 Jul 23'!NW</vt:lpstr>
      <vt:lpstr>'31 Jul 23'!NW</vt:lpstr>
      <vt:lpstr>l!NW</vt:lpstr>
      <vt:lpstr>'01 Aug 23'!Phoenix</vt:lpstr>
      <vt:lpstr>'02 Aug 23'!Phoenix</vt:lpstr>
      <vt:lpstr>'03 Aug 23'!Phoenix</vt:lpstr>
      <vt:lpstr>'04 Aug 23'!Phoenix</vt:lpstr>
      <vt:lpstr>'05 Aug 23'!Phoenix</vt:lpstr>
      <vt:lpstr>'06 Aug 23'!Phoenix</vt:lpstr>
      <vt:lpstr>'07 Aug 23'!Phoenix</vt:lpstr>
      <vt:lpstr>'08 Aug 23'!Phoenix</vt:lpstr>
      <vt:lpstr>'09 Aug 23'!Phoenix</vt:lpstr>
      <vt:lpstr>'10 Aug 23'!Phoenix</vt:lpstr>
      <vt:lpstr>'11 Aug 23'!Phoenix</vt:lpstr>
      <vt:lpstr>'27 Jul 23'!Phoenix</vt:lpstr>
      <vt:lpstr>'28 Jul 23'!Phoenix</vt:lpstr>
      <vt:lpstr>'29 Jul 23'!Phoenix</vt:lpstr>
      <vt:lpstr>'30 Jul 23'!Phoenix</vt:lpstr>
      <vt:lpstr>'31 Jul 23'!Phoenix</vt:lpstr>
      <vt:lpstr>l!Phoenix</vt:lpstr>
      <vt:lpstr>'01 Aug 23'!Print_Titles</vt:lpstr>
      <vt:lpstr>'02 Aug 23'!Print_Titles</vt:lpstr>
      <vt:lpstr>'03 Aug 23'!Print_Titles</vt:lpstr>
      <vt:lpstr>'04 Aug 23'!Print_Titles</vt:lpstr>
      <vt:lpstr>'05 Aug 23'!Print_Titles</vt:lpstr>
      <vt:lpstr>'06 Aug 23'!Print_Titles</vt:lpstr>
      <vt:lpstr>'07 Aug 23'!Print_Titles</vt:lpstr>
      <vt:lpstr>'08 Aug 23'!Print_Titles</vt:lpstr>
      <vt:lpstr>'09 Aug 23'!Print_Titles</vt:lpstr>
      <vt:lpstr>'10 Aug 23'!Print_Titles</vt:lpstr>
      <vt:lpstr>'11 Aug 23'!Print_Titles</vt:lpstr>
      <vt:lpstr>'27 Jul 23'!Print_Titles</vt:lpstr>
      <vt:lpstr>'28 Jul 23'!Print_Titles</vt:lpstr>
      <vt:lpstr>'29 Jul 23'!Print_Titles</vt:lpstr>
      <vt:lpstr>'30 Jul 23'!Print_Titles</vt:lpstr>
      <vt:lpstr>'31 Jul 23'!Print_Titles</vt:lpstr>
      <vt:lpstr>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Nebbe</dc:creator>
  <cp:lastModifiedBy>Dinah</cp:lastModifiedBy>
  <cp:lastPrinted>2023-01-05T06:08:39Z</cp:lastPrinted>
  <dcterms:created xsi:type="dcterms:W3CDTF">2023-01-04T04:48:55Z</dcterms:created>
  <dcterms:modified xsi:type="dcterms:W3CDTF">2023-08-10T05:43:06Z</dcterms:modified>
</cp:coreProperties>
</file>