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7F5EF17-BB78-45D0-A699-8F0754FEF796}" xr6:coauthVersionLast="37" xr6:coauthVersionMax="47" xr10:uidLastSave="{00000000-0000-0000-0000-000000000000}"/>
  <bookViews>
    <workbookView xWindow="0" yWindow="0" windowWidth="26985" windowHeight="11490" xr2:uid="{00000000-000D-0000-FFFF-FFFF00000000}"/>
  </bookViews>
  <sheets>
    <sheet name="Сотув" sheetId="14" r:id="rId1"/>
    <sheet name="Бухгалтерия" sheetId="12" r:id="rId2"/>
    <sheet name="справка" sheetId="13" r:id="rId3"/>
  </sheets>
  <definedNames>
    <definedName name="_xlnm._FilterDatabase" localSheetId="1" hidden="1">Бухгалтерия!$B$2:$AA$7</definedName>
    <definedName name="_xlnm._FilterDatabase" localSheetId="0" hidden="1">Сотув!$A$8:$H$20</definedName>
    <definedName name="наим">Бухгалтерия!$C$4:$C$5</definedName>
    <definedName name="_xlnm.Print_Area" localSheetId="1">Бухгалтерия!$A$1:$Z$16</definedName>
    <definedName name="таб">Бухгалтерия!$C$4:$F$5</definedName>
  </definedNames>
  <calcPr calcId="179021" refMode="R1C1"/>
</workbook>
</file>

<file path=xl/calcChain.xml><?xml version="1.0" encoding="utf-8"?>
<calcChain xmlns="http://schemas.openxmlformats.org/spreadsheetml/2006/main">
  <c r="E15" i="14" l="1"/>
  <c r="F15" i="14" s="1"/>
  <c r="H15" i="14" s="1"/>
  <c r="Q10" i="12"/>
  <c r="E10" i="12"/>
  <c r="I10" i="12" s="1"/>
  <c r="D10" i="12"/>
  <c r="H10" i="12" l="1"/>
  <c r="W10" i="12"/>
  <c r="J10" i="12"/>
  <c r="G10" i="12"/>
  <c r="E5" i="12"/>
  <c r="E6" i="12"/>
  <c r="E7" i="12"/>
  <c r="E8" i="12"/>
  <c r="E9" i="12"/>
  <c r="E11" i="12"/>
  <c r="E12" i="12"/>
  <c r="E13" i="12"/>
  <c r="E14" i="12"/>
  <c r="E15" i="12"/>
  <c r="E4" i="12"/>
  <c r="D5" i="12"/>
  <c r="D6" i="12"/>
  <c r="D7" i="12"/>
  <c r="D8" i="12"/>
  <c r="D9" i="12"/>
  <c r="D11" i="12"/>
  <c r="D12" i="12"/>
  <c r="D13" i="12"/>
  <c r="D14" i="12"/>
  <c r="D15" i="12"/>
  <c r="D4" i="12"/>
  <c r="K4" i="12"/>
  <c r="L10" i="12" l="1"/>
  <c r="P10" i="12"/>
  <c r="N10" i="12"/>
  <c r="Z10" i="12"/>
  <c r="W14" i="12"/>
  <c r="E13" i="14"/>
  <c r="F13" i="14" s="1"/>
  <c r="E14" i="14"/>
  <c r="F14" i="14" s="1"/>
  <c r="I9" i="12" s="1"/>
  <c r="E16" i="14"/>
  <c r="F16" i="14" s="1"/>
  <c r="I11" i="12" s="1"/>
  <c r="E17" i="14"/>
  <c r="F17" i="14"/>
  <c r="I12" i="12" s="1"/>
  <c r="E18" i="14"/>
  <c r="F18" i="14" s="1"/>
  <c r="I13" i="12" s="1"/>
  <c r="E19" i="14"/>
  <c r="F19" i="14" s="1"/>
  <c r="G9" i="12"/>
  <c r="W11" i="12"/>
  <c r="W12" i="12"/>
  <c r="G13" i="12"/>
  <c r="Q14" i="12"/>
  <c r="Q13" i="12"/>
  <c r="Q12" i="12"/>
  <c r="Q11" i="12"/>
  <c r="Q9" i="12"/>
  <c r="R10" i="12" l="1"/>
  <c r="S10" i="12" s="1"/>
  <c r="U10" i="12" s="1"/>
  <c r="X10" i="12" s="1"/>
  <c r="AA10" i="12" s="1"/>
  <c r="H19" i="14"/>
  <c r="I14" i="12"/>
  <c r="H13" i="14"/>
  <c r="I8" i="12"/>
  <c r="J11" i="12"/>
  <c r="J13" i="12"/>
  <c r="J9" i="12"/>
  <c r="W13" i="12"/>
  <c r="G12" i="12"/>
  <c r="W9" i="12"/>
  <c r="G11" i="12"/>
  <c r="G14" i="12"/>
  <c r="H14" i="14"/>
  <c r="H17" i="14"/>
  <c r="H16" i="14"/>
  <c r="H18" i="14"/>
  <c r="H9" i="12"/>
  <c r="H13" i="12"/>
  <c r="V10" i="12" l="1"/>
  <c r="L9" i="12"/>
  <c r="L13" i="12"/>
  <c r="L11" i="12"/>
  <c r="J8" i="12"/>
  <c r="J14" i="12"/>
  <c r="J12" i="12"/>
  <c r="H12" i="12"/>
  <c r="H14" i="12"/>
  <c r="Z9" i="12"/>
  <c r="H11" i="12"/>
  <c r="Z13" i="12"/>
  <c r="L12" i="12" l="1"/>
  <c r="L14" i="12"/>
  <c r="Z14" i="12"/>
  <c r="Z12" i="12"/>
  <c r="L8" i="12"/>
  <c r="Z11" i="12"/>
  <c r="Q8" i="12" l="1"/>
  <c r="G8" i="12" l="1"/>
  <c r="W8" i="12"/>
  <c r="M4" i="12" l="1"/>
  <c r="N9" i="12" l="1"/>
  <c r="N11" i="12"/>
  <c r="N13" i="12"/>
  <c r="N12" i="12"/>
  <c r="N14" i="12"/>
  <c r="Q4" i="12"/>
  <c r="E20" i="14" l="1"/>
  <c r="F20" i="14" s="1"/>
  <c r="I15" i="12" s="1"/>
  <c r="H20" i="14" l="1"/>
  <c r="W15" i="12"/>
  <c r="Q15" i="12"/>
  <c r="O4" i="12"/>
  <c r="G15" i="12"/>
  <c r="J15" i="12" l="1"/>
  <c r="H15" i="12"/>
  <c r="N15" i="12" s="1"/>
  <c r="P9" i="12"/>
  <c r="R9" i="12" s="1"/>
  <c r="S9" i="12" s="1"/>
  <c r="P11" i="12"/>
  <c r="R11" i="12" s="1"/>
  <c r="S11" i="12" s="1"/>
  <c r="P13" i="12"/>
  <c r="R13" i="12" s="1"/>
  <c r="S13" i="12" s="1"/>
  <c r="P12" i="12"/>
  <c r="R12" i="12" s="1"/>
  <c r="S12" i="12" s="1"/>
  <c r="P14" i="12"/>
  <c r="R14" i="12" s="1"/>
  <c r="S14" i="12" s="1"/>
  <c r="Z15" i="12" l="1"/>
  <c r="L15" i="12"/>
  <c r="U11" i="12"/>
  <c r="X11" i="12" s="1"/>
  <c r="AA11" i="12" s="1"/>
  <c r="U14" i="12"/>
  <c r="U9" i="12"/>
  <c r="X9" i="12" s="1"/>
  <c r="AA9" i="12" s="1"/>
  <c r="U12" i="12"/>
  <c r="X12" i="12" s="1"/>
  <c r="AA12" i="12" s="1"/>
  <c r="U13" i="12"/>
  <c r="X13" i="12" s="1"/>
  <c r="AA13" i="12" s="1"/>
  <c r="P15" i="12"/>
  <c r="V9" i="12"/>
  <c r="V11" i="12"/>
  <c r="E9" i="14"/>
  <c r="F9" i="14" s="1"/>
  <c r="I4" i="12" s="1"/>
  <c r="J4" i="12" s="1"/>
  <c r="E12" i="14"/>
  <c r="F12" i="14" s="1"/>
  <c r="I7" i="12" s="1"/>
  <c r="E11" i="14"/>
  <c r="F11" i="14" s="1"/>
  <c r="I6" i="12" s="1"/>
  <c r="E10" i="14"/>
  <c r="F10" i="14" s="1"/>
  <c r="I5" i="12" s="1"/>
  <c r="V13" i="12" l="1"/>
  <c r="R15" i="12"/>
  <c r="S15" i="12" s="1"/>
  <c r="X14" i="12"/>
  <c r="AA14" i="12" s="1"/>
  <c r="V14" i="12"/>
  <c r="V12" i="12"/>
  <c r="U15" i="12"/>
  <c r="X15" i="12" s="1"/>
  <c r="AA15" i="12" s="1"/>
  <c r="H8" i="12"/>
  <c r="H9" i="14"/>
  <c r="H11" i="14"/>
  <c r="H12" i="14"/>
  <c r="H10" i="14"/>
  <c r="V15" i="12" l="1"/>
  <c r="H21" i="14"/>
  <c r="H1" i="14" s="1"/>
  <c r="J7" i="12"/>
  <c r="J6" i="12"/>
  <c r="Z8" i="12"/>
  <c r="N8" i="12"/>
  <c r="P8" i="12"/>
  <c r="C5" i="13"/>
  <c r="Q7" i="12" s="1"/>
  <c r="R8" i="12" l="1"/>
  <c r="S8" i="12" s="1"/>
  <c r="U8" i="12" s="1"/>
  <c r="L6" i="12"/>
  <c r="L7" i="12"/>
  <c r="L4" i="12"/>
  <c r="J5" i="12"/>
  <c r="I16" i="12"/>
  <c r="H6" i="12"/>
  <c r="W6" i="12"/>
  <c r="C4" i="13"/>
  <c r="Q6" i="12" s="1"/>
  <c r="G6" i="12"/>
  <c r="W7" i="12"/>
  <c r="H7" i="12"/>
  <c r="G7" i="12"/>
  <c r="L5" i="12" l="1"/>
  <c r="L16" i="12" s="1"/>
  <c r="J16" i="12"/>
  <c r="X8" i="12"/>
  <c r="AA8" i="12" s="1"/>
  <c r="V8" i="12"/>
  <c r="Z6" i="12"/>
  <c r="N6" i="12"/>
  <c r="P6" i="12"/>
  <c r="N7" i="12"/>
  <c r="P7" i="12"/>
  <c r="Z7" i="12"/>
  <c r="R7" i="12" l="1"/>
  <c r="S7" i="12" s="1"/>
  <c r="U7" i="12" s="1"/>
  <c r="R6" i="12"/>
  <c r="S6" i="12" s="1"/>
  <c r="U6" i="12" s="1"/>
  <c r="X6" i="12" s="1"/>
  <c r="AA6" i="12" s="1"/>
  <c r="C2" i="13"/>
  <c r="W5" i="12"/>
  <c r="V6" i="12" l="1"/>
  <c r="X7" i="12"/>
  <c r="AA7" i="12" s="1"/>
  <c r="V7" i="12"/>
  <c r="C3" i="13"/>
  <c r="Q5" i="12" s="1"/>
  <c r="Q16" i="12" s="1"/>
  <c r="H5" i="12"/>
  <c r="G5" i="12"/>
  <c r="H4" i="12"/>
  <c r="G4" i="12"/>
  <c r="W4" i="12"/>
  <c r="W16" i="12" s="1"/>
  <c r="G16" i="12" l="1"/>
  <c r="H16" i="12"/>
  <c r="Z5" i="12"/>
  <c r="Z4" i="12"/>
  <c r="P5" i="12"/>
  <c r="N5" i="12"/>
  <c r="N4" i="12"/>
  <c r="P4" i="12"/>
  <c r="R5" i="12" l="1"/>
  <c r="S5" i="12" s="1"/>
  <c r="U5" i="12" s="1"/>
  <c r="V5" i="12" s="1"/>
  <c r="Z16" i="12"/>
  <c r="R4" i="12"/>
  <c r="S4" i="12" s="1"/>
  <c r="N16" i="12"/>
  <c r="P16" i="12"/>
  <c r="R16" i="12" l="1"/>
  <c r="X5" i="12"/>
  <c r="AA5" i="12" s="1"/>
  <c r="S16" i="12" l="1"/>
  <c r="U4" i="12"/>
  <c r="V4" i="12" s="1"/>
  <c r="V16" i="12" s="1"/>
  <c r="X4" i="12" l="1"/>
  <c r="X16" i="12" s="1"/>
  <c r="AA16" i="12" s="1"/>
  <c r="U16" i="12"/>
  <c r="AA4" i="12" l="1"/>
  <c r="Y4" i="12"/>
  <c r="C1" i="14" s="1"/>
  <c r="D1" i="14" s="1"/>
</calcChain>
</file>

<file path=xl/sharedStrings.xml><?xml version="1.0" encoding="utf-8"?>
<sst xmlns="http://schemas.openxmlformats.org/spreadsheetml/2006/main" count="80" uniqueCount="49">
  <si>
    <t>№</t>
  </si>
  <si>
    <t>Кол-во</t>
  </si>
  <si>
    <t>Сумма себ-ти</t>
  </si>
  <si>
    <t>Сумма</t>
  </si>
  <si>
    <t>Цена</t>
  </si>
  <si>
    <t>Наименование</t>
  </si>
  <si>
    <t>Фоиз</t>
  </si>
  <si>
    <t>Йул кира (доставка пули)</t>
  </si>
  <si>
    <t>Сумма харажатлардан кейинги</t>
  </si>
  <si>
    <t>БОНУС БИРЖА (0,6%)</t>
  </si>
  <si>
    <t>1 оригинал</t>
  </si>
  <si>
    <t>Каробка сони</t>
  </si>
  <si>
    <t>Дори номи</t>
  </si>
  <si>
    <t>1Та каробка учун йул кира 10000 сум</t>
  </si>
  <si>
    <t xml:space="preserve">Цена себ. </t>
  </si>
  <si>
    <t>Цена завода келишилган</t>
  </si>
  <si>
    <t>Цена завода факт</t>
  </si>
  <si>
    <t>Разница</t>
  </si>
  <si>
    <t>Сумма завод келишилган нархларда булиши керак</t>
  </si>
  <si>
    <t>Сумма факт заводга колаётган нархларда</t>
  </si>
  <si>
    <t>Абсолют разница</t>
  </si>
  <si>
    <t>БОНУС менеждер РМ (1%) + ТМ (0,4%)</t>
  </si>
  <si>
    <t>Факт соф фойда %</t>
  </si>
  <si>
    <t>Жами грязный фойда % (харажатлардан олдин)</t>
  </si>
  <si>
    <t>Завода келишилган</t>
  </si>
  <si>
    <t>Клинт бонуси</t>
  </si>
  <si>
    <t>Менеджерлар бонуси</t>
  </si>
  <si>
    <t>Харажатлардан кейин Фойда/Зарар</t>
  </si>
  <si>
    <t>Доставка</t>
  </si>
  <si>
    <t>До Клиента</t>
  </si>
  <si>
    <t>Биржа</t>
  </si>
  <si>
    <t>FDP (fructoze 1,6 diphophate) 5 gr powder. 50  vial №1-DPI</t>
  </si>
  <si>
    <t>FDP (fructoze 1,6 diphophate) 10 gr powder. 100  vial №1-DPI</t>
  </si>
  <si>
    <t>Торасимед 4 мл №10</t>
  </si>
  <si>
    <t>Неолайтон Zuma (Фосфокреатин) 1 гр/50 мл №1 ПДИ</t>
  </si>
  <si>
    <t>Жами:</t>
  </si>
  <si>
    <t>Скидка</t>
  </si>
  <si>
    <t>цена после скидка</t>
  </si>
  <si>
    <t>Скидка %</t>
  </si>
  <si>
    <t>RABEPRAZOL №1, 20mg, 10ml vial</t>
  </si>
  <si>
    <t>Фоиз хараж</t>
  </si>
  <si>
    <t>Эксипар раствор для инъекций 4000 анти-ХА МЕ/ 0,4 мл, №1</t>
  </si>
  <si>
    <t>Эксипар раствор для инъекций 6000 анти-ХА МЕ/ 0,6 мл, №1</t>
  </si>
  <si>
    <t>Эритропен раствор для инъекций 10000 1 мл, №1</t>
  </si>
  <si>
    <t>Эритропен раствор для инъекций 2000 0,5 мл, №1</t>
  </si>
  <si>
    <t>Эритропен раствор для инъекций 4000 1 мл, №1</t>
  </si>
  <si>
    <t>ДИАБЕРТИОН-ТУРБО раствор для инфуий 1,2% 1 флакон по 50мл</t>
  </si>
  <si>
    <t>Маркетинг харажатлари</t>
  </si>
  <si>
    <t>Эксипар раствор для инъекций 8000 анти-ХА МЕ/ 0,8 мл,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</si>
</sst>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_-* #,##0.00_-;\-* #,##0.00_-;_-* &quot;-&quot;??_-;_-@_-"/>
    <numFmt numFmtId="165" formatCode="_-* #,##0.00_р_._-;\-* #,##0.00_р_._-;_-* &quot;-&quot;??_р_._-;_-@_-"/>
    <numFmt numFmtId="166" formatCode="#,##0.00_ ;[Red]\-#,##0.00\ "/>
    <numFmt numFmtId="167" formatCode="#,##0_ ;[Red]\-#,##0\ "/>
    <numFmt numFmtId="168" formatCode="#,##0.000"/>
  </numFmts>
  <fonts count="1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/>
    <xf numFmtId="0" fontId="4" fillId="0" borderId="0">
      <alignment horizontal="left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0" fillId="7" borderId="0" xfId="0" applyFont="1" applyFill="1" applyAlignment="1" applyProtection="1">
      <alignment wrapText="1"/>
      <protection hidden="1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 vertical="center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4" fontId="0" fillId="0" borderId="1" xfId="0" applyNumberForma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vertical="center" wrapText="1"/>
      <protection hidden="1"/>
    </xf>
    <xf numFmtId="3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3" fontId="8" fillId="5" borderId="1" xfId="6" applyFont="1" applyFill="1" applyBorder="1" applyAlignment="1" applyProtection="1">
      <alignment horizontal="right" vertical="center"/>
      <protection hidden="1"/>
    </xf>
    <xf numFmtId="4" fontId="2" fillId="3" borderId="1" xfId="0" applyNumberFormat="1" applyFont="1" applyFill="1" applyBorder="1" applyAlignment="1" applyProtection="1">
      <alignment horizontal="right" vertical="center"/>
      <protection hidden="1"/>
    </xf>
    <xf numFmtId="4" fontId="2" fillId="4" borderId="1" xfId="0" applyNumberFormat="1" applyFont="1" applyFill="1" applyBorder="1" applyAlignment="1" applyProtection="1">
      <alignment horizontal="right" vertical="center"/>
      <protection hidden="1"/>
    </xf>
    <xf numFmtId="3" fontId="2" fillId="4" borderId="1" xfId="0" applyNumberFormat="1" applyFont="1" applyFill="1" applyBorder="1" applyAlignment="1" applyProtection="1">
      <alignment horizontal="right" vertical="center"/>
      <protection hidden="1"/>
    </xf>
    <xf numFmtId="4" fontId="2" fillId="9" borderId="1" xfId="0" applyNumberFormat="1" applyFont="1" applyFill="1" applyBorder="1" applyAlignment="1" applyProtection="1">
      <alignment horizontal="right" vertical="center"/>
      <protection hidden="1"/>
    </xf>
    <xf numFmtId="166" fontId="2" fillId="4" borderId="1" xfId="0" applyNumberFormat="1" applyFont="1" applyFill="1" applyBorder="1" applyAlignment="1" applyProtection="1">
      <alignment horizontal="right" vertical="center"/>
      <protection hidden="1"/>
    </xf>
    <xf numFmtId="4" fontId="0" fillId="6" borderId="1" xfId="0" applyNumberFormat="1" applyFill="1" applyBorder="1" applyAlignment="1" applyProtection="1">
      <alignment horizontal="right" vertical="center"/>
      <protection hidden="1"/>
    </xf>
    <xf numFmtId="2" fontId="0" fillId="8" borderId="1" xfId="0" applyNumberFormat="1" applyFill="1" applyBorder="1" applyAlignment="1" applyProtection="1">
      <alignment horizontal="right" vertical="center"/>
      <protection hidden="1"/>
    </xf>
    <xf numFmtId="0" fontId="9" fillId="2" borderId="1" xfId="0" applyFont="1" applyFill="1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10" fontId="0" fillId="0" borderId="0" xfId="4" applyNumberFormat="1" applyFont="1" applyAlignment="1" applyProtection="1">
      <alignment horizontal="right" vertical="center"/>
      <protection hidden="1"/>
    </xf>
    <xf numFmtId="4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10" fontId="0" fillId="0" borderId="0" xfId="4" applyNumberFormat="1" applyFont="1" applyProtection="1">
      <protection hidden="1"/>
    </xf>
    <xf numFmtId="0" fontId="13" fillId="2" borderId="0" xfId="0" applyFont="1" applyFill="1" applyProtection="1">
      <protection hidden="1"/>
    </xf>
    <xf numFmtId="167" fontId="14" fillId="0" borderId="0" xfId="0" applyNumberFormat="1" applyFont="1" applyProtection="1">
      <protection hidden="1"/>
    </xf>
    <xf numFmtId="0" fontId="9" fillId="2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16" fillId="2" borderId="1" xfId="0" applyFont="1" applyFill="1" applyBorder="1" applyAlignment="1" applyProtection="1">
      <alignment horizontal="right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3" fontId="12" fillId="2" borderId="1" xfId="0" applyNumberFormat="1" applyFont="1" applyFill="1" applyBorder="1" applyAlignment="1" applyProtection="1">
      <alignment horizontal="right" vertical="center"/>
      <protection hidden="1"/>
    </xf>
    <xf numFmtId="3" fontId="0" fillId="0" borderId="1" xfId="0" applyNumberFormat="1" applyBorder="1" applyProtection="1">
      <protection hidden="1"/>
    </xf>
    <xf numFmtId="43" fontId="7" fillId="0" borderId="0" xfId="6" applyFont="1" applyProtection="1">
      <protection hidden="1"/>
    </xf>
    <xf numFmtId="0" fontId="9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7" fillId="7" borderId="1" xfId="0" applyFont="1" applyFill="1" applyBorder="1" applyProtection="1">
      <protection locked="0"/>
    </xf>
    <xf numFmtId="3" fontId="12" fillId="7" borderId="1" xfId="0" applyNumberFormat="1" applyFont="1" applyFill="1" applyBorder="1" applyAlignment="1" applyProtection="1">
      <alignment horizontal="right" vertical="center"/>
      <protection locked="0"/>
    </xf>
    <xf numFmtId="3" fontId="9" fillId="7" borderId="1" xfId="6" applyNumberFormat="1" applyFont="1" applyFill="1" applyBorder="1" applyAlignment="1" applyProtection="1">
      <alignment horizontal="right" vertical="center"/>
      <protection locked="0"/>
    </xf>
    <xf numFmtId="0" fontId="9" fillId="2" borderId="3" xfId="0" applyFont="1" applyFill="1" applyBorder="1" applyAlignment="1" applyProtection="1">
      <alignment wrapText="1"/>
      <protection hidden="1"/>
    </xf>
    <xf numFmtId="3" fontId="2" fillId="3" borderId="1" xfId="0" applyNumberFormat="1" applyFont="1" applyFill="1" applyBorder="1" applyAlignment="1" applyProtection="1">
      <alignment horizontal="right" vertical="center"/>
      <protection hidden="1"/>
    </xf>
    <xf numFmtId="43" fontId="0" fillId="0" borderId="0" xfId="6" applyFont="1" applyProtection="1">
      <protection hidden="1"/>
    </xf>
    <xf numFmtId="43" fontId="0" fillId="0" borderId="0" xfId="0" applyNumberFormat="1" applyProtection="1"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3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7" fillId="0" borderId="0" xfId="0" applyFont="1" applyProtection="1">
      <protection hidden="1"/>
    </xf>
    <xf numFmtId="43" fontId="16" fillId="2" borderId="1" xfId="6" applyFont="1" applyFill="1" applyBorder="1" applyAlignment="1" applyProtection="1">
      <alignment horizontal="center" vertical="center"/>
      <protection hidden="1"/>
    </xf>
    <xf numFmtId="43" fontId="7" fillId="5" borderId="1" xfId="6" applyFont="1" applyFill="1" applyBorder="1" applyAlignment="1" applyProtection="1">
      <alignment horizontal="right" vertical="center"/>
      <protection hidden="1"/>
    </xf>
    <xf numFmtId="4" fontId="1" fillId="4" borderId="1" xfId="0" applyNumberFormat="1" applyFont="1" applyFill="1" applyBorder="1" applyAlignment="1" applyProtection="1">
      <alignment horizontal="right" vertical="center"/>
      <protection hidden="1"/>
    </xf>
    <xf numFmtId="4" fontId="7" fillId="6" borderId="1" xfId="0" applyNumberFormat="1" applyFont="1" applyFill="1" applyBorder="1" applyAlignment="1" applyProtection="1">
      <alignment horizontal="right" vertical="center"/>
      <protection hidden="1"/>
    </xf>
    <xf numFmtId="2" fontId="7" fillId="8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Protection="1">
      <protection hidden="1"/>
    </xf>
    <xf numFmtId="9" fontId="0" fillId="0" borderId="0" xfId="0" applyNumberFormat="1" applyFill="1" applyProtection="1">
      <protection locked="0"/>
    </xf>
    <xf numFmtId="10" fontId="0" fillId="0" borderId="0" xfId="0" applyNumberFormat="1" applyFill="1" applyProtection="1">
      <protection locked="0"/>
    </xf>
    <xf numFmtId="0" fontId="9" fillId="2" borderId="1" xfId="0" applyFont="1" applyFill="1" applyBorder="1" applyAlignment="1" applyProtection="1">
      <alignment vertical="top" wrapText="1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3" fontId="2" fillId="4" borderId="4" xfId="0" applyNumberFormat="1" applyFont="1" applyFill="1" applyBorder="1" applyAlignment="1" applyProtection="1">
      <alignment horizontal="right" vertical="center"/>
      <protection hidden="1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4" fontId="2" fillId="0" borderId="4" xfId="0" applyNumberFormat="1" applyFont="1" applyBorder="1" applyAlignment="1" applyProtection="1">
      <alignment horizontal="center" vertical="center"/>
      <protection hidden="1"/>
    </xf>
    <xf numFmtId="167" fontId="1" fillId="8" borderId="1" xfId="0" applyNumberFormat="1" applyFont="1" applyFill="1" applyBorder="1" applyAlignment="1" applyProtection="1">
      <alignment horizontal="center" vertical="center"/>
      <protection hidden="1"/>
    </xf>
    <xf numFmtId="167" fontId="5" fillId="8" borderId="1" xfId="0" applyNumberFormat="1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168" fontId="2" fillId="0" borderId="9" xfId="0" applyNumberFormat="1" applyFont="1" applyBorder="1" applyAlignment="1" applyProtection="1">
      <alignment horizontal="center" vertical="center"/>
      <protection hidden="1"/>
    </xf>
    <xf numFmtId="168" fontId="2" fillId="0" borderId="4" xfId="0" applyNumberFormat="1" applyFont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9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</cellXfs>
  <cellStyles count="1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3" xfId="3" xr:uid="{00000000-0005-0000-0000-000003000000}"/>
    <cellStyle name="Процентный" xfId="4" builtinId="5"/>
    <cellStyle name="Процентный 2" xfId="5" xr:uid="{00000000-0005-0000-0000-000005000000}"/>
    <cellStyle name="Финансовый" xfId="6" builtinId="3"/>
    <cellStyle name="Финансовый 2" xfId="7" xr:uid="{00000000-0005-0000-0000-000007000000}"/>
    <cellStyle name="Финансовый 2 2" xfId="8" xr:uid="{00000000-0005-0000-0000-000008000000}"/>
    <cellStyle name="Финансовый 3" xfId="9" xr:uid="{00000000-0005-0000-0000-000009000000}"/>
    <cellStyle name="Финансовый 4" xfId="10" xr:uid="{C2002188-019E-44CF-9E42-A229484D9CB2}"/>
  </cellStyles>
  <dxfs count="1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41"/>
  <sheetViews>
    <sheetView tabSelected="1" zoomScale="110" zoomScaleNormal="110" workbookViewId="0">
      <pane ySplit="8" topLeftCell="A9" activePane="bottomLeft" state="frozen"/>
      <selection pane="bottomLeft" activeCell="C7" sqref="C7"/>
    </sheetView>
  </sheetViews>
  <sheetFormatPr defaultColWidth="11" defaultRowHeight="15" x14ac:dyDescent="0.25"/>
  <cols>
    <col min="1" max="1" width="8" style="2" bestFit="1" customWidth="1"/>
    <col min="2" max="2" width="47.5703125" style="2" bestFit="1" customWidth="1"/>
    <col min="3" max="3" width="16.7109375" style="2" customWidth="1"/>
    <col min="4" max="4" width="12.5703125" style="2" customWidth="1"/>
    <col min="5" max="6" width="11.7109375" style="2" customWidth="1"/>
    <col min="7" max="7" width="14.28515625" style="2" customWidth="1"/>
    <col min="8" max="8" width="17" style="2" bestFit="1" customWidth="1"/>
    <col min="9" max="9" width="11" style="2"/>
    <col min="10" max="11" width="15.85546875" style="2" bestFit="1" customWidth="1"/>
    <col min="12" max="16384" width="11" style="2"/>
  </cols>
  <sheetData>
    <row r="1" spans="1:11" ht="15.95" customHeight="1" x14ac:dyDescent="0.3">
      <c r="B1" s="27" t="s">
        <v>27</v>
      </c>
      <c r="C1" s="28">
        <f>Бухгалтерия!Y4</f>
        <v>0</v>
      </c>
      <c r="D1" s="26" t="e">
        <f>C1/H21</f>
        <v>#DIV/0!</v>
      </c>
      <c r="E1" s="28"/>
      <c r="F1" s="28"/>
      <c r="H1" s="28">
        <f>H21</f>
        <v>0</v>
      </c>
      <c r="J1" s="50"/>
      <c r="K1" s="51"/>
    </row>
    <row r="2" spans="1:11" ht="15.95" customHeight="1" x14ac:dyDescent="0.3">
      <c r="B2" s="29" t="s">
        <v>25</v>
      </c>
      <c r="C2" s="63">
        <v>0</v>
      </c>
      <c r="E2" s="28"/>
      <c r="F2" s="28"/>
    </row>
    <row r="3" spans="1:11" ht="15.95" customHeight="1" x14ac:dyDescent="0.3">
      <c r="B3" s="29" t="s">
        <v>26</v>
      </c>
      <c r="C3" s="64">
        <v>0</v>
      </c>
      <c r="E3" s="28"/>
      <c r="F3" s="28"/>
    </row>
    <row r="4" spans="1:11" ht="15.95" customHeight="1" x14ac:dyDescent="0.3">
      <c r="B4" s="43" t="s">
        <v>30</v>
      </c>
      <c r="C4" s="64">
        <v>0</v>
      </c>
      <c r="E4" s="28"/>
      <c r="F4" s="28"/>
    </row>
    <row r="5" spans="1:11" ht="15.95" customHeight="1" x14ac:dyDescent="0.3">
      <c r="B5" s="43" t="s">
        <v>28</v>
      </c>
      <c r="C5" s="30" t="s">
        <v>29</v>
      </c>
      <c r="E5" s="28"/>
      <c r="F5" s="28"/>
    </row>
    <row r="6" spans="1:11" ht="15.95" customHeight="1" x14ac:dyDescent="0.3">
      <c r="B6" s="44"/>
      <c r="C6" s="30"/>
    </row>
    <row r="7" spans="1:11" ht="15.95" customHeight="1" thickBot="1" x14ac:dyDescent="0.3">
      <c r="B7" s="31" t="s">
        <v>38</v>
      </c>
      <c r="C7" s="45"/>
    </row>
    <row r="8" spans="1:11" ht="25.5" x14ac:dyDescent="0.25">
      <c r="A8" s="32" t="s">
        <v>0</v>
      </c>
      <c r="B8" s="33" t="s">
        <v>5</v>
      </c>
      <c r="C8" s="34" t="s">
        <v>1</v>
      </c>
      <c r="D8" s="35" t="s">
        <v>4</v>
      </c>
      <c r="E8" s="36" t="s">
        <v>36</v>
      </c>
      <c r="F8" s="37" t="s">
        <v>37</v>
      </c>
      <c r="G8" s="38" t="s">
        <v>24</v>
      </c>
      <c r="H8" s="39" t="s">
        <v>3</v>
      </c>
    </row>
    <row r="9" spans="1:11" ht="30" x14ac:dyDescent="0.25">
      <c r="A9" s="10">
        <v>1</v>
      </c>
      <c r="B9" s="21" t="s">
        <v>34</v>
      </c>
      <c r="C9" s="46"/>
      <c r="D9" s="47">
        <v>130000</v>
      </c>
      <c r="E9" s="40">
        <f>$C$7</f>
        <v>0</v>
      </c>
      <c r="F9" s="40">
        <f>D9-D9*E9/100</f>
        <v>130000</v>
      </c>
      <c r="G9" s="49">
        <v>52600</v>
      </c>
      <c r="H9" s="41">
        <f t="shared" ref="H9:H19" si="0">C9*F9</f>
        <v>0</v>
      </c>
    </row>
    <row r="10" spans="1:11" ht="30" x14ac:dyDescent="0.25">
      <c r="A10" s="10">
        <v>2</v>
      </c>
      <c r="B10" s="21" t="s">
        <v>31</v>
      </c>
      <c r="C10" s="46"/>
      <c r="D10" s="47">
        <v>140000</v>
      </c>
      <c r="E10" s="40">
        <f>$C$7</f>
        <v>0</v>
      </c>
      <c r="F10" s="40">
        <f t="shared" ref="F10:F12" si="1">D10-D10*E10/100</f>
        <v>140000</v>
      </c>
      <c r="G10" s="49">
        <v>70000</v>
      </c>
      <c r="H10" s="41">
        <f t="shared" si="0"/>
        <v>0</v>
      </c>
    </row>
    <row r="11" spans="1:11" ht="30" x14ac:dyDescent="0.25">
      <c r="A11" s="10">
        <v>3</v>
      </c>
      <c r="B11" s="21" t="s">
        <v>32</v>
      </c>
      <c r="C11" s="46"/>
      <c r="D11" s="47">
        <v>160000</v>
      </c>
      <c r="E11" s="40">
        <f>$C$7</f>
        <v>0</v>
      </c>
      <c r="F11" s="40">
        <f t="shared" si="1"/>
        <v>160000</v>
      </c>
      <c r="G11" s="49">
        <v>75000</v>
      </c>
      <c r="H11" s="41">
        <f t="shared" si="0"/>
        <v>0</v>
      </c>
    </row>
    <row r="12" spans="1:11" x14ac:dyDescent="0.25">
      <c r="A12" s="10">
        <v>4</v>
      </c>
      <c r="B12" s="21" t="s">
        <v>33</v>
      </c>
      <c r="C12" s="46"/>
      <c r="D12" s="47">
        <v>130000</v>
      </c>
      <c r="E12" s="40">
        <f>$C$7</f>
        <v>0</v>
      </c>
      <c r="F12" s="40">
        <f t="shared" si="1"/>
        <v>130000</v>
      </c>
      <c r="G12" s="49">
        <v>62000</v>
      </c>
      <c r="H12" s="41">
        <f t="shared" si="0"/>
        <v>0</v>
      </c>
    </row>
    <row r="13" spans="1:11" ht="30" x14ac:dyDescent="0.25">
      <c r="A13" s="10">
        <v>5</v>
      </c>
      <c r="B13" s="21" t="s">
        <v>41</v>
      </c>
      <c r="C13" s="46"/>
      <c r="D13" s="47">
        <v>65000</v>
      </c>
      <c r="E13" s="40">
        <f t="shared" ref="E13:E19" si="2">$C$7</f>
        <v>0</v>
      </c>
      <c r="F13" s="40">
        <f t="shared" ref="F13:F19" si="3">D13-D13*E13/100</f>
        <v>65000</v>
      </c>
      <c r="G13" s="49">
        <v>37500</v>
      </c>
      <c r="H13" s="41">
        <f t="shared" si="0"/>
        <v>0</v>
      </c>
    </row>
    <row r="14" spans="1:11" ht="30" x14ac:dyDescent="0.25">
      <c r="A14" s="10">
        <v>6</v>
      </c>
      <c r="B14" s="21" t="s">
        <v>42</v>
      </c>
      <c r="C14" s="46"/>
      <c r="D14" s="47">
        <v>75000</v>
      </c>
      <c r="E14" s="40">
        <f t="shared" si="2"/>
        <v>0</v>
      </c>
      <c r="F14" s="40">
        <f t="shared" si="3"/>
        <v>75000</v>
      </c>
      <c r="G14" s="49">
        <v>42500</v>
      </c>
      <c r="H14" s="41">
        <f t="shared" si="0"/>
        <v>0</v>
      </c>
    </row>
    <row r="15" spans="1:11" ht="30" x14ac:dyDescent="0.25">
      <c r="A15" s="10">
        <v>7</v>
      </c>
      <c r="B15" s="21" t="s">
        <v>48</v>
      </c>
      <c r="C15" s="46"/>
      <c r="D15" s="47">
        <v>105000</v>
      </c>
      <c r="E15" s="40">
        <f t="shared" si="2"/>
        <v>0</v>
      </c>
      <c r="F15" s="40">
        <f t="shared" ref="F15" si="4">D15-D15*E15/100</f>
        <v>105000</v>
      </c>
      <c r="G15" s="49">
        <v>62000</v>
      </c>
      <c r="H15" s="41">
        <f t="shared" si="0"/>
        <v>0</v>
      </c>
    </row>
    <row r="16" spans="1:11" x14ac:dyDescent="0.25">
      <c r="A16" s="10">
        <v>8</v>
      </c>
      <c r="B16" s="21" t="s">
        <v>43</v>
      </c>
      <c r="C16" s="46"/>
      <c r="D16" s="47">
        <v>160000</v>
      </c>
      <c r="E16" s="40">
        <f t="shared" si="2"/>
        <v>0</v>
      </c>
      <c r="F16" s="40">
        <f t="shared" si="3"/>
        <v>160000</v>
      </c>
      <c r="G16" s="49">
        <v>94500</v>
      </c>
      <c r="H16" s="41">
        <f t="shared" si="0"/>
        <v>0</v>
      </c>
    </row>
    <row r="17" spans="1:8" x14ac:dyDescent="0.25">
      <c r="A17" s="10">
        <v>9</v>
      </c>
      <c r="B17" s="21" t="s">
        <v>44</v>
      </c>
      <c r="C17" s="46"/>
      <c r="D17" s="47">
        <v>85000</v>
      </c>
      <c r="E17" s="40">
        <f t="shared" si="2"/>
        <v>0</v>
      </c>
      <c r="F17" s="40">
        <f t="shared" si="3"/>
        <v>85000</v>
      </c>
      <c r="G17" s="49">
        <v>48900</v>
      </c>
      <c r="H17" s="41">
        <f t="shared" si="0"/>
        <v>0</v>
      </c>
    </row>
    <row r="18" spans="1:8" x14ac:dyDescent="0.25">
      <c r="A18" s="10">
        <v>10</v>
      </c>
      <c r="B18" s="21" t="s">
        <v>45</v>
      </c>
      <c r="C18" s="46"/>
      <c r="D18" s="47">
        <v>155000</v>
      </c>
      <c r="E18" s="40">
        <f t="shared" si="2"/>
        <v>0</v>
      </c>
      <c r="F18" s="40">
        <f t="shared" si="3"/>
        <v>155000</v>
      </c>
      <c r="G18" s="49">
        <v>89500</v>
      </c>
      <c r="H18" s="41">
        <f t="shared" si="0"/>
        <v>0</v>
      </c>
    </row>
    <row r="19" spans="1:8" ht="30" x14ac:dyDescent="0.25">
      <c r="A19" s="10">
        <v>11</v>
      </c>
      <c r="B19" s="21" t="s">
        <v>46</v>
      </c>
      <c r="C19" s="46"/>
      <c r="D19" s="47">
        <v>65000</v>
      </c>
      <c r="E19" s="40">
        <f t="shared" si="2"/>
        <v>0</v>
      </c>
      <c r="F19" s="40">
        <f t="shared" si="3"/>
        <v>65000</v>
      </c>
      <c r="G19" s="49">
        <v>33500</v>
      </c>
      <c r="H19" s="41">
        <f t="shared" si="0"/>
        <v>0</v>
      </c>
    </row>
    <row r="20" spans="1:8" x14ac:dyDescent="0.25">
      <c r="A20" s="10">
        <v>12</v>
      </c>
      <c r="B20" s="21" t="s">
        <v>39</v>
      </c>
      <c r="C20" s="46"/>
      <c r="D20" s="47">
        <v>72000</v>
      </c>
      <c r="E20" s="40">
        <f t="shared" ref="E20" si="5">$C$7</f>
        <v>0</v>
      </c>
      <c r="F20" s="40">
        <f t="shared" ref="F20" si="6">D20-D20*E20/100</f>
        <v>72000</v>
      </c>
      <c r="G20" s="49">
        <v>37500</v>
      </c>
      <c r="H20" s="41">
        <f>C20*F20</f>
        <v>0</v>
      </c>
    </row>
    <row r="21" spans="1:8" x14ac:dyDescent="0.25">
      <c r="H21" s="42">
        <f>SUM(H9:H20)</f>
        <v>0</v>
      </c>
    </row>
    <row r="22" spans="1:8" ht="18.75" x14ac:dyDescent="0.3">
      <c r="H22" s="28"/>
    </row>
    <row r="41" spans="7:7" x14ac:dyDescent="0.25">
      <c r="G41" s="2">
        <v>0</v>
      </c>
    </row>
  </sheetData>
  <sheetProtection algorithmName="SHA-512" hashValue="1J7HFY20pGF8J8zEP0m/rrvpQvmFgwP1Q06cmvL5YmYcXrkXjHxxtCWkFe8lgzhyrIAl11frlTB02cAnXp/MFw==" saltValue="+hn6FVyB2YNAZclk2cLBFA==" spinCount="100000" sheet="1" objects="1" scenarios="1"/>
  <autoFilter ref="A8:H20" xr:uid="{00000000-0009-0000-0000-000000000000}"/>
  <dataValidations disablePrompts="1" count="2">
    <dataValidation type="list" allowBlank="1" showInputMessage="1" showErrorMessage="1" sqref="B4" xr:uid="{00000000-0002-0000-0000-000000000000}">
      <formula1>"Биржа,Прямой,Оптовик"</formula1>
    </dataValidation>
    <dataValidation type="list" allowBlank="1" showInputMessage="1" showErrorMessage="1" sqref="C5" xr:uid="{00000000-0002-0000-0000-000001000000}">
      <formula1>"Ташкент, До Клиента"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8BB29E36-37BF-43A8-B2DC-4F3F149A61BE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20" stopIfTrue="1" id="{09C6958A-0FE1-644C-A161-E5FBE8F12BB4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B10:B19 H9:H20</xm:sqref>
        </x14:conditionalFormatting>
        <x14:conditionalFormatting xmlns:xm="http://schemas.microsoft.com/office/excel/2006/main">
          <x14:cfRule type="expression" priority="9" stopIfTrue="1" id="{D3A52F35-F2C1-4700-9323-C5CEF4A1BBB9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4" stopIfTrue="1" id="{AD67B539-F34C-4B50-BD04-06D927F5DD29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C9:F9 H9 C9:D20</xm:sqref>
        </x14:conditionalFormatting>
        <x14:conditionalFormatting xmlns:xm="http://schemas.microsoft.com/office/excel/2006/main">
          <x14:cfRule type="expression" priority="13" stopIfTrue="1" id="{CC89AC4D-F471-405A-B2C7-9F5595E8A562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stopIfTrue="1" id="{EE376EDC-3C93-427A-B340-E18FE2DA09FA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1" stopIfTrue="1" id="{6311F030-C982-43AE-8AFB-C4BC8F857E44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E12:E14 F10:F14 E16:F20</xm:sqref>
        </x14:conditionalFormatting>
        <x14:conditionalFormatting xmlns:xm="http://schemas.microsoft.com/office/excel/2006/main">
          <x14:cfRule type="expression" priority="1" stopIfTrue="1" id="{2F06A981-FD79-4C7F-A726-0A3E27F7E65F}">
            <xm:f>Бухгалтерия!#REF!&lt;0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E15:F15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AB24"/>
  <sheetViews>
    <sheetView zoomScale="115" zoomScaleNormal="115" workbookViewId="0">
      <pane xSplit="5" ySplit="3" topLeftCell="I4" activePane="bottomRight" state="frozen"/>
      <selection pane="topRight" activeCell="F1" sqref="F1"/>
      <selection pane="bottomLeft" activeCell="A4" sqref="A4"/>
      <selection pane="bottomRight" activeCell="E15" sqref="E15"/>
    </sheetView>
  </sheetViews>
  <sheetFormatPr defaultColWidth="11" defaultRowHeight="15" outlineLevelCol="1" x14ac:dyDescent="0.25"/>
  <cols>
    <col min="1" max="1" width="1.42578125" style="2" customWidth="1"/>
    <col min="2" max="2" width="3" style="2" bestFit="1" customWidth="1"/>
    <col min="3" max="3" width="42.42578125" style="22" customWidth="1"/>
    <col min="4" max="4" width="16.42578125" style="2" customWidth="1"/>
    <col min="5" max="5" width="14" style="2" bestFit="1" customWidth="1"/>
    <col min="6" max="6" width="17.7109375" style="2" hidden="1" customWidth="1" outlineLevel="1"/>
    <col min="7" max="7" width="17.42578125" style="2" hidden="1" customWidth="1" outlineLevel="1"/>
    <col min="8" max="8" width="17.42578125" style="2" customWidth="1" collapsed="1"/>
    <col min="9" max="10" width="12.42578125" style="2" customWidth="1"/>
    <col min="11" max="11" width="5.85546875" style="2" customWidth="1"/>
    <col min="12" max="12" width="12.42578125" style="2" customWidth="1"/>
    <col min="13" max="13" width="6" style="2" customWidth="1"/>
    <col min="14" max="14" width="11.85546875" style="2" customWidth="1"/>
    <col min="15" max="15" width="11.5703125" style="2" customWidth="1"/>
    <col min="16" max="16" width="14" style="2" customWidth="1"/>
    <col min="17" max="17" width="15.28515625" style="2" customWidth="1"/>
    <col min="18" max="18" width="13.42578125" style="2" customWidth="1"/>
    <col min="19" max="19" width="16" style="2" customWidth="1"/>
    <col min="20" max="20" width="14.85546875" style="5" customWidth="1"/>
    <col min="21" max="21" width="14.42578125" style="5" customWidth="1"/>
    <col min="22" max="22" width="13" style="5" bestFit="1" customWidth="1"/>
    <col min="23" max="23" width="16.7109375" style="5" customWidth="1"/>
    <col min="24" max="24" width="18.140625" style="5" customWidth="1"/>
    <col min="25" max="25" width="14.7109375" style="5" bestFit="1" customWidth="1"/>
    <col min="26" max="26" width="16.42578125" style="2" hidden="1" customWidth="1" outlineLevel="1"/>
    <col min="27" max="27" width="11.140625" style="2" hidden="1" customWidth="1" outlineLevel="1"/>
    <col min="28" max="28" width="14.85546875" style="2" bestFit="1" customWidth="1" collapsed="1"/>
    <col min="29" max="257" width="8.85546875" style="2" customWidth="1"/>
    <col min="258" max="16384" width="11" style="2"/>
  </cols>
  <sheetData>
    <row r="1" spans="2:28" ht="26.25" x14ac:dyDescent="0.4">
      <c r="C1" s="3"/>
      <c r="D1" s="4"/>
      <c r="K1" s="2">
        <v>1.1000000000000001</v>
      </c>
      <c r="M1" s="2">
        <v>2</v>
      </c>
      <c r="O1" s="2">
        <v>3</v>
      </c>
      <c r="Q1" s="2">
        <v>4</v>
      </c>
      <c r="S1" s="2">
        <v>6</v>
      </c>
      <c r="T1" s="5">
        <v>7</v>
      </c>
      <c r="U1" s="5">
        <v>8</v>
      </c>
      <c r="V1" s="5">
        <v>9</v>
      </c>
      <c r="W1" s="5">
        <v>10</v>
      </c>
      <c r="X1" s="5">
        <v>11</v>
      </c>
      <c r="Y1" s="5">
        <v>12</v>
      </c>
      <c r="Z1" s="5">
        <v>13</v>
      </c>
      <c r="AA1" s="5">
        <v>14</v>
      </c>
    </row>
    <row r="2" spans="2:28" ht="64.5" customHeight="1" x14ac:dyDescent="0.25">
      <c r="B2" s="85" t="s">
        <v>0</v>
      </c>
      <c r="C2" s="86" t="s">
        <v>5</v>
      </c>
      <c r="D2" s="87" t="s">
        <v>1</v>
      </c>
      <c r="E2" s="87" t="s">
        <v>4</v>
      </c>
      <c r="F2" s="73" t="s">
        <v>14</v>
      </c>
      <c r="G2" s="78" t="s">
        <v>2</v>
      </c>
      <c r="H2" s="79" t="s">
        <v>3</v>
      </c>
      <c r="I2" s="67"/>
      <c r="J2" s="67" t="s">
        <v>47</v>
      </c>
      <c r="K2" s="74" t="s">
        <v>40</v>
      </c>
      <c r="L2" s="74"/>
      <c r="M2" s="74" t="s">
        <v>21</v>
      </c>
      <c r="N2" s="74"/>
      <c r="O2" s="74" t="s">
        <v>9</v>
      </c>
      <c r="P2" s="74"/>
      <c r="Q2" s="6" t="s">
        <v>7</v>
      </c>
      <c r="R2" s="66"/>
      <c r="S2" s="74" t="s">
        <v>8</v>
      </c>
      <c r="T2" s="81" t="s">
        <v>15</v>
      </c>
      <c r="U2" s="82" t="s">
        <v>16</v>
      </c>
      <c r="V2" s="77" t="s">
        <v>17</v>
      </c>
      <c r="W2" s="77" t="s">
        <v>18</v>
      </c>
      <c r="X2" s="77" t="s">
        <v>19</v>
      </c>
      <c r="Y2" s="77" t="s">
        <v>20</v>
      </c>
      <c r="Z2" s="80" t="s">
        <v>23</v>
      </c>
      <c r="AA2" s="77" t="s">
        <v>22</v>
      </c>
      <c r="AB2" s="7"/>
    </row>
    <row r="3" spans="2:28" ht="24" customHeight="1" x14ac:dyDescent="0.25">
      <c r="B3" s="85"/>
      <c r="C3" s="86"/>
      <c r="D3" s="87"/>
      <c r="E3" s="87"/>
      <c r="F3" s="73"/>
      <c r="G3" s="78"/>
      <c r="H3" s="79"/>
      <c r="I3" s="6" t="s">
        <v>3</v>
      </c>
      <c r="J3" s="67" t="s">
        <v>3</v>
      </c>
      <c r="K3" s="52" t="s">
        <v>6</v>
      </c>
      <c r="L3" s="53" t="s">
        <v>3</v>
      </c>
      <c r="M3" s="8" t="s">
        <v>6</v>
      </c>
      <c r="N3" s="6" t="s">
        <v>3</v>
      </c>
      <c r="O3" s="8" t="s">
        <v>6</v>
      </c>
      <c r="P3" s="6" t="s">
        <v>3</v>
      </c>
      <c r="Q3" s="6" t="s">
        <v>3</v>
      </c>
      <c r="R3" s="6" t="s">
        <v>3</v>
      </c>
      <c r="S3" s="74"/>
      <c r="T3" s="81"/>
      <c r="U3" s="82"/>
      <c r="V3" s="77"/>
      <c r="W3" s="77"/>
      <c r="X3" s="77"/>
      <c r="Y3" s="77"/>
      <c r="Z3" s="80"/>
      <c r="AA3" s="77"/>
      <c r="AB3" s="9"/>
    </row>
    <row r="4" spans="2:28" ht="45" customHeight="1" x14ac:dyDescent="0.25">
      <c r="B4" s="10">
        <v>1</v>
      </c>
      <c r="C4" s="11" t="s">
        <v>34</v>
      </c>
      <c r="D4" s="12">
        <f>Сотув!C9</f>
        <v>0</v>
      </c>
      <c r="E4" s="12">
        <f>Сотув!D9</f>
        <v>130000</v>
      </c>
      <c r="F4" s="13">
        <v>40451.122061992392</v>
      </c>
      <c r="G4" s="14">
        <f t="shared" ref="G4:G7" si="0">F4*D4</f>
        <v>0</v>
      </c>
      <c r="H4" s="15">
        <f t="shared" ref="H4" si="1">D4*E4</f>
        <v>0</v>
      </c>
      <c r="I4" s="16">
        <f>IF(E4=0,"",Сотув!F9-T4)</f>
        <v>77400</v>
      </c>
      <c r="J4" s="68">
        <f>IF(E4=0,"",I4*D4)</f>
        <v>0</v>
      </c>
      <c r="K4" s="75">
        <f>(1/97*100-1)</f>
        <v>3.0927835051546282E-2</v>
      </c>
      <c r="L4" s="16">
        <f>IF(E4=0,"",J4*$K$4)</f>
        <v>0</v>
      </c>
      <c r="M4" s="69">
        <f>Сотув!C3</f>
        <v>0</v>
      </c>
      <c r="N4" s="16">
        <f t="shared" ref="N4:N15" si="2">H4*$M$4</f>
        <v>0</v>
      </c>
      <c r="O4" s="69">
        <f>Сотув!C4</f>
        <v>0</v>
      </c>
      <c r="P4" s="15">
        <f t="shared" ref="P4:P15" si="3">H4*$O$4</f>
        <v>0</v>
      </c>
      <c r="Q4" s="15">
        <f>IF(Сотув!$C$5="Ташкент",0,SUMIF(справка!B:B,C$4:C$1048576,справка!F:F))</f>
        <v>0</v>
      </c>
      <c r="R4" s="15">
        <f>IF(E4=0,"",J4+N4+P4+Q4+L4)</f>
        <v>0</v>
      </c>
      <c r="S4" s="15">
        <f>IF(E4=0,"",H4-R4)</f>
        <v>0</v>
      </c>
      <c r="T4" s="14">
        <v>52600</v>
      </c>
      <c r="U4" s="17">
        <f t="shared" ref="U4:U15" si="4">IFERROR(S4/D4,0)</f>
        <v>0</v>
      </c>
      <c r="V4" s="18">
        <f t="shared" ref="V4:V15" si="5">IF(E4&gt;0,U4-T4,0)</f>
        <v>-52600</v>
      </c>
      <c r="W4" s="15">
        <f t="shared" ref="W4:W15" si="6">IFERROR(T4*D4,0)</f>
        <v>0</v>
      </c>
      <c r="X4" s="15">
        <f t="shared" ref="X4:X15" si="7">IFERROR(U4*D4,0)</f>
        <v>0</v>
      </c>
      <c r="Y4" s="71">
        <f>X16-W16</f>
        <v>0</v>
      </c>
      <c r="Z4" s="19">
        <f t="shared" ref="Z4:Z15" si="8">IFERROR(H4*100/G4-100,0)</f>
        <v>0</v>
      </c>
      <c r="AA4" s="20">
        <f t="shared" ref="AA4:AA15" si="9">IFERROR(X4*100/G4-100,0)</f>
        <v>0</v>
      </c>
      <c r="AB4" s="9"/>
    </row>
    <row r="5" spans="2:28" ht="30" x14ac:dyDescent="0.25">
      <c r="B5" s="10">
        <v>2</v>
      </c>
      <c r="C5" s="21" t="s">
        <v>31</v>
      </c>
      <c r="D5" s="12">
        <f>Сотув!C10</f>
        <v>0</v>
      </c>
      <c r="E5" s="12">
        <f>Сотув!D10</f>
        <v>140000</v>
      </c>
      <c r="F5" s="13">
        <v>37858.6</v>
      </c>
      <c r="G5" s="14">
        <f t="shared" si="0"/>
        <v>0</v>
      </c>
      <c r="H5" s="15">
        <f t="shared" ref="H5:H7" si="10">D5*E5</f>
        <v>0</v>
      </c>
      <c r="I5" s="16">
        <f>IF(E5=0,"",Сотув!F10-T5)</f>
        <v>70000</v>
      </c>
      <c r="J5" s="68">
        <f>IF(E5=0,"",I5*D5)</f>
        <v>0</v>
      </c>
      <c r="K5" s="76"/>
      <c r="L5" s="16">
        <f>IF(E5=0,"",J5*$K$4)</f>
        <v>0</v>
      </c>
      <c r="M5" s="70"/>
      <c r="N5" s="16">
        <f t="shared" si="2"/>
        <v>0</v>
      </c>
      <c r="O5" s="70"/>
      <c r="P5" s="15">
        <f t="shared" si="3"/>
        <v>0</v>
      </c>
      <c r="Q5" s="15">
        <f>IF(Сотув!$C$5="Ташкент",0,SUMIF(справка!B:B,C$4:C$1048576,справка!F:F))</f>
        <v>0</v>
      </c>
      <c r="R5" s="15">
        <f t="shared" ref="R5:R15" si="11">IF(E5=0,"",J5+N5+P5+Q5+L5)</f>
        <v>0</v>
      </c>
      <c r="S5" s="15">
        <f t="shared" ref="S5:S15" si="12">IF(E5=0,"",H5-R5)</f>
        <v>0</v>
      </c>
      <c r="T5" s="14">
        <v>70000</v>
      </c>
      <c r="U5" s="17">
        <f t="shared" si="4"/>
        <v>0</v>
      </c>
      <c r="V5" s="18">
        <f t="shared" si="5"/>
        <v>-70000</v>
      </c>
      <c r="W5" s="15">
        <f t="shared" si="6"/>
        <v>0</v>
      </c>
      <c r="X5" s="15">
        <f t="shared" si="7"/>
        <v>0</v>
      </c>
      <c r="Y5" s="71"/>
      <c r="Z5" s="19">
        <f t="shared" si="8"/>
        <v>0</v>
      </c>
      <c r="AA5" s="20">
        <f t="shared" si="9"/>
        <v>0</v>
      </c>
      <c r="AB5" s="9"/>
    </row>
    <row r="6" spans="2:28" ht="30" x14ac:dyDescent="0.25">
      <c r="B6" s="10">
        <v>3</v>
      </c>
      <c r="C6" s="21" t="s">
        <v>32</v>
      </c>
      <c r="D6" s="12">
        <f>Сотув!C11</f>
        <v>0</v>
      </c>
      <c r="E6" s="12">
        <f>Сотув!D11</f>
        <v>160000</v>
      </c>
      <c r="F6" s="13">
        <v>49514.400000000001</v>
      </c>
      <c r="G6" s="14">
        <f t="shared" ref="G6" si="13">F6*D6</f>
        <v>0</v>
      </c>
      <c r="H6" s="15">
        <f t="shared" ref="H6" si="14">D6*E6</f>
        <v>0</v>
      </c>
      <c r="I6" s="16">
        <f>IF(E6=0,"",Сотув!F11-T6)</f>
        <v>85000</v>
      </c>
      <c r="J6" s="68">
        <f t="shared" ref="J6:J14" si="15">IF(E6=0,"",I6*D6)</f>
        <v>0</v>
      </c>
      <c r="K6" s="76"/>
      <c r="L6" s="16">
        <f>IF(E6=0,"",J6*$K$4)</f>
        <v>0</v>
      </c>
      <c r="M6" s="70"/>
      <c r="N6" s="16">
        <f t="shared" si="2"/>
        <v>0</v>
      </c>
      <c r="O6" s="70"/>
      <c r="P6" s="15">
        <f t="shared" si="3"/>
        <v>0</v>
      </c>
      <c r="Q6" s="15">
        <f>IF(Сотув!$C$5="Ташкент",0,SUMIF(справка!B:B,C$4:C$1048576,справка!F:F))</f>
        <v>0</v>
      </c>
      <c r="R6" s="15">
        <f t="shared" si="11"/>
        <v>0</v>
      </c>
      <c r="S6" s="15">
        <f t="shared" si="12"/>
        <v>0</v>
      </c>
      <c r="T6" s="14">
        <v>75000</v>
      </c>
      <c r="U6" s="17">
        <f t="shared" si="4"/>
        <v>0</v>
      </c>
      <c r="V6" s="18">
        <f t="shared" si="5"/>
        <v>-75000</v>
      </c>
      <c r="W6" s="15">
        <f t="shared" si="6"/>
        <v>0</v>
      </c>
      <c r="X6" s="15">
        <f t="shared" si="7"/>
        <v>0</v>
      </c>
      <c r="Y6" s="71"/>
      <c r="Z6" s="19">
        <f t="shared" si="8"/>
        <v>0</v>
      </c>
      <c r="AA6" s="20">
        <f t="shared" si="9"/>
        <v>0</v>
      </c>
      <c r="AB6" s="9"/>
    </row>
    <row r="7" spans="2:28" ht="15.75" customHeight="1" x14ac:dyDescent="0.25">
      <c r="B7" s="10">
        <v>4</v>
      </c>
      <c r="C7" s="21" t="s">
        <v>33</v>
      </c>
      <c r="D7" s="12">
        <f>Сотув!C12</f>
        <v>0</v>
      </c>
      <c r="E7" s="12">
        <f>Сотув!D12</f>
        <v>130000</v>
      </c>
      <c r="F7" s="13">
        <v>21759.24</v>
      </c>
      <c r="G7" s="14">
        <f t="shared" si="0"/>
        <v>0</v>
      </c>
      <c r="H7" s="15">
        <f t="shared" si="10"/>
        <v>0</v>
      </c>
      <c r="I7" s="16">
        <f>IF(E7=0,"",Сотув!F12-T7)</f>
        <v>68000</v>
      </c>
      <c r="J7" s="68">
        <f t="shared" si="15"/>
        <v>0</v>
      </c>
      <c r="K7" s="76"/>
      <c r="L7" s="16">
        <f t="shared" ref="L7:L15" si="16">IF(E7=0,"",J7*$K$4)</f>
        <v>0</v>
      </c>
      <c r="M7" s="70"/>
      <c r="N7" s="16">
        <f t="shared" si="2"/>
        <v>0</v>
      </c>
      <c r="O7" s="70"/>
      <c r="P7" s="15">
        <f t="shared" si="3"/>
        <v>0</v>
      </c>
      <c r="Q7" s="15">
        <f>IF(Сотув!$C$5="Ташкент",0,SUMIF(справка!B:B,C$4:C$1048576,справка!F:F))</f>
        <v>0</v>
      </c>
      <c r="R7" s="15">
        <f t="shared" si="11"/>
        <v>0</v>
      </c>
      <c r="S7" s="15">
        <f t="shared" si="12"/>
        <v>0</v>
      </c>
      <c r="T7" s="14">
        <v>62000</v>
      </c>
      <c r="U7" s="17">
        <f t="shared" si="4"/>
        <v>0</v>
      </c>
      <c r="V7" s="18">
        <f t="shared" si="5"/>
        <v>-62000</v>
      </c>
      <c r="W7" s="15">
        <f t="shared" si="6"/>
        <v>0</v>
      </c>
      <c r="X7" s="15">
        <f t="shared" si="7"/>
        <v>0</v>
      </c>
      <c r="Y7" s="71"/>
      <c r="Z7" s="19">
        <f t="shared" si="8"/>
        <v>0</v>
      </c>
      <c r="AA7" s="20">
        <f t="shared" si="9"/>
        <v>0</v>
      </c>
      <c r="AB7" s="9"/>
    </row>
    <row r="8" spans="2:28" ht="15.75" customHeight="1" x14ac:dyDescent="0.25">
      <c r="B8" s="10">
        <v>5</v>
      </c>
      <c r="C8" s="65" t="s">
        <v>41</v>
      </c>
      <c r="D8" s="12">
        <f>Сотув!C13</f>
        <v>0</v>
      </c>
      <c r="E8" s="12">
        <f>Сотув!D13</f>
        <v>65000</v>
      </c>
      <c r="F8" s="13">
        <v>27507.075732677818</v>
      </c>
      <c r="G8" s="14">
        <f>F8*D8</f>
        <v>0</v>
      </c>
      <c r="H8" s="15">
        <f t="shared" ref="H8" si="17">D8*E8</f>
        <v>0</v>
      </c>
      <c r="I8" s="16">
        <f>IF(E8=0,"",Сотув!F13-T8)</f>
        <v>27500</v>
      </c>
      <c r="J8" s="68">
        <f t="shared" si="15"/>
        <v>0</v>
      </c>
      <c r="K8" s="76"/>
      <c r="L8" s="16">
        <f t="shared" si="16"/>
        <v>0</v>
      </c>
      <c r="M8" s="70"/>
      <c r="N8" s="16">
        <f t="shared" si="2"/>
        <v>0</v>
      </c>
      <c r="O8" s="70"/>
      <c r="P8" s="15">
        <f t="shared" si="3"/>
        <v>0</v>
      </c>
      <c r="Q8" s="15">
        <f>IF(Сотув!$C$5="Ташкент",0,SUMIF(справка!B:B,C$4:C$1048576,справка!F:F))</f>
        <v>0</v>
      </c>
      <c r="R8" s="15">
        <f t="shared" si="11"/>
        <v>0</v>
      </c>
      <c r="S8" s="15">
        <f t="shared" si="12"/>
        <v>0</v>
      </c>
      <c r="T8" s="14">
        <v>37500</v>
      </c>
      <c r="U8" s="17">
        <f t="shared" si="4"/>
        <v>0</v>
      </c>
      <c r="V8" s="18">
        <f t="shared" si="5"/>
        <v>-37500</v>
      </c>
      <c r="W8" s="15">
        <f t="shared" si="6"/>
        <v>0</v>
      </c>
      <c r="X8" s="15">
        <f t="shared" si="7"/>
        <v>0</v>
      </c>
      <c r="Y8" s="71"/>
      <c r="Z8" s="19">
        <f t="shared" si="8"/>
        <v>0</v>
      </c>
      <c r="AA8" s="20">
        <f t="shared" si="9"/>
        <v>0</v>
      </c>
      <c r="AB8" s="9"/>
    </row>
    <row r="9" spans="2:28" ht="15.75" customHeight="1" x14ac:dyDescent="0.25">
      <c r="B9" s="10">
        <v>6</v>
      </c>
      <c r="C9" s="65" t="s">
        <v>42</v>
      </c>
      <c r="D9" s="12">
        <f>Сотув!C14</f>
        <v>0</v>
      </c>
      <c r="E9" s="12">
        <f>Сотув!D14</f>
        <v>75000</v>
      </c>
      <c r="F9" s="13">
        <v>30667.183363584456</v>
      </c>
      <c r="G9" s="14">
        <f>F9*D9</f>
        <v>0</v>
      </c>
      <c r="H9" s="15">
        <f t="shared" ref="H9:H14" si="18">D9*E9</f>
        <v>0</v>
      </c>
      <c r="I9" s="16">
        <f>IF(E9=0,"",Сотув!F14-T9)</f>
        <v>32500</v>
      </c>
      <c r="J9" s="68">
        <f t="shared" si="15"/>
        <v>0</v>
      </c>
      <c r="K9" s="76"/>
      <c r="L9" s="16">
        <f t="shared" si="16"/>
        <v>0</v>
      </c>
      <c r="M9" s="70"/>
      <c r="N9" s="16">
        <f t="shared" si="2"/>
        <v>0</v>
      </c>
      <c r="O9" s="70"/>
      <c r="P9" s="15">
        <f t="shared" si="3"/>
        <v>0</v>
      </c>
      <c r="Q9" s="15">
        <f>IF(Сотув!$C$5="Ташкент",0,SUMIF(справка!B:B,C$4:C$1048576,справка!F:F))</f>
        <v>0</v>
      </c>
      <c r="R9" s="15">
        <f t="shared" si="11"/>
        <v>0</v>
      </c>
      <c r="S9" s="15">
        <f t="shared" si="12"/>
        <v>0</v>
      </c>
      <c r="T9" s="14">
        <v>42500</v>
      </c>
      <c r="U9" s="17">
        <f t="shared" si="4"/>
        <v>0</v>
      </c>
      <c r="V9" s="18">
        <f t="shared" si="5"/>
        <v>-42500</v>
      </c>
      <c r="W9" s="15">
        <f t="shared" si="6"/>
        <v>0</v>
      </c>
      <c r="X9" s="15">
        <f t="shared" si="7"/>
        <v>0</v>
      </c>
      <c r="Y9" s="71"/>
      <c r="Z9" s="19">
        <f t="shared" si="8"/>
        <v>0</v>
      </c>
      <c r="AA9" s="20">
        <f t="shared" si="9"/>
        <v>0</v>
      </c>
      <c r="AB9" s="9"/>
    </row>
    <row r="10" spans="2:28" ht="15.75" customHeight="1" x14ac:dyDescent="0.25">
      <c r="B10" s="10">
        <v>7</v>
      </c>
      <c r="C10" s="65" t="s">
        <v>48</v>
      </c>
      <c r="D10" s="12">
        <f>Сотув!C15</f>
        <v>0</v>
      </c>
      <c r="E10" s="12">
        <f>Сотув!D15</f>
        <v>105000</v>
      </c>
      <c r="F10" s="13">
        <v>39660.720000000001</v>
      </c>
      <c r="G10" s="14">
        <f>F10*D10</f>
        <v>0</v>
      </c>
      <c r="H10" s="15">
        <f t="shared" ref="H10" si="19">D10*E10</f>
        <v>0</v>
      </c>
      <c r="I10" s="16">
        <f>IF(E10=0,"",Сотув!F15-T10)</f>
        <v>43000</v>
      </c>
      <c r="J10" s="68">
        <f t="shared" ref="J10" si="20">IF(E10=0,"",I10*D10)</f>
        <v>0</v>
      </c>
      <c r="K10" s="76"/>
      <c r="L10" s="16">
        <f t="shared" si="16"/>
        <v>0</v>
      </c>
      <c r="M10" s="70"/>
      <c r="N10" s="16">
        <f t="shared" si="2"/>
        <v>0</v>
      </c>
      <c r="O10" s="70"/>
      <c r="P10" s="15">
        <f t="shared" ref="P10" si="21">H10*$O$4</f>
        <v>0</v>
      </c>
      <c r="Q10" s="15">
        <f>IF(Сотув!$C$5="Ташкент",0,SUMIF(справка!B:B,C$4:C$1048576,справка!F:F))</f>
        <v>0</v>
      </c>
      <c r="R10" s="15">
        <f t="shared" ref="R10" si="22">IF(E10=0,"",J10+N10+P10+Q10+L10)</f>
        <v>0</v>
      </c>
      <c r="S10" s="15">
        <f t="shared" ref="S10" si="23">IF(E10=0,"",H10-R10)</f>
        <v>0</v>
      </c>
      <c r="T10" s="14">
        <v>62000</v>
      </c>
      <c r="U10" s="17">
        <f t="shared" ref="U10" si="24">IFERROR(S10/D10,0)</f>
        <v>0</v>
      </c>
      <c r="V10" s="18">
        <f t="shared" ref="V10" si="25">IF(E10&gt;0,U10-T10,0)</f>
        <v>-62000</v>
      </c>
      <c r="W10" s="15">
        <f t="shared" ref="W10" si="26">IFERROR(T10*D10,0)</f>
        <v>0</v>
      </c>
      <c r="X10" s="15">
        <f t="shared" ref="X10" si="27">IFERROR(U10*D10,0)</f>
        <v>0</v>
      </c>
      <c r="Y10" s="71"/>
      <c r="Z10" s="19">
        <f t="shared" ref="Z10" si="28">IFERROR(H10*100/G10-100,0)</f>
        <v>0</v>
      </c>
      <c r="AA10" s="20">
        <f t="shared" ref="AA10" si="29">IFERROR(X10*100/G10-100,0)</f>
        <v>0</v>
      </c>
      <c r="AB10" s="9"/>
    </row>
    <row r="11" spans="2:28" ht="15.75" customHeight="1" x14ac:dyDescent="0.25">
      <c r="B11" s="10">
        <v>8</v>
      </c>
      <c r="C11" s="65" t="s">
        <v>43</v>
      </c>
      <c r="D11" s="12">
        <f>Сотув!C16</f>
        <v>0</v>
      </c>
      <c r="E11" s="12">
        <f>Сотув!D16</f>
        <v>160000</v>
      </c>
      <c r="F11" s="13">
        <v>59207.040865572402</v>
      </c>
      <c r="G11" s="14">
        <f t="shared" ref="G11:G14" si="30">F11*D11</f>
        <v>0</v>
      </c>
      <c r="H11" s="15">
        <f t="shared" si="18"/>
        <v>0</v>
      </c>
      <c r="I11" s="16">
        <f>IF(E11=0,"",Сотув!F16-T11)</f>
        <v>65500</v>
      </c>
      <c r="J11" s="68">
        <f t="shared" si="15"/>
        <v>0</v>
      </c>
      <c r="K11" s="76"/>
      <c r="L11" s="16">
        <f t="shared" si="16"/>
        <v>0</v>
      </c>
      <c r="M11" s="70"/>
      <c r="N11" s="16">
        <f t="shared" si="2"/>
        <v>0</v>
      </c>
      <c r="O11" s="70"/>
      <c r="P11" s="15">
        <f t="shared" si="3"/>
        <v>0</v>
      </c>
      <c r="Q11" s="15">
        <f>IF(Сотув!$C$5="Ташкент",0,SUMIF(справка!B:B,C$4:C$1048576,справка!F:F))</f>
        <v>0</v>
      </c>
      <c r="R11" s="15">
        <f t="shared" si="11"/>
        <v>0</v>
      </c>
      <c r="S11" s="15">
        <f t="shared" si="12"/>
        <v>0</v>
      </c>
      <c r="T11" s="14">
        <v>94500</v>
      </c>
      <c r="U11" s="17">
        <f t="shared" si="4"/>
        <v>0</v>
      </c>
      <c r="V11" s="18">
        <f t="shared" si="5"/>
        <v>-94500</v>
      </c>
      <c r="W11" s="15">
        <f t="shared" si="6"/>
        <v>0</v>
      </c>
      <c r="X11" s="15">
        <f t="shared" si="7"/>
        <v>0</v>
      </c>
      <c r="Y11" s="71"/>
      <c r="Z11" s="19">
        <f t="shared" si="8"/>
        <v>0</v>
      </c>
      <c r="AA11" s="20">
        <f t="shared" si="9"/>
        <v>0</v>
      </c>
      <c r="AB11" s="9"/>
    </row>
    <row r="12" spans="2:28" ht="15.75" customHeight="1" x14ac:dyDescent="0.25">
      <c r="B12" s="10">
        <v>9</v>
      </c>
      <c r="C12" s="65" t="s">
        <v>44</v>
      </c>
      <c r="D12" s="12">
        <f>Сотув!C17</f>
        <v>0</v>
      </c>
      <c r="E12" s="12">
        <f>Сотув!D17</f>
        <v>85000</v>
      </c>
      <c r="F12" s="13">
        <v>30117.540865572395</v>
      </c>
      <c r="G12" s="14">
        <f t="shared" si="30"/>
        <v>0</v>
      </c>
      <c r="H12" s="15">
        <f t="shared" si="18"/>
        <v>0</v>
      </c>
      <c r="I12" s="16">
        <f>IF(E12=0,"",Сотув!F17-T12)</f>
        <v>36100</v>
      </c>
      <c r="J12" s="68">
        <f t="shared" si="15"/>
        <v>0</v>
      </c>
      <c r="K12" s="76"/>
      <c r="L12" s="16">
        <f t="shared" si="16"/>
        <v>0</v>
      </c>
      <c r="M12" s="70"/>
      <c r="N12" s="16">
        <f t="shared" si="2"/>
        <v>0</v>
      </c>
      <c r="O12" s="70"/>
      <c r="P12" s="15">
        <f t="shared" si="3"/>
        <v>0</v>
      </c>
      <c r="Q12" s="15">
        <f>IF(Сотув!$C$5="Ташкент",0,SUMIF(справка!B:B,C$4:C$1048576,справка!F:F))</f>
        <v>0</v>
      </c>
      <c r="R12" s="15">
        <f t="shared" si="11"/>
        <v>0</v>
      </c>
      <c r="S12" s="15">
        <f t="shared" si="12"/>
        <v>0</v>
      </c>
      <c r="T12" s="14">
        <v>48900</v>
      </c>
      <c r="U12" s="17">
        <f t="shared" si="4"/>
        <v>0</v>
      </c>
      <c r="V12" s="18">
        <f t="shared" si="5"/>
        <v>-48900</v>
      </c>
      <c r="W12" s="15">
        <f t="shared" si="6"/>
        <v>0</v>
      </c>
      <c r="X12" s="15">
        <f t="shared" si="7"/>
        <v>0</v>
      </c>
      <c r="Y12" s="71"/>
      <c r="Z12" s="19">
        <f t="shared" si="8"/>
        <v>0</v>
      </c>
      <c r="AA12" s="20">
        <f t="shared" si="9"/>
        <v>0</v>
      </c>
      <c r="AB12" s="9"/>
    </row>
    <row r="13" spans="2:28" ht="15.75" customHeight="1" x14ac:dyDescent="0.25">
      <c r="B13" s="10">
        <v>10</v>
      </c>
      <c r="C13" s="65" t="s">
        <v>45</v>
      </c>
      <c r="D13" s="12">
        <f>Сотув!C18</f>
        <v>0</v>
      </c>
      <c r="E13" s="12">
        <f>Сотув!D18</f>
        <v>155000</v>
      </c>
      <c r="F13" s="13">
        <v>38235.540865572395</v>
      </c>
      <c r="G13" s="14">
        <f t="shared" si="30"/>
        <v>0</v>
      </c>
      <c r="H13" s="15">
        <f t="shared" si="18"/>
        <v>0</v>
      </c>
      <c r="I13" s="16">
        <f>IF(E13=0,"",Сотув!F18-T13)</f>
        <v>65500</v>
      </c>
      <c r="J13" s="68">
        <f t="shared" si="15"/>
        <v>0</v>
      </c>
      <c r="K13" s="76"/>
      <c r="L13" s="16">
        <f t="shared" si="16"/>
        <v>0</v>
      </c>
      <c r="M13" s="70"/>
      <c r="N13" s="16">
        <f t="shared" si="2"/>
        <v>0</v>
      </c>
      <c r="O13" s="70"/>
      <c r="P13" s="15">
        <f t="shared" si="3"/>
        <v>0</v>
      </c>
      <c r="Q13" s="15">
        <f>IF(Сотув!$C$5="Ташкент",0,SUMIF(справка!B:B,C$4:C$1048576,справка!F:F))</f>
        <v>0</v>
      </c>
      <c r="R13" s="15">
        <f t="shared" si="11"/>
        <v>0</v>
      </c>
      <c r="S13" s="15">
        <f t="shared" si="12"/>
        <v>0</v>
      </c>
      <c r="T13" s="14">
        <v>89500</v>
      </c>
      <c r="U13" s="17">
        <f t="shared" si="4"/>
        <v>0</v>
      </c>
      <c r="V13" s="18">
        <f t="shared" si="5"/>
        <v>-89500</v>
      </c>
      <c r="W13" s="15">
        <f t="shared" si="6"/>
        <v>0</v>
      </c>
      <c r="X13" s="15">
        <f t="shared" si="7"/>
        <v>0</v>
      </c>
      <c r="Y13" s="71"/>
      <c r="Z13" s="19">
        <f t="shared" si="8"/>
        <v>0</v>
      </c>
      <c r="AA13" s="20">
        <f t="shared" si="9"/>
        <v>0</v>
      </c>
      <c r="AB13" s="9"/>
    </row>
    <row r="14" spans="2:28" ht="15.75" customHeight="1" x14ac:dyDescent="0.25">
      <c r="B14" s="10">
        <v>11</v>
      </c>
      <c r="C14" s="65" t="s">
        <v>46</v>
      </c>
      <c r="D14" s="12">
        <f>Сотув!C19</f>
        <v>0</v>
      </c>
      <c r="E14" s="12">
        <f>Сотув!D19</f>
        <v>65000</v>
      </c>
      <c r="F14" s="13">
        <v>23171.390476992397</v>
      </c>
      <c r="G14" s="14">
        <f t="shared" si="30"/>
        <v>0</v>
      </c>
      <c r="H14" s="15">
        <f t="shared" si="18"/>
        <v>0</v>
      </c>
      <c r="I14" s="16">
        <f>IF(E14=0,"",Сотув!F19-T14)</f>
        <v>31500</v>
      </c>
      <c r="J14" s="68">
        <f t="shared" si="15"/>
        <v>0</v>
      </c>
      <c r="K14" s="76"/>
      <c r="L14" s="16">
        <f t="shared" si="16"/>
        <v>0</v>
      </c>
      <c r="M14" s="70"/>
      <c r="N14" s="16">
        <f t="shared" si="2"/>
        <v>0</v>
      </c>
      <c r="O14" s="70"/>
      <c r="P14" s="15">
        <f t="shared" si="3"/>
        <v>0</v>
      </c>
      <c r="Q14" s="15">
        <f>IF(Сотув!$C$5="Ташкент",0,SUMIF(справка!B:B,C$4:C$1048576,справка!F:F))</f>
        <v>0</v>
      </c>
      <c r="R14" s="15">
        <f t="shared" si="11"/>
        <v>0</v>
      </c>
      <c r="S14" s="15">
        <f t="shared" si="12"/>
        <v>0</v>
      </c>
      <c r="T14" s="14">
        <v>33500</v>
      </c>
      <c r="U14" s="17">
        <f t="shared" si="4"/>
        <v>0</v>
      </c>
      <c r="V14" s="18">
        <f t="shared" si="5"/>
        <v>-33500</v>
      </c>
      <c r="W14" s="15">
        <f t="shared" si="6"/>
        <v>0</v>
      </c>
      <c r="X14" s="15">
        <f>IFERROR(U14*D14,0)</f>
        <v>0</v>
      </c>
      <c r="Y14" s="71"/>
      <c r="Z14" s="19">
        <f t="shared" si="8"/>
        <v>0</v>
      </c>
      <c r="AA14" s="20">
        <f t="shared" si="9"/>
        <v>0</v>
      </c>
      <c r="AB14" s="9"/>
    </row>
    <row r="15" spans="2:28" ht="15.75" customHeight="1" x14ac:dyDescent="0.25">
      <c r="B15" s="10">
        <v>12</v>
      </c>
      <c r="C15" s="48" t="s">
        <v>39</v>
      </c>
      <c r="D15" s="12">
        <f>Сотув!C20</f>
        <v>0</v>
      </c>
      <c r="E15" s="12">
        <f>Сотув!D20</f>
        <v>72000</v>
      </c>
      <c r="F15" s="13">
        <v>28509.39</v>
      </c>
      <c r="G15" s="14">
        <f>F15*D15</f>
        <v>0</v>
      </c>
      <c r="H15" s="15">
        <f t="shared" ref="H15" si="31">D15*E15</f>
        <v>0</v>
      </c>
      <c r="I15" s="16">
        <f>IF(E15=0,"",Сотув!F20-T15)</f>
        <v>34500</v>
      </c>
      <c r="J15" s="68">
        <f t="shared" ref="J15" si="32">IF(E15=0,"",I15*D15)</f>
        <v>0</v>
      </c>
      <c r="K15" s="76"/>
      <c r="L15" s="16">
        <f t="shared" si="16"/>
        <v>0</v>
      </c>
      <c r="M15" s="70"/>
      <c r="N15" s="16">
        <f t="shared" si="2"/>
        <v>0</v>
      </c>
      <c r="O15" s="70"/>
      <c r="P15" s="15">
        <f t="shared" si="3"/>
        <v>0</v>
      </c>
      <c r="Q15" s="15">
        <f>IF(Сотув!$C$5="Ташкент",0,SUMIF(справка!B:B,C$4:C$1048576,справка!F:F))</f>
        <v>0</v>
      </c>
      <c r="R15" s="15">
        <f t="shared" si="11"/>
        <v>0</v>
      </c>
      <c r="S15" s="15">
        <f t="shared" si="12"/>
        <v>0</v>
      </c>
      <c r="T15" s="14">
        <v>37500</v>
      </c>
      <c r="U15" s="17">
        <f t="shared" si="4"/>
        <v>0</v>
      </c>
      <c r="V15" s="18">
        <f t="shared" si="5"/>
        <v>-37500</v>
      </c>
      <c r="W15" s="15">
        <f t="shared" si="6"/>
        <v>0</v>
      </c>
      <c r="X15" s="15">
        <f t="shared" si="7"/>
        <v>0</v>
      </c>
      <c r="Y15" s="71"/>
      <c r="Z15" s="19">
        <f t="shared" si="8"/>
        <v>0</v>
      </c>
      <c r="AA15" s="20">
        <f t="shared" si="9"/>
        <v>0</v>
      </c>
      <c r="AB15" s="9"/>
    </row>
    <row r="16" spans="2:28" s="56" customFormat="1" ht="15.75" x14ac:dyDescent="0.25">
      <c r="B16" s="83" t="s">
        <v>35</v>
      </c>
      <c r="C16" s="84"/>
      <c r="D16" s="12"/>
      <c r="E16" s="57"/>
      <c r="F16" s="58"/>
      <c r="G16" s="59">
        <f>SUM(G4:G15)</f>
        <v>0</v>
      </c>
      <c r="H16" s="59">
        <f>SUM(H4:H15)</f>
        <v>0</v>
      </c>
      <c r="I16" s="59">
        <f>SUM(I4:I15)</f>
        <v>636500</v>
      </c>
      <c r="J16" s="59">
        <f>SUM(J4:J15)</f>
        <v>0</v>
      </c>
      <c r="K16" s="59"/>
      <c r="L16" s="59">
        <f>SUM(L4:L15)</f>
        <v>0</v>
      </c>
      <c r="M16" s="59"/>
      <c r="N16" s="59">
        <f>SUM(N4:N15)</f>
        <v>0</v>
      </c>
      <c r="O16" s="59"/>
      <c r="P16" s="59">
        <f>SUM(P4:P15)</f>
        <v>0</v>
      </c>
      <c r="Q16" s="59">
        <f>SUM(Q4:Q15)</f>
        <v>0</v>
      </c>
      <c r="R16" s="59">
        <f>SUM(R4:R15)</f>
        <v>0</v>
      </c>
      <c r="S16" s="59">
        <f>SUM(S4:S15)</f>
        <v>0</v>
      </c>
      <c r="T16" s="59"/>
      <c r="U16" s="59">
        <f>SUM(U4:U15)</f>
        <v>0</v>
      </c>
      <c r="V16" s="59">
        <f>SUM(V4:V15)</f>
        <v>-705500</v>
      </c>
      <c r="W16" s="59">
        <f>SUM(W4:W15)</f>
        <v>0</v>
      </c>
      <c r="X16" s="59">
        <f>SUM(X4:X15)</f>
        <v>0</v>
      </c>
      <c r="Y16" s="72"/>
      <c r="Z16" s="60">
        <f>IFERROR(H16*100/G16-100,0)</f>
        <v>0</v>
      </c>
      <c r="AA16" s="61">
        <f>IFERROR(X16*100/G16-100,0)</f>
        <v>0</v>
      </c>
      <c r="AB16" s="62"/>
    </row>
    <row r="18" spans="4:24" x14ac:dyDescent="0.25">
      <c r="H18" s="55"/>
      <c r="X18" s="23"/>
    </row>
    <row r="19" spans="4:24" x14ac:dyDescent="0.25">
      <c r="D19" s="24"/>
      <c r="I19" s="24"/>
      <c r="J19" s="24"/>
    </row>
    <row r="20" spans="4:24" x14ac:dyDescent="0.25">
      <c r="D20" s="24"/>
      <c r="F20" s="2">
        <v>17854.75</v>
      </c>
    </row>
    <row r="21" spans="4:24" x14ac:dyDescent="0.25">
      <c r="D21" s="24"/>
      <c r="I21" s="54"/>
      <c r="J21" s="54"/>
    </row>
    <row r="22" spans="4:24" x14ac:dyDescent="0.25">
      <c r="D22" s="24"/>
    </row>
    <row r="23" spans="4:24" x14ac:dyDescent="0.25">
      <c r="D23" s="25"/>
      <c r="I23" s="54"/>
      <c r="J23" s="54"/>
    </row>
    <row r="24" spans="4:24" x14ac:dyDescent="0.25">
      <c r="D24" s="26"/>
    </row>
  </sheetData>
  <sheetProtection algorithmName="SHA-512" hashValue="mzvXk64uZCgUdVpSuH1cgrDm7qT9jDjypHSFJuKTHYVDIk3ojyECugkTTFV8y95K9IFm3WZLC5zBaCnSn9PRuA==" saltValue="EiDLUEJSVFqEbCUIUru0EQ==" spinCount="100000" sheet="1" objects="1" scenarios="1"/>
  <autoFilter ref="B2:AA7" xr:uid="{00000000-0009-0000-0000-000001000000}">
    <filterColumn colId="11" showButton="0"/>
    <filterColumn colId="13" showButton="0"/>
  </autoFilter>
  <mergeCells count="24">
    <mergeCell ref="B16:C16"/>
    <mergeCell ref="B2:B3"/>
    <mergeCell ref="C2:C3"/>
    <mergeCell ref="D2:D3"/>
    <mergeCell ref="E2:E3"/>
    <mergeCell ref="AA2:AA3"/>
    <mergeCell ref="G2:G3"/>
    <mergeCell ref="H2:H3"/>
    <mergeCell ref="M2:N2"/>
    <mergeCell ref="O2:P2"/>
    <mergeCell ref="Z2:Z3"/>
    <mergeCell ref="S2:S3"/>
    <mergeCell ref="T2:T3"/>
    <mergeCell ref="U2:U3"/>
    <mergeCell ref="V2:V3"/>
    <mergeCell ref="X2:X3"/>
    <mergeCell ref="Y2:Y3"/>
    <mergeCell ref="W2:W3"/>
    <mergeCell ref="M4:M15"/>
    <mergeCell ref="O4:O15"/>
    <mergeCell ref="Y4:Y16"/>
    <mergeCell ref="F2:F3"/>
    <mergeCell ref="K2:L2"/>
    <mergeCell ref="K4:K15"/>
  </mergeCells>
  <conditionalFormatting sqref="C8:C9 C11:C14">
    <cfRule type="expression" dxfId="1" priority="3" stopIfTrue="1">
      <formula>#REF!&lt;0</formula>
    </cfRule>
  </conditionalFormatting>
  <conditionalFormatting sqref="C10">
    <cfRule type="expression" dxfId="0" priority="1" stopIfTrue="1">
      <formula>#REF!&lt;0</formula>
    </cfRule>
  </conditionalFormatting>
  <pageMargins left="0.7" right="0.7" top="0.75" bottom="0.75" header="0.3" footer="0.3"/>
  <pageSetup paperSize="9" scale="6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F5"/>
  <sheetViews>
    <sheetView workbookViewId="0">
      <selection activeCell="F15" sqref="F15"/>
    </sheetView>
  </sheetViews>
  <sheetFormatPr defaultColWidth="11" defaultRowHeight="15" x14ac:dyDescent="0.25"/>
  <cols>
    <col min="1" max="1" width="8.85546875" style="2" customWidth="1"/>
    <col min="2" max="2" width="52.140625" style="2" customWidth="1"/>
    <col min="3" max="3" width="12.85546875" style="2" customWidth="1"/>
    <col min="4" max="4" width="13.140625" style="2" customWidth="1"/>
    <col min="5" max="5" width="11" style="2" customWidth="1"/>
    <col min="6" max="6" width="25.28515625" style="2" bestFit="1" customWidth="1"/>
    <col min="7" max="256" width="8.85546875" style="2" customWidth="1"/>
    <col min="257" max="16384" width="11" style="2"/>
  </cols>
  <sheetData>
    <row r="1" spans="2:6" ht="30" x14ac:dyDescent="0.25">
      <c r="B1" s="1" t="s">
        <v>12</v>
      </c>
      <c r="C1" s="1" t="s">
        <v>1</v>
      </c>
      <c r="D1" s="1" t="s">
        <v>10</v>
      </c>
      <c r="E1" s="1" t="s">
        <v>11</v>
      </c>
      <c r="F1" s="1" t="s">
        <v>13</v>
      </c>
    </row>
    <row r="2" spans="2:6" x14ac:dyDescent="0.25">
      <c r="B2" s="2" t="s">
        <v>34</v>
      </c>
      <c r="C2" s="2">
        <f>SUMIF(Бухгалтерия!C:C,B:B,Бухгалтерия!D:D)</f>
        <v>0</v>
      </c>
      <c r="D2" s="2">
        <v>60</v>
      </c>
    </row>
    <row r="3" spans="2:6" x14ac:dyDescent="0.25">
      <c r="B3" s="2" t="s">
        <v>31</v>
      </c>
      <c r="C3" s="2">
        <f>SUMIF(Бухгалтерия!C:C,B:B,Бухгалтерия!D:D)</f>
        <v>0</v>
      </c>
      <c r="D3" s="2">
        <v>50</v>
      </c>
    </row>
    <row r="4" spans="2:6" x14ac:dyDescent="0.25">
      <c r="B4" s="2" t="s">
        <v>32</v>
      </c>
      <c r="C4" s="2">
        <f>SUMIF(Бухгалтерия!C:C,B:B,Бухгалтерия!D:D)</f>
        <v>0</v>
      </c>
      <c r="D4" s="2">
        <v>50</v>
      </c>
    </row>
    <row r="5" spans="2:6" x14ac:dyDescent="0.25">
      <c r="B5" s="2" t="s">
        <v>33</v>
      </c>
      <c r="C5" s="2">
        <f>SUMIF(Бухгалтерия!C:C,B:B,Бухгалтерия!D:D)</f>
        <v>0</v>
      </c>
      <c r="D5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Сотув</vt:lpstr>
      <vt:lpstr>Бухгалтерия</vt:lpstr>
      <vt:lpstr>справка</vt:lpstr>
      <vt:lpstr>наим</vt:lpstr>
      <vt:lpstr>Бухгалтерия!Область_печати</vt:lpstr>
      <vt:lpstr>таб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ugp</dc:creator>
  <cp:lastModifiedBy>Пользователь</cp:lastModifiedBy>
  <cp:lastPrinted>2023-03-14T09:59:44Z</cp:lastPrinted>
  <dcterms:created xsi:type="dcterms:W3CDTF">2019-01-09T04:52:54Z</dcterms:created>
  <dcterms:modified xsi:type="dcterms:W3CDTF">2024-03-14T10:16:30Z</dcterms:modified>
</cp:coreProperties>
</file>