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codeName="ЭтаКнига1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2FE9486F-228B-4257-A010-F4CA83D96714}" xr6:coauthVersionLast="37" xr6:coauthVersionMax="37" xr10:uidLastSave="{00000000-0000-0000-0000-000000000000}"/>
  <bookViews>
    <workbookView xWindow="0" yWindow="0" windowWidth="26985" windowHeight="11505" xr2:uid="{00000000-000D-0000-FFFF-FFFF00000000}"/>
  </bookViews>
  <sheets>
    <sheet name="Сотув" sheetId="14" r:id="rId1"/>
    <sheet name="Бухгалтерия" sheetId="12" r:id="rId2"/>
    <sheet name="справка" sheetId="13" r:id="rId3"/>
  </sheets>
  <definedNames>
    <definedName name="_xlnm._FilterDatabase" localSheetId="1" hidden="1">Бухгалтерия!$B$2:$AB$43</definedName>
    <definedName name="_xlnm._FilterDatabase" localSheetId="0" hidden="1">Сотув!$A$8:$E$50</definedName>
    <definedName name="наим">Бухгалтерия!$C$4:$C$42</definedName>
    <definedName name="_xlnm.Print_Area" localSheetId="1">Бухгалтерия!$A$1:$AA$44</definedName>
    <definedName name="таб">Бухгалтерия!$C$4:$F$42</definedName>
  </definedNames>
  <calcPr calcId="179021"/>
</workbook>
</file>

<file path=xl/calcChain.xml><?xml version="1.0" encoding="utf-8"?>
<calcChain xmlns="http://schemas.openxmlformats.org/spreadsheetml/2006/main">
  <c r="E10" i="14" l="1"/>
  <c r="E11" i="14"/>
  <c r="E12" i="14"/>
  <c r="E13" i="14"/>
  <c r="E14" i="14"/>
  <c r="E15" i="14"/>
  <c r="E16" i="14"/>
  <c r="E17" i="14"/>
  <c r="E18" i="14"/>
  <c r="E19" i="14"/>
  <c r="E20" i="14"/>
  <c r="E21" i="14"/>
  <c r="E23" i="14"/>
  <c r="E24" i="14"/>
  <c r="E25" i="14"/>
  <c r="E26" i="14"/>
  <c r="E27" i="14"/>
  <c r="E28" i="14"/>
  <c r="E29" i="14"/>
  <c r="E30" i="14"/>
  <c r="E31" i="14"/>
  <c r="E32" i="14"/>
  <c r="E33" i="14"/>
  <c r="E34" i="14"/>
  <c r="E35" i="14"/>
  <c r="E36" i="14"/>
  <c r="E37" i="14"/>
  <c r="E38" i="14"/>
  <c r="E39" i="14"/>
  <c r="E40" i="14"/>
  <c r="E41" i="14"/>
  <c r="E42" i="14"/>
  <c r="E43" i="14"/>
  <c r="E44" i="14"/>
  <c r="E45" i="14"/>
  <c r="E46" i="14"/>
  <c r="E47" i="14"/>
  <c r="E48" i="14"/>
  <c r="E9" i="14"/>
  <c r="R5" i="12" l="1"/>
  <c r="R6" i="12"/>
  <c r="R7" i="12"/>
  <c r="R8" i="12"/>
  <c r="R9" i="12"/>
  <c r="R10" i="12"/>
  <c r="R11" i="12"/>
  <c r="R12" i="12"/>
  <c r="R13" i="12"/>
  <c r="R14" i="12"/>
  <c r="R15" i="12"/>
  <c r="R16" i="12"/>
  <c r="R17" i="12"/>
  <c r="R18" i="12"/>
  <c r="R19" i="12"/>
  <c r="R20" i="12"/>
  <c r="R21" i="12"/>
  <c r="R22" i="12"/>
  <c r="R23" i="12"/>
  <c r="R24" i="12"/>
  <c r="R25" i="12"/>
  <c r="R26" i="12"/>
  <c r="R27" i="12"/>
  <c r="R28" i="12"/>
  <c r="R29" i="12"/>
  <c r="R30" i="12"/>
  <c r="R31" i="12"/>
  <c r="R32" i="12"/>
  <c r="R33" i="12"/>
  <c r="R34" i="12"/>
  <c r="R35" i="12"/>
  <c r="R36" i="12"/>
  <c r="R37" i="12"/>
  <c r="R38" i="12"/>
  <c r="R39" i="12"/>
  <c r="R40" i="12"/>
  <c r="R41" i="12"/>
  <c r="R42" i="12"/>
  <c r="R43" i="12"/>
  <c r="I4" i="12"/>
  <c r="AC6" i="12" l="1"/>
  <c r="AC7" i="12"/>
  <c r="AC8" i="12"/>
  <c r="AC9" i="12"/>
  <c r="AC10" i="12"/>
  <c r="AC11" i="12"/>
  <c r="AC12" i="12"/>
  <c r="AC13" i="12"/>
  <c r="AC14" i="12"/>
  <c r="AC15" i="12"/>
  <c r="AC16" i="12"/>
  <c r="AC17" i="12"/>
  <c r="AC18" i="12"/>
  <c r="AC19" i="12"/>
  <c r="AC20" i="12"/>
  <c r="AC21" i="12"/>
  <c r="AC22" i="12"/>
  <c r="AC23" i="12"/>
  <c r="AC24" i="12"/>
  <c r="AC25" i="12"/>
  <c r="AC26" i="12"/>
  <c r="AC27" i="12"/>
  <c r="AC28" i="12"/>
  <c r="AC29" i="12"/>
  <c r="AC30" i="12"/>
  <c r="AC31" i="12"/>
  <c r="AC32" i="12"/>
  <c r="AC33" i="12"/>
  <c r="AC34" i="12"/>
  <c r="AC35" i="12"/>
  <c r="AC36" i="12"/>
  <c r="AC37" i="12"/>
  <c r="AC38" i="12"/>
  <c r="AC39" i="12"/>
  <c r="AC40" i="12"/>
  <c r="AC41" i="12"/>
  <c r="AC42" i="12"/>
  <c r="AC43" i="12"/>
  <c r="AC4" i="12"/>
  <c r="M4" i="12"/>
  <c r="K4" i="12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33" i="14"/>
  <c r="F34" i="14"/>
  <c r="F35" i="14"/>
  <c r="F36" i="14"/>
  <c r="F37" i="14"/>
  <c r="F38" i="14"/>
  <c r="F39" i="14"/>
  <c r="F40" i="14"/>
  <c r="F41" i="14"/>
  <c r="F42" i="14"/>
  <c r="F43" i="14"/>
  <c r="F44" i="14"/>
  <c r="F45" i="14"/>
  <c r="F46" i="14"/>
  <c r="F47" i="14"/>
  <c r="F48" i="14"/>
  <c r="F9" i="14"/>
  <c r="D7" i="12"/>
  <c r="X7" i="12" s="1"/>
  <c r="E7" i="12"/>
  <c r="D8" i="12"/>
  <c r="X8" i="12" s="1"/>
  <c r="E8" i="12"/>
  <c r="D9" i="12"/>
  <c r="X9" i="12" s="1"/>
  <c r="E9" i="12"/>
  <c r="D10" i="12"/>
  <c r="G10" i="12" s="1"/>
  <c r="E10" i="12"/>
  <c r="D11" i="12"/>
  <c r="X11" i="12" s="1"/>
  <c r="E11" i="12"/>
  <c r="D12" i="12"/>
  <c r="E12" i="12"/>
  <c r="D13" i="12"/>
  <c r="X13" i="12" s="1"/>
  <c r="E13" i="12"/>
  <c r="D14" i="12"/>
  <c r="X14" i="12" s="1"/>
  <c r="E14" i="12"/>
  <c r="D15" i="12"/>
  <c r="X15" i="12" s="1"/>
  <c r="E15" i="12"/>
  <c r="D16" i="12"/>
  <c r="X16" i="12" s="1"/>
  <c r="E16" i="12"/>
  <c r="D17" i="12"/>
  <c r="E17" i="12"/>
  <c r="D18" i="12"/>
  <c r="G18" i="12" s="1"/>
  <c r="E18" i="12"/>
  <c r="W18" i="12" s="1"/>
  <c r="D19" i="12"/>
  <c r="X19" i="12" s="1"/>
  <c r="E19" i="12"/>
  <c r="D20" i="12"/>
  <c r="G20" i="12" s="1"/>
  <c r="E20" i="12"/>
  <c r="D21" i="12"/>
  <c r="X21" i="12" s="1"/>
  <c r="E21" i="12"/>
  <c r="D22" i="12"/>
  <c r="X22" i="12" s="1"/>
  <c r="E22" i="12"/>
  <c r="W22" i="12" s="1"/>
  <c r="D23" i="12"/>
  <c r="X23" i="12" s="1"/>
  <c r="E23" i="12"/>
  <c r="D24" i="12"/>
  <c r="X24" i="12" s="1"/>
  <c r="E24" i="12"/>
  <c r="D25" i="12"/>
  <c r="X25" i="12" s="1"/>
  <c r="E25" i="12"/>
  <c r="D26" i="12"/>
  <c r="G26" i="12" s="1"/>
  <c r="E26" i="12"/>
  <c r="D27" i="12"/>
  <c r="X27" i="12" s="1"/>
  <c r="E27" i="12"/>
  <c r="D28" i="12"/>
  <c r="X28" i="12" s="1"/>
  <c r="E28" i="12"/>
  <c r="D29" i="12"/>
  <c r="X29" i="12" s="1"/>
  <c r="E29" i="12"/>
  <c r="D30" i="12"/>
  <c r="G30" i="12" s="1"/>
  <c r="E30" i="12"/>
  <c r="D31" i="12"/>
  <c r="E31" i="12"/>
  <c r="D32" i="12"/>
  <c r="G32" i="12" s="1"/>
  <c r="E32" i="12"/>
  <c r="D33" i="12"/>
  <c r="X33" i="12" s="1"/>
  <c r="E33" i="12"/>
  <c r="D34" i="12"/>
  <c r="X34" i="12" s="1"/>
  <c r="E34" i="12"/>
  <c r="D35" i="12"/>
  <c r="X35" i="12" s="1"/>
  <c r="E35" i="12"/>
  <c r="D36" i="12"/>
  <c r="X36" i="12" s="1"/>
  <c r="E36" i="12"/>
  <c r="D37" i="12"/>
  <c r="X37" i="12" s="1"/>
  <c r="E37" i="12"/>
  <c r="D38" i="12"/>
  <c r="G38" i="12" s="1"/>
  <c r="E38" i="12"/>
  <c r="W38" i="12" s="1"/>
  <c r="D39" i="12"/>
  <c r="G39" i="12" s="1"/>
  <c r="E39" i="12"/>
  <c r="D40" i="12"/>
  <c r="X40" i="12" s="1"/>
  <c r="E40" i="12"/>
  <c r="D41" i="12"/>
  <c r="X41" i="12" s="1"/>
  <c r="E41" i="12"/>
  <c r="D42" i="12"/>
  <c r="X42" i="12" s="1"/>
  <c r="E42" i="12"/>
  <c r="D43" i="12"/>
  <c r="X43" i="12" s="1"/>
  <c r="E43" i="12"/>
  <c r="D6" i="12"/>
  <c r="G6" i="12" s="1"/>
  <c r="E6" i="12"/>
  <c r="D5" i="12"/>
  <c r="E5" i="12"/>
  <c r="E4" i="12"/>
  <c r="D4" i="12"/>
  <c r="G4" i="12" s="1"/>
  <c r="AC5" i="12"/>
  <c r="R4" i="12" l="1"/>
  <c r="F1" i="14"/>
  <c r="F49" i="14"/>
  <c r="F50" i="14" s="1"/>
  <c r="F51" i="14" s="1"/>
  <c r="C27" i="13"/>
  <c r="E27" i="13" s="1"/>
  <c r="F27" i="13" s="1"/>
  <c r="C46" i="13"/>
  <c r="E46" i="13" s="1"/>
  <c r="F46" i="13" s="1"/>
  <c r="O42" i="12" s="1"/>
  <c r="C34" i="13"/>
  <c r="E34" i="13" s="1"/>
  <c r="F34" i="13" s="1"/>
  <c r="O31" i="12" s="1"/>
  <c r="C31" i="13"/>
  <c r="E31" i="13" s="1"/>
  <c r="F31" i="13" s="1"/>
  <c r="C47" i="13"/>
  <c r="E47" i="13" s="1"/>
  <c r="F47" i="13" s="1"/>
  <c r="H9" i="12"/>
  <c r="J9" i="12" s="1"/>
  <c r="H33" i="12"/>
  <c r="L33" i="12" s="1"/>
  <c r="H29" i="12"/>
  <c r="L29" i="12" s="1"/>
  <c r="H26" i="12"/>
  <c r="L26" i="12" s="1"/>
  <c r="C30" i="13"/>
  <c r="E30" i="13" s="1"/>
  <c r="F30" i="13" s="1"/>
  <c r="C10" i="13"/>
  <c r="E10" i="13" s="1"/>
  <c r="F10" i="13" s="1"/>
  <c r="O10" i="12" s="1"/>
  <c r="C26" i="13"/>
  <c r="E26" i="13" s="1"/>
  <c r="F26" i="13" s="1"/>
  <c r="O25" i="12" s="1"/>
  <c r="G5" i="12"/>
  <c r="H11" i="12"/>
  <c r="J11" i="12" s="1"/>
  <c r="C14" i="13"/>
  <c r="E14" i="13" s="1"/>
  <c r="F14" i="13" s="1"/>
  <c r="O13" i="12" s="1"/>
  <c r="C35" i="13"/>
  <c r="E35" i="13" s="1"/>
  <c r="F35" i="13" s="1"/>
  <c r="O32" i="12" s="1"/>
  <c r="C43" i="13"/>
  <c r="E43" i="13" s="1"/>
  <c r="F43" i="13" s="1"/>
  <c r="O39" i="12" s="1"/>
  <c r="C15" i="13"/>
  <c r="E15" i="13" s="1"/>
  <c r="F15" i="13" s="1"/>
  <c r="O14" i="12" s="1"/>
  <c r="C6" i="13"/>
  <c r="E6" i="13" s="1"/>
  <c r="F6" i="13" s="1"/>
  <c r="O7" i="12" s="1"/>
  <c r="C7" i="13"/>
  <c r="E7" i="13" s="1"/>
  <c r="F7" i="13" s="1"/>
  <c r="O8" i="12" s="1"/>
  <c r="C36" i="13"/>
  <c r="E36" i="13" s="1"/>
  <c r="F36" i="13" s="1"/>
  <c r="O33" i="12" s="1"/>
  <c r="C4" i="13"/>
  <c r="E4" i="13" s="1"/>
  <c r="F4" i="13" s="1"/>
  <c r="C23" i="13"/>
  <c r="E23" i="13" s="1"/>
  <c r="F23" i="13" s="1"/>
  <c r="O22" i="12" s="1"/>
  <c r="C48" i="13"/>
  <c r="E48" i="13" s="1"/>
  <c r="F48" i="13" s="1"/>
  <c r="O43" i="12" s="1"/>
  <c r="C16" i="13"/>
  <c r="E16" i="13" s="1"/>
  <c r="F16" i="13" s="1"/>
  <c r="O15" i="12" s="1"/>
  <c r="G11" i="12"/>
  <c r="C8" i="13"/>
  <c r="E8" i="13" s="1"/>
  <c r="F8" i="13" s="1"/>
  <c r="O9" i="12" s="1"/>
  <c r="C40" i="13"/>
  <c r="E40" i="13" s="1"/>
  <c r="F40" i="13" s="1"/>
  <c r="O37" i="12" s="1"/>
  <c r="C19" i="13"/>
  <c r="E19" i="13" s="1"/>
  <c r="F19" i="13" s="1"/>
  <c r="O18" i="12" s="1"/>
  <c r="C24" i="13"/>
  <c r="E24" i="13" s="1"/>
  <c r="F24" i="13" s="1"/>
  <c r="O23" i="12" s="1"/>
  <c r="C39" i="13"/>
  <c r="E39" i="13" s="1"/>
  <c r="F39" i="13" s="1"/>
  <c r="O36" i="12" s="1"/>
  <c r="C18" i="13"/>
  <c r="E18" i="13" s="1"/>
  <c r="F18" i="13" s="1"/>
  <c r="O17" i="12" s="1"/>
  <c r="C32" i="13"/>
  <c r="E32" i="13" s="1"/>
  <c r="F32" i="13" s="1"/>
  <c r="O29" i="12" s="1"/>
  <c r="C13" i="13"/>
  <c r="E13" i="13" s="1"/>
  <c r="F13" i="13" s="1"/>
  <c r="O12" i="12" s="1"/>
  <c r="C42" i="13"/>
  <c r="E42" i="13" s="1"/>
  <c r="F42" i="13" s="1"/>
  <c r="H21" i="12"/>
  <c r="L21" i="12" s="1"/>
  <c r="C38" i="13"/>
  <c r="E38" i="13" s="1"/>
  <c r="F38" i="13" s="1"/>
  <c r="O35" i="12" s="1"/>
  <c r="G13" i="12"/>
  <c r="H23" i="12"/>
  <c r="L23" i="12" s="1"/>
  <c r="C22" i="13"/>
  <c r="E22" i="13" s="1"/>
  <c r="F22" i="13" s="1"/>
  <c r="O21" i="12" s="1"/>
  <c r="C3" i="13"/>
  <c r="E3" i="13" s="1"/>
  <c r="F3" i="13" s="1"/>
  <c r="O5" i="12" s="1"/>
  <c r="C12" i="13"/>
  <c r="E12" i="13" s="1"/>
  <c r="F12" i="13" s="1"/>
  <c r="O11" i="12" s="1"/>
  <c r="C28" i="13"/>
  <c r="E28" i="13" s="1"/>
  <c r="F28" i="13" s="1"/>
  <c r="O26" i="12" s="1"/>
  <c r="C20" i="13"/>
  <c r="E20" i="13" s="1"/>
  <c r="F20" i="13" s="1"/>
  <c r="O19" i="12" s="1"/>
  <c r="C44" i="13"/>
  <c r="E44" i="13" s="1"/>
  <c r="F44" i="13" s="1"/>
  <c r="O40" i="12" s="1"/>
  <c r="H25" i="12"/>
  <c r="L25" i="12" s="1"/>
  <c r="H13" i="12"/>
  <c r="J13" i="12" s="1"/>
  <c r="H10" i="12"/>
  <c r="AA10" i="12" s="1"/>
  <c r="G40" i="12"/>
  <c r="G37" i="12"/>
  <c r="C2" i="13"/>
  <c r="E2" i="13" s="1"/>
  <c r="F2" i="13" s="1"/>
  <c r="O4" i="12" s="1"/>
  <c r="G29" i="12"/>
  <c r="G19" i="12"/>
  <c r="G15" i="12"/>
  <c r="G9" i="12"/>
  <c r="H32" i="12"/>
  <c r="J32" i="12" s="1"/>
  <c r="H31" i="12"/>
  <c r="N31" i="12" s="1"/>
  <c r="H17" i="12"/>
  <c r="N17" i="12" s="1"/>
  <c r="C11" i="13"/>
  <c r="E11" i="13" s="1"/>
  <c r="F11" i="13" s="1"/>
  <c r="G28" i="12"/>
  <c r="C45" i="13"/>
  <c r="E45" i="13" s="1"/>
  <c r="F45" i="13" s="1"/>
  <c r="O41" i="12" s="1"/>
  <c r="C29" i="13"/>
  <c r="E29" i="13" s="1"/>
  <c r="F29" i="13" s="1"/>
  <c r="C25" i="13"/>
  <c r="E25" i="13" s="1"/>
  <c r="F25" i="13" s="1"/>
  <c r="O24" i="12" s="1"/>
  <c r="C41" i="13"/>
  <c r="E41" i="13" s="1"/>
  <c r="F41" i="13" s="1"/>
  <c r="O38" i="12" s="1"/>
  <c r="X12" i="12"/>
  <c r="C37" i="13"/>
  <c r="E37" i="13" s="1"/>
  <c r="F37" i="13" s="1"/>
  <c r="O34" i="12" s="1"/>
  <c r="H5" i="12"/>
  <c r="J5" i="12" s="1"/>
  <c r="H40" i="12"/>
  <c r="N40" i="12" s="1"/>
  <c r="C17" i="13"/>
  <c r="E17" i="13" s="1"/>
  <c r="F17" i="13" s="1"/>
  <c r="O16" i="12" s="1"/>
  <c r="H39" i="12"/>
  <c r="L39" i="12" s="1"/>
  <c r="G33" i="12"/>
  <c r="C5" i="13"/>
  <c r="E5" i="13" s="1"/>
  <c r="F5" i="13" s="1"/>
  <c r="O6" i="12" s="1"/>
  <c r="C49" i="13"/>
  <c r="E49" i="13" s="1"/>
  <c r="F49" i="13" s="1"/>
  <c r="C33" i="13"/>
  <c r="E33" i="13" s="1"/>
  <c r="F33" i="13" s="1"/>
  <c r="O30" i="12" s="1"/>
  <c r="C21" i="13"/>
  <c r="E21" i="13" s="1"/>
  <c r="F21" i="13" s="1"/>
  <c r="C9" i="13"/>
  <c r="E9" i="13" s="1"/>
  <c r="F9" i="13" s="1"/>
  <c r="H35" i="12"/>
  <c r="N35" i="12" s="1"/>
  <c r="G17" i="12"/>
  <c r="G25" i="12"/>
  <c r="H20" i="12"/>
  <c r="AA20" i="12" s="1"/>
  <c r="H12" i="12"/>
  <c r="L12" i="12" s="1"/>
  <c r="X6" i="12"/>
  <c r="H22" i="12"/>
  <c r="N22" i="12" s="1"/>
  <c r="X26" i="12"/>
  <c r="H15" i="12"/>
  <c r="N15" i="12" s="1"/>
  <c r="H37" i="12"/>
  <c r="J37" i="12" s="1"/>
  <c r="X20" i="12"/>
  <c r="H19" i="12"/>
  <c r="G23" i="12"/>
  <c r="H43" i="12"/>
  <c r="N43" i="12" s="1"/>
  <c r="H36" i="12"/>
  <c r="X39" i="12"/>
  <c r="X32" i="12"/>
  <c r="X18" i="12"/>
  <c r="X5" i="12"/>
  <c r="G36" i="12"/>
  <c r="X31" i="12"/>
  <c r="X17" i="12"/>
  <c r="X10" i="12"/>
  <c r="G35" i="12"/>
  <c r="G22" i="12"/>
  <c r="G14" i="12"/>
  <c r="X4" i="12"/>
  <c r="X38" i="12"/>
  <c r="X30" i="12"/>
  <c r="H28" i="12"/>
  <c r="G21" i="12"/>
  <c r="G7" i="12"/>
  <c r="H14" i="12"/>
  <c r="H8" i="12"/>
  <c r="H18" i="12"/>
  <c r="H42" i="12"/>
  <c r="G31" i="12"/>
  <c r="G8" i="12"/>
  <c r="H7" i="12"/>
  <c r="G42" i="12"/>
  <c r="H41" i="12"/>
  <c r="H34" i="12"/>
  <c r="H24" i="12"/>
  <c r="J24" i="12" s="1"/>
  <c r="H16" i="12"/>
  <c r="G34" i="12"/>
  <c r="G24" i="12"/>
  <c r="H6" i="12"/>
  <c r="G16" i="12"/>
  <c r="G43" i="12"/>
  <c r="G27" i="12"/>
  <c r="H30" i="12"/>
  <c r="H38" i="12"/>
  <c r="G41" i="12"/>
  <c r="G12" i="12"/>
  <c r="H27" i="12"/>
  <c r="H4" i="12"/>
  <c r="X44" i="12" l="1"/>
  <c r="N9" i="12"/>
  <c r="N33" i="12"/>
  <c r="N11" i="12"/>
  <c r="L11" i="12"/>
  <c r="AA9" i="12"/>
  <c r="L9" i="12"/>
  <c r="AA33" i="12"/>
  <c r="J33" i="12"/>
  <c r="N29" i="12"/>
  <c r="AA26" i="12"/>
  <c r="J29" i="12"/>
  <c r="Q29" i="12" s="1"/>
  <c r="S29" i="12" s="1"/>
  <c r="N26" i="12"/>
  <c r="J26" i="12"/>
  <c r="AA29" i="12"/>
  <c r="N23" i="12"/>
  <c r="AA11" i="12"/>
  <c r="G44" i="12"/>
  <c r="D50" i="12" s="1"/>
  <c r="N21" i="12"/>
  <c r="H44" i="12"/>
  <c r="J21" i="12"/>
  <c r="N13" i="12"/>
  <c r="J25" i="12"/>
  <c r="AA25" i="12"/>
  <c r="O27" i="12"/>
  <c r="N25" i="12"/>
  <c r="AA21" i="12"/>
  <c r="AA32" i="12"/>
  <c r="O20" i="12"/>
  <c r="O28" i="12"/>
  <c r="L13" i="12"/>
  <c r="AA13" i="12"/>
  <c r="J23" i="12"/>
  <c r="AA23" i="12"/>
  <c r="AA19" i="12"/>
  <c r="J35" i="12"/>
  <c r="N32" i="12"/>
  <c r="J17" i="12"/>
  <c r="L40" i="12"/>
  <c r="N39" i="12"/>
  <c r="AA39" i="12"/>
  <c r="J39" i="12"/>
  <c r="L32" i="12"/>
  <c r="L10" i="12"/>
  <c r="AA17" i="12"/>
  <c r="N20" i="12"/>
  <c r="J10" i="12"/>
  <c r="N10" i="12"/>
  <c r="J31" i="12"/>
  <c r="N12" i="12"/>
  <c r="L17" i="12"/>
  <c r="L31" i="12"/>
  <c r="L15" i="12"/>
  <c r="AA15" i="12"/>
  <c r="J15" i="12"/>
  <c r="AA31" i="12"/>
  <c r="L37" i="12"/>
  <c r="AA35" i="12"/>
  <c r="J40" i="12"/>
  <c r="Q40" i="12" s="1"/>
  <c r="J20" i="12"/>
  <c r="J22" i="12"/>
  <c r="AA40" i="12"/>
  <c r="J12" i="12"/>
  <c r="AA12" i="12"/>
  <c r="L20" i="12"/>
  <c r="L5" i="12"/>
  <c r="AA5" i="12"/>
  <c r="L35" i="12"/>
  <c r="N5" i="12"/>
  <c r="J43" i="12"/>
  <c r="L19" i="12"/>
  <c r="N19" i="12"/>
  <c r="L22" i="12"/>
  <c r="J19" i="12"/>
  <c r="AA22" i="12"/>
  <c r="N37" i="12"/>
  <c r="AA37" i="12"/>
  <c r="AA43" i="12"/>
  <c r="L43" i="12"/>
  <c r="N7" i="12"/>
  <c r="L7" i="12"/>
  <c r="J7" i="12"/>
  <c r="AA7" i="12"/>
  <c r="N14" i="12"/>
  <c r="L14" i="12"/>
  <c r="J14" i="12"/>
  <c r="AA14" i="12"/>
  <c r="N6" i="12"/>
  <c r="L6" i="12"/>
  <c r="J6" i="12"/>
  <c r="AA6" i="12"/>
  <c r="N42" i="12"/>
  <c r="L42" i="12"/>
  <c r="J42" i="12"/>
  <c r="AA42" i="12"/>
  <c r="N28" i="12"/>
  <c r="L28" i="12"/>
  <c r="J28" i="12"/>
  <c r="AA28" i="12"/>
  <c r="AA24" i="12"/>
  <c r="N24" i="12"/>
  <c r="L24" i="12"/>
  <c r="N34" i="12"/>
  <c r="L34" i="12"/>
  <c r="J34" i="12"/>
  <c r="AA34" i="12"/>
  <c r="N36" i="12"/>
  <c r="L36" i="12"/>
  <c r="J36" i="12"/>
  <c r="AA36" i="12"/>
  <c r="AA38" i="12"/>
  <c r="N38" i="12"/>
  <c r="L38" i="12"/>
  <c r="J38" i="12"/>
  <c r="J18" i="12"/>
  <c r="AA18" i="12"/>
  <c r="L18" i="12"/>
  <c r="N18" i="12"/>
  <c r="AA4" i="12"/>
  <c r="N4" i="12"/>
  <c r="L4" i="12"/>
  <c r="J4" i="12"/>
  <c r="AA30" i="12"/>
  <c r="N30" i="12"/>
  <c r="L30" i="12"/>
  <c r="J30" i="12"/>
  <c r="N8" i="12"/>
  <c r="L8" i="12"/>
  <c r="J8" i="12"/>
  <c r="Q8" i="12" s="1"/>
  <c r="S8" i="12" s="1"/>
  <c r="AA8" i="12"/>
  <c r="N27" i="12"/>
  <c r="L27" i="12"/>
  <c r="J27" i="12"/>
  <c r="AA27" i="12"/>
  <c r="N41" i="12"/>
  <c r="L41" i="12"/>
  <c r="J41" i="12"/>
  <c r="AA41" i="12"/>
  <c r="AA16" i="12"/>
  <c r="N16" i="12"/>
  <c r="L16" i="12"/>
  <c r="J16" i="12"/>
  <c r="Q13" i="12" l="1"/>
  <c r="S13" i="12" s="1"/>
  <c r="Q9" i="12"/>
  <c r="S9" i="12" s="1"/>
  <c r="T9" i="12" s="1"/>
  <c r="V9" i="12" s="1"/>
  <c r="Y9" i="12" s="1"/>
  <c r="AB9" i="12" s="1"/>
  <c r="Q4" i="12"/>
  <c r="Q25" i="12"/>
  <c r="S25" i="12" s="1"/>
  <c r="T25" i="12" s="1"/>
  <c r="V25" i="12" s="1"/>
  <c r="Q12" i="12"/>
  <c r="S12" i="12" s="1"/>
  <c r="T12" i="12" s="1"/>
  <c r="V12" i="12" s="1"/>
  <c r="Q36" i="12"/>
  <c r="S36" i="12" s="1"/>
  <c r="T36" i="12" s="1"/>
  <c r="V36" i="12" s="1"/>
  <c r="Q35" i="12"/>
  <c r="S35" i="12" s="1"/>
  <c r="T35" i="12" s="1"/>
  <c r="V35" i="12" s="1"/>
  <c r="Q18" i="12"/>
  <c r="S18" i="12" s="1"/>
  <c r="T18" i="12" s="1"/>
  <c r="V18" i="12" s="1"/>
  <c r="Q24" i="12"/>
  <c r="S24" i="12" s="1"/>
  <c r="T24" i="12" s="1"/>
  <c r="V24" i="12" s="1"/>
  <c r="Q5" i="12"/>
  <c r="S5" i="12" s="1"/>
  <c r="T5" i="12" s="1"/>
  <c r="V5" i="12" s="1"/>
  <c r="Q10" i="12"/>
  <c r="S10" i="12" s="1"/>
  <c r="T10" i="12" s="1"/>
  <c r="V10" i="12" s="1"/>
  <c r="Q30" i="12"/>
  <c r="S30" i="12" s="1"/>
  <c r="T30" i="12" s="1"/>
  <c r="Q6" i="12"/>
  <c r="S6" i="12" s="1"/>
  <c r="T6" i="12" s="1"/>
  <c r="V6" i="12" s="1"/>
  <c r="W6" i="12" s="1"/>
  <c r="Q7" i="12"/>
  <c r="S7" i="12" s="1"/>
  <c r="T7" i="12" s="1"/>
  <c r="V7" i="12" s="1"/>
  <c r="W7" i="12" s="1"/>
  <c r="Q43" i="12"/>
  <c r="S43" i="12" s="1"/>
  <c r="T43" i="12" s="1"/>
  <c r="V43" i="12" s="1"/>
  <c r="W43" i="12" s="1"/>
  <c r="Q39" i="12"/>
  <c r="S39" i="12" s="1"/>
  <c r="T39" i="12" s="1"/>
  <c r="V39" i="12" s="1"/>
  <c r="W39" i="12" s="1"/>
  <c r="Q17" i="12"/>
  <c r="S17" i="12" s="1"/>
  <c r="T17" i="12" s="1"/>
  <c r="V17" i="12" s="1"/>
  <c r="Q16" i="12"/>
  <c r="S16" i="12" s="1"/>
  <c r="T16" i="12" s="1"/>
  <c r="V16" i="12" s="1"/>
  <c r="W16" i="12" s="1"/>
  <c r="S4" i="12"/>
  <c r="Q38" i="12"/>
  <c r="S38" i="12" s="1"/>
  <c r="T38" i="12" s="1"/>
  <c r="V38" i="12" s="1"/>
  <c r="Q42" i="12"/>
  <c r="S42" i="12" s="1"/>
  <c r="T42" i="12" s="1"/>
  <c r="V42" i="12" s="1"/>
  <c r="Q14" i="12"/>
  <c r="S14" i="12" s="1"/>
  <c r="T14" i="12" s="1"/>
  <c r="V14" i="12" s="1"/>
  <c r="W14" i="12" s="1"/>
  <c r="Q41" i="12"/>
  <c r="S41" i="12" s="1"/>
  <c r="T41" i="12" s="1"/>
  <c r="V41" i="12" s="1"/>
  <c r="W41" i="12" s="1"/>
  <c r="Q22" i="12"/>
  <c r="S22" i="12" s="1"/>
  <c r="T22" i="12" s="1"/>
  <c r="V22" i="12" s="1"/>
  <c r="Y22" i="12" s="1"/>
  <c r="AB22" i="12" s="1"/>
  <c r="Q37" i="12"/>
  <c r="S37" i="12" s="1"/>
  <c r="T37" i="12" s="1"/>
  <c r="V37" i="12" s="1"/>
  <c r="W37" i="12" s="1"/>
  <c r="Q15" i="12"/>
  <c r="S15" i="12" s="1"/>
  <c r="T15" i="12" s="1"/>
  <c r="V15" i="12" s="1"/>
  <c r="Q31" i="12"/>
  <c r="S31" i="12" s="1"/>
  <c r="T31" i="12" s="1"/>
  <c r="V31" i="12" s="1"/>
  <c r="Q32" i="12"/>
  <c r="S32" i="12" s="1"/>
  <c r="T32" i="12" s="1"/>
  <c r="V32" i="12" s="1"/>
  <c r="Q23" i="12"/>
  <c r="S23" i="12" s="1"/>
  <c r="T23" i="12" s="1"/>
  <c r="V23" i="12" s="1"/>
  <c r="Y23" i="12" s="1"/>
  <c r="AB23" i="12" s="1"/>
  <c r="Q21" i="12"/>
  <c r="S21" i="12" s="1"/>
  <c r="T21" i="12" s="1"/>
  <c r="V21" i="12" s="1"/>
  <c r="W21" i="12" s="1"/>
  <c r="Q26" i="12"/>
  <c r="S26" i="12" s="1"/>
  <c r="T26" i="12" s="1"/>
  <c r="V26" i="12" s="1"/>
  <c r="Q33" i="12"/>
  <c r="S33" i="12" s="1"/>
  <c r="T33" i="12" s="1"/>
  <c r="V33" i="12" s="1"/>
  <c r="Q11" i="12"/>
  <c r="S11" i="12" s="1"/>
  <c r="T11" i="12" s="1"/>
  <c r="V11" i="12" s="1"/>
  <c r="Y11" i="12" s="1"/>
  <c r="AB11" i="12" s="1"/>
  <c r="Q34" i="12"/>
  <c r="S34" i="12" s="1"/>
  <c r="T34" i="12" s="1"/>
  <c r="V34" i="12" s="1"/>
  <c r="Q19" i="12"/>
  <c r="S19" i="12" s="1"/>
  <c r="T19" i="12" s="1"/>
  <c r="V19" i="12" s="1"/>
  <c r="W19" i="12" s="1"/>
  <c r="S40" i="12"/>
  <c r="T40" i="12" s="1"/>
  <c r="V40" i="12" s="1"/>
  <c r="Q27" i="12"/>
  <c r="S27" i="12" s="1"/>
  <c r="T27" i="12" s="1"/>
  <c r="V27" i="12" s="1"/>
  <c r="W27" i="12" s="1"/>
  <c r="Q20" i="12"/>
  <c r="S20" i="12" s="1"/>
  <c r="Q28" i="12"/>
  <c r="S28" i="12" s="1"/>
  <c r="T28" i="12" s="1"/>
  <c r="V28" i="12" s="1"/>
  <c r="T29" i="12"/>
  <c r="V29" i="12" s="1"/>
  <c r="Y29" i="12" s="1"/>
  <c r="AB29" i="12" s="1"/>
  <c r="W23" i="12"/>
  <c r="T13" i="12"/>
  <c r="V13" i="12" s="1"/>
  <c r="W13" i="12" s="1"/>
  <c r="J44" i="12"/>
  <c r="AA44" i="12"/>
  <c r="D47" i="12"/>
  <c r="N44" i="12"/>
  <c r="L44" i="12"/>
  <c r="T8" i="12"/>
  <c r="V8" i="12" s="1"/>
  <c r="Y33" i="12" l="1"/>
  <c r="AB33" i="12" s="1"/>
  <c r="W33" i="12"/>
  <c r="Y25" i="12"/>
  <c r="AB25" i="12" s="1"/>
  <c r="W25" i="12"/>
  <c r="Y8" i="12"/>
  <c r="AB8" i="12" s="1"/>
  <c r="W8" i="12"/>
  <c r="T20" i="12"/>
  <c r="V20" i="12" s="1"/>
  <c r="Y20" i="12" s="1"/>
  <c r="AB20" i="12" s="1"/>
  <c r="S44" i="12"/>
  <c r="Y28" i="12"/>
  <c r="AB28" i="12" s="1"/>
  <c r="W28" i="12"/>
  <c r="Y42" i="12"/>
  <c r="AB42" i="12" s="1"/>
  <c r="W42" i="12"/>
  <c r="W9" i="12"/>
  <c r="W11" i="12"/>
  <c r="Y26" i="12"/>
  <c r="AB26" i="12" s="1"/>
  <c r="W26" i="12"/>
  <c r="Y24" i="12"/>
  <c r="AB24" i="12" s="1"/>
  <c r="W24" i="12"/>
  <c r="Y12" i="12"/>
  <c r="AB12" i="12" s="1"/>
  <c r="W12" i="12"/>
  <c r="W29" i="12"/>
  <c r="Y35" i="12"/>
  <c r="AB35" i="12" s="1"/>
  <c r="W35" i="12"/>
  <c r="Y13" i="12"/>
  <c r="AB13" i="12" s="1"/>
  <c r="Y15" i="12"/>
  <c r="AB15" i="12" s="1"/>
  <c r="W15" i="12"/>
  <c r="Y36" i="12"/>
  <c r="AB36" i="12" s="1"/>
  <c r="W36" i="12"/>
  <c r="Y40" i="12"/>
  <c r="AB40" i="12" s="1"/>
  <c r="W40" i="12"/>
  <c r="Y32" i="12"/>
  <c r="AB32" i="12" s="1"/>
  <c r="W32" i="12"/>
  <c r="W20" i="12"/>
  <c r="Y10" i="12"/>
  <c r="AB10" i="12" s="1"/>
  <c r="W10" i="12"/>
  <c r="Y21" i="12"/>
  <c r="AB21" i="12" s="1"/>
  <c r="Y5" i="12"/>
  <c r="AB5" i="12" s="1"/>
  <c r="W5" i="12"/>
  <c r="Y39" i="12"/>
  <c r="AB39" i="12" s="1"/>
  <c r="T4" i="12"/>
  <c r="V4" i="12" s="1"/>
  <c r="Y17" i="12"/>
  <c r="AB17" i="12" s="1"/>
  <c r="W17" i="12"/>
  <c r="Y31" i="12"/>
  <c r="AB31" i="12" s="1"/>
  <c r="W31" i="12"/>
  <c r="Y34" i="12"/>
  <c r="AB34" i="12" s="1"/>
  <c r="W34" i="12"/>
  <c r="Y37" i="12"/>
  <c r="AB37" i="12" s="1"/>
  <c r="Y41" i="12"/>
  <c r="AB41" i="12" s="1"/>
  <c r="Y19" i="12"/>
  <c r="AB19" i="12" s="1"/>
  <c r="Y7" i="12"/>
  <c r="AB7" i="12" s="1"/>
  <c r="Y43" i="12"/>
  <c r="AB43" i="12" s="1"/>
  <c r="Y14" i="12"/>
  <c r="AB14" i="12" s="1"/>
  <c r="Y18" i="12"/>
  <c r="AB18" i="12" s="1"/>
  <c r="Y38" i="12"/>
  <c r="AB38" i="12" s="1"/>
  <c r="Y27" i="12"/>
  <c r="AB27" i="12" s="1"/>
  <c r="V30" i="12"/>
  <c r="W30" i="12" s="1"/>
  <c r="Y16" i="12"/>
  <c r="AB16" i="12" s="1"/>
  <c r="Y6" i="12"/>
  <c r="AB6" i="12" s="1"/>
  <c r="Y4" i="12" l="1"/>
  <c r="W4" i="12"/>
  <c r="T44" i="12"/>
  <c r="D48" i="12"/>
  <c r="Y30" i="12"/>
  <c r="AB30" i="12" s="1"/>
  <c r="AB4" i="12" l="1"/>
  <c r="Y44" i="12"/>
  <c r="Z4" i="12" s="1"/>
  <c r="D49" i="12"/>
  <c r="D51" i="12" s="1"/>
  <c r="D52" i="12" s="1"/>
  <c r="C1" i="14" l="1"/>
  <c r="D1" i="14" s="1"/>
  <c r="AB44" i="12"/>
  <c r="Y46" i="12" l="1"/>
</calcChain>
</file>

<file path=xl/sharedStrings.xml><?xml version="1.0" encoding="utf-8"?>
<sst xmlns="http://schemas.openxmlformats.org/spreadsheetml/2006/main" count="190" uniqueCount="93">
  <si>
    <t>№</t>
  </si>
  <si>
    <t>Кол-во</t>
  </si>
  <si>
    <t>Сумма себ-ти</t>
  </si>
  <si>
    <t>Сумма</t>
  </si>
  <si>
    <t>Цена</t>
  </si>
  <si>
    <t>Наименование</t>
  </si>
  <si>
    <t>Новокаин 0,5% 5Мл, №5</t>
  </si>
  <si>
    <t>Ондасет-Макс  2Мг/Мл, 2Мл №5</t>
  </si>
  <si>
    <t>Анальгин 50% 2mл №5</t>
  </si>
  <si>
    <t>Эуфиллин 2,4%5Мл, №5 (Аминофиллин)</t>
  </si>
  <si>
    <t>Неолайтон-ZUMA порошок для приготовления раствора для инфузий 1.0 г №1 (Фосфокреатин натриевая соль)</t>
  </si>
  <si>
    <t>ФДП-ZUMA Порошок для приготовления раствора для инфузий 5 г №1 (Фосфокреатин дифосфат 1.6 тринатриевая соль)</t>
  </si>
  <si>
    <t>Ревмил раствор для инъекций 1% 1,5 мл, №5</t>
  </si>
  <si>
    <t>Неоцинтил раствор для инъекций 10 мл, №5</t>
  </si>
  <si>
    <t>Фоиз</t>
  </si>
  <si>
    <t>Йул кира (доставка пули)</t>
  </si>
  <si>
    <t>Жами харажат</t>
  </si>
  <si>
    <t>Сумма харажатлардан кейинги</t>
  </si>
  <si>
    <t>БОНУС БИРЖА (0,6%)</t>
  </si>
  <si>
    <t>Гепарин флакон 5000Ед/Мл 5Мл №5</t>
  </si>
  <si>
    <t>Дексаметазон 0,4% 2Мл №5</t>
  </si>
  <si>
    <t>1 оригинал</t>
  </si>
  <si>
    <t>Каробка сони</t>
  </si>
  <si>
    <t>Дори номи</t>
  </si>
  <si>
    <t>1Та каробка учун йул кира 10000 сум</t>
  </si>
  <si>
    <t>Винпоцетин 10мг/2мл №10</t>
  </si>
  <si>
    <t>Эллеус  5мл №5</t>
  </si>
  <si>
    <t>Нооцеб  25мг 4 мл №5</t>
  </si>
  <si>
    <t>Анальгин 50%2мл №10</t>
  </si>
  <si>
    <t>Амброксол гидрохлорид 15 мг/2мл №10</t>
  </si>
  <si>
    <t>Баралгин 50% 5мл №5</t>
  </si>
  <si>
    <t xml:space="preserve">Гепарин 5000МЕ\мл 1мл №5 </t>
  </si>
  <si>
    <t>Дексаметазон 0,4%1мл №5</t>
  </si>
  <si>
    <t>Детсенон 250мг/2мл, 2мл №25</t>
  </si>
  <si>
    <t>Диабертион 3% 10мл №5</t>
  </si>
  <si>
    <t>Диклофенак 75мг/3мл №5</t>
  </si>
  <si>
    <t>Кетронг 1 мл №5</t>
  </si>
  <si>
    <t>Магния сульфат 25%, 5 мл №10</t>
  </si>
  <si>
    <t>Мелоксикам1,5%-1,5мл №5</t>
  </si>
  <si>
    <t>Натрия тиосульфат 30% 10 мл №10</t>
  </si>
  <si>
    <t>Ондасет мах 2 мг/4мл №5</t>
  </si>
  <si>
    <t>Пентоксифиллин 2% 5 мл №5</t>
  </si>
  <si>
    <t>Преднизалон 30мг/1мл №5</t>
  </si>
  <si>
    <t xml:space="preserve">Новокаин 0,5% 5мл № 10 </t>
  </si>
  <si>
    <t>Пирацетам 20% 5мл, №5</t>
  </si>
  <si>
    <t>Рибоксин 2%10мл №5</t>
  </si>
  <si>
    <t>Милонард амп 0,5г 5мл №10</t>
  </si>
  <si>
    <t>Фурасемид  амп 10мг/мл, 2мл №10</t>
  </si>
  <si>
    <t>Эуфиллин 2,4% 5мл, №10</t>
  </si>
  <si>
    <t>Supromaks  20мг/мл,1мл№5</t>
  </si>
  <si>
    <t>Кетомакс 100мг/2 №10</t>
  </si>
  <si>
    <t>L-Аспагин 10мл №5</t>
  </si>
  <si>
    <t>Гепапротек инфузий 10мл №10</t>
  </si>
  <si>
    <t>L-Лизэс 1мг/мл 5мл №10</t>
  </si>
  <si>
    <t>Тиозолин  2,5% 4 мл №10</t>
  </si>
  <si>
    <t>Тиостан 10мл №10</t>
  </si>
  <si>
    <t>Церумакс амп 10мг/2мл №10</t>
  </si>
  <si>
    <t>Спазин 40мг/2 мл, №25</t>
  </si>
  <si>
    <t>Эпикаин амп 1мл №25</t>
  </si>
  <si>
    <t>Идрен раствор для инъекций 10% 5 мл, №5</t>
  </si>
  <si>
    <t xml:space="preserve">Винкорел  5мг/5мл №5 </t>
  </si>
  <si>
    <t>Неоспагин 10мл №5</t>
  </si>
  <si>
    <t xml:space="preserve">Цена себ. </t>
  </si>
  <si>
    <t>БОНУС клиент / ЛПУ</t>
  </si>
  <si>
    <t>Цена завода келишилган</t>
  </si>
  <si>
    <t>Цена завода факт</t>
  </si>
  <si>
    <t>Разница</t>
  </si>
  <si>
    <t>Сумма завод келишилган нархларда булиши керак</t>
  </si>
  <si>
    <t>Сумма факт заводга колаётган нархларда</t>
  </si>
  <si>
    <t>Абсолют разница</t>
  </si>
  <si>
    <t>БОНУС менеждер РМ (1%) + ТМ (0,4%)</t>
  </si>
  <si>
    <t>Факт соф фойда %</t>
  </si>
  <si>
    <t>Жами грязный фойда % (харажатлардан олдин)</t>
  </si>
  <si>
    <t>Завода келишилган</t>
  </si>
  <si>
    <t>Клинт бонуси</t>
  </si>
  <si>
    <t>Менеджерлар бонуси</t>
  </si>
  <si>
    <t>Харажатлардан кейин Фойда/Зарар</t>
  </si>
  <si>
    <t>Доставка</t>
  </si>
  <si>
    <t>Шавкат ака учун</t>
  </si>
  <si>
    <t>суммаси</t>
  </si>
  <si>
    <t>расход</t>
  </si>
  <si>
    <t>после расходов</t>
  </si>
  <si>
    <t>себестоимость</t>
  </si>
  <si>
    <t>маржа</t>
  </si>
  <si>
    <t>%</t>
  </si>
  <si>
    <t>+</t>
  </si>
  <si>
    <t>До Клиента</t>
  </si>
  <si>
    <t>Прямой</t>
  </si>
  <si>
    <t>Пул ечиш харажатлари (0,035%)</t>
  </si>
  <si>
    <t>КОРХОНА НОМИ</t>
  </si>
  <si>
    <t>ИНН</t>
  </si>
  <si>
    <t>5% скидка билан</t>
  </si>
  <si>
    <t>12% ндс билан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</si>
</sst>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\ _₽_-;\-* #,##0.00\ _₽_-;_-* &quot;-&quot;??\ _₽_-;_-@_-"/>
    <numFmt numFmtId="164" formatCode="_-* #,##0.00_р_._-;\-* #,##0.00_р_._-;_-* &quot;-&quot;??_р_._-;_-@_-"/>
    <numFmt numFmtId="165" formatCode="#,##0.00_ ;[Red]\-#,##0.00\ "/>
    <numFmt numFmtId="166" formatCode="#,##0_ ;[Red]\-#,##0\ "/>
    <numFmt numFmtId="167" formatCode="#,##0.000"/>
  </numFmts>
  <fonts count="18" x14ac:knownFonts="1">
    <font>
      <sz val="11"/>
      <color theme="1"/>
      <name val="Calibri"/>
      <family val="2"/>
      <charset val="204"/>
      <scheme val="minor"/>
    </font>
    <font>
      <b/>
      <sz val="10"/>
      <name val="Arial"/>
      <family val="2"/>
      <charset val="204"/>
    </font>
    <font>
      <sz val="10"/>
      <name val="Arial"/>
      <family val="2"/>
      <charset val="204"/>
    </font>
    <font>
      <b/>
      <sz val="12"/>
      <name val="Arial"/>
      <family val="2"/>
      <charset val="204"/>
    </font>
    <font>
      <sz val="8"/>
      <name val="Arial"/>
      <family val="2"/>
      <charset val="204"/>
    </font>
    <font>
      <b/>
      <sz val="11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b/>
      <i/>
      <sz val="20"/>
      <color theme="1"/>
      <name val="Calibri"/>
      <family val="2"/>
      <charset val="204"/>
      <scheme val="minor"/>
    </font>
    <font>
      <sz val="12"/>
      <name val="Arial"/>
      <family val="2"/>
      <charset val="204"/>
    </font>
    <font>
      <b/>
      <sz val="12"/>
      <color theme="1"/>
      <name val="Calibri"/>
      <family val="2"/>
      <scheme val="minor"/>
    </font>
    <font>
      <sz val="14"/>
      <name val="Calibri"/>
      <family val="2"/>
      <charset val="204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0">
    <xf numFmtId="0" fontId="0" fillId="0" borderId="0"/>
    <xf numFmtId="0" fontId="8" fillId="0" borderId="0"/>
    <xf numFmtId="0" fontId="4" fillId="0" borderId="0">
      <alignment horizontal="left"/>
    </xf>
    <xf numFmtId="0" fontId="6" fillId="0" borderId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6" fillId="0" borderId="0" applyFont="0" applyFill="0" applyBorder="0" applyAlignment="0" applyProtection="0"/>
    <xf numFmtId="43" fontId="8" fillId="0" borderId="0" applyFont="0" applyFill="0" applyBorder="0" applyAlignment="0" applyProtection="0"/>
  </cellStyleXfs>
  <cellXfs count="115">
    <xf numFmtId="0" fontId="0" fillId="0" borderId="0" xfId="0"/>
    <xf numFmtId="0" fontId="2" fillId="0" borderId="1" xfId="0" applyFont="1" applyBorder="1" applyAlignment="1" applyProtection="1">
      <alignment horizontal="center" vertical="center"/>
      <protection locked="0"/>
    </xf>
    <xf numFmtId="3" fontId="3" fillId="2" borderId="4" xfId="0" applyNumberFormat="1" applyFont="1" applyFill="1" applyBorder="1" applyAlignment="1" applyProtection="1">
      <alignment horizontal="center" vertical="center" wrapText="1"/>
      <protection locked="0"/>
    </xf>
    <xf numFmtId="4" fontId="2" fillId="3" borderId="4" xfId="0" applyNumberFormat="1" applyFont="1" applyFill="1" applyBorder="1" applyAlignment="1">
      <alignment horizontal="right" vertical="center"/>
    </xf>
    <xf numFmtId="4" fontId="2" fillId="4" borderId="4" xfId="0" applyNumberFormat="1" applyFont="1" applyFill="1" applyBorder="1" applyAlignment="1">
      <alignment horizontal="right" vertical="center"/>
    </xf>
    <xf numFmtId="43" fontId="9" fillId="2" borderId="4" xfId="6" applyFont="1" applyFill="1" applyBorder="1" applyAlignment="1" applyProtection="1">
      <alignment horizontal="center" vertical="center"/>
      <protection locked="0"/>
    </xf>
    <xf numFmtId="43" fontId="8" fillId="5" borderId="4" xfId="6" applyFont="1" applyFill="1" applyBorder="1" applyAlignment="1" applyProtection="1">
      <alignment horizontal="right" vertical="center"/>
    </xf>
    <xf numFmtId="4" fontId="2" fillId="4" borderId="5" xfId="0" applyNumberFormat="1" applyFont="1" applyFill="1" applyBorder="1" applyAlignment="1">
      <alignment horizontal="right" vertical="center"/>
    </xf>
    <xf numFmtId="164" fontId="10" fillId="5" borderId="4" xfId="8" applyFont="1" applyFill="1" applyBorder="1"/>
    <xf numFmtId="4" fontId="2" fillId="4" borderId="6" xfId="0" applyNumberFormat="1" applyFont="1" applyFill="1" applyBorder="1" applyAlignment="1">
      <alignment horizontal="right" vertical="center"/>
    </xf>
    <xf numFmtId="0" fontId="1" fillId="4" borderId="7" xfId="0" applyFont="1" applyFill="1" applyBorder="1" applyAlignment="1" applyProtection="1">
      <alignment horizontal="center" vertical="center"/>
      <protection locked="0"/>
    </xf>
    <xf numFmtId="0" fontId="1" fillId="4" borderId="7" xfId="0" applyFont="1" applyFill="1" applyBorder="1" applyAlignment="1" applyProtection="1">
      <alignment horizontal="center" vertical="center" wrapText="1"/>
      <protection locked="0"/>
    </xf>
    <xf numFmtId="43" fontId="8" fillId="5" borderId="0" xfId="6" applyFont="1" applyFill="1" applyBorder="1" applyAlignment="1" applyProtection="1">
      <alignment horizontal="right" vertical="center"/>
    </xf>
    <xf numFmtId="4" fontId="2" fillId="3" borderId="0" xfId="0" applyNumberFormat="1" applyFont="1" applyFill="1" applyAlignment="1">
      <alignment horizontal="right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0" fontId="10" fillId="2" borderId="4" xfId="0" applyFont="1" applyFill="1" applyBorder="1" applyAlignment="1">
      <alignment wrapText="1"/>
    </xf>
    <xf numFmtId="4" fontId="0" fillId="0" borderId="0" xfId="0" applyNumberFormat="1"/>
    <xf numFmtId="0" fontId="11" fillId="7" borderId="0" xfId="0" applyFont="1" applyFill="1" applyAlignment="1">
      <alignment wrapText="1"/>
    </xf>
    <xf numFmtId="0" fontId="0" fillId="0" borderId="0" xfId="0" applyAlignment="1">
      <alignment horizontal="right" vertical="center"/>
    </xf>
    <xf numFmtId="4" fontId="2" fillId="3" borderId="6" xfId="0" applyNumberFormat="1" applyFont="1" applyFill="1" applyBorder="1" applyAlignment="1">
      <alignment horizontal="right" vertical="center"/>
    </xf>
    <xf numFmtId="43" fontId="8" fillId="5" borderId="9" xfId="6" applyFont="1" applyFill="1" applyBorder="1" applyAlignment="1" applyProtection="1">
      <alignment horizontal="right" vertical="center"/>
    </xf>
    <xf numFmtId="4" fontId="2" fillId="9" borderId="4" xfId="0" applyNumberFormat="1" applyFont="1" applyFill="1" applyBorder="1" applyAlignment="1">
      <alignment horizontal="right" vertical="center"/>
    </xf>
    <xf numFmtId="4" fontId="2" fillId="4" borderId="8" xfId="0" applyNumberFormat="1" applyFont="1" applyFill="1" applyBorder="1" applyAlignment="1">
      <alignment horizontal="right" vertical="center"/>
    </xf>
    <xf numFmtId="4" fontId="2" fillId="3" borderId="8" xfId="0" applyNumberFormat="1" applyFont="1" applyFill="1" applyBorder="1" applyAlignment="1">
      <alignment horizontal="right" vertical="center"/>
    </xf>
    <xf numFmtId="4" fontId="2" fillId="4" borderId="12" xfId="0" applyNumberFormat="1" applyFont="1" applyFill="1" applyBorder="1" applyAlignment="1">
      <alignment horizontal="right" vertical="center"/>
    </xf>
    <xf numFmtId="0" fontId="1" fillId="4" borderId="14" xfId="0" applyFont="1" applyFill="1" applyBorder="1" applyAlignment="1" applyProtection="1">
      <alignment horizontal="center" vertical="center" wrapText="1"/>
      <protection locked="0"/>
    </xf>
    <xf numFmtId="0" fontId="2" fillId="0" borderId="2" xfId="0" applyFont="1" applyBorder="1" applyAlignment="1" applyProtection="1">
      <alignment horizontal="center" vertical="center"/>
      <protection locked="0"/>
    </xf>
    <xf numFmtId="0" fontId="10" fillId="2" borderId="3" xfId="0" applyFont="1" applyFill="1" applyBorder="1" applyAlignment="1" applyProtection="1">
      <alignment wrapText="1"/>
      <protection locked="0"/>
    </xf>
    <xf numFmtId="3" fontId="3" fillId="2" borderId="3" xfId="0" applyNumberFormat="1" applyFont="1" applyFill="1" applyBorder="1" applyAlignment="1" applyProtection="1">
      <alignment horizontal="center" vertical="center" wrapText="1"/>
      <protection locked="0"/>
    </xf>
    <xf numFmtId="43" fontId="9" fillId="2" borderId="17" xfId="6" applyFont="1" applyFill="1" applyBorder="1" applyAlignment="1" applyProtection="1">
      <alignment horizontal="center" vertical="center"/>
      <protection locked="0"/>
    </xf>
    <xf numFmtId="4" fontId="2" fillId="4" borderId="2" xfId="0" applyNumberFormat="1" applyFont="1" applyFill="1" applyBorder="1" applyAlignment="1">
      <alignment horizontal="right" vertical="center"/>
    </xf>
    <xf numFmtId="4" fontId="2" fillId="4" borderId="3" xfId="0" applyNumberFormat="1" applyFont="1" applyFill="1" applyBorder="1" applyAlignment="1">
      <alignment horizontal="right" vertical="center"/>
    </xf>
    <xf numFmtId="4" fontId="2" fillId="3" borderId="3" xfId="0" applyNumberFormat="1" applyFont="1" applyFill="1" applyBorder="1" applyAlignment="1">
      <alignment horizontal="right" vertical="center"/>
    </xf>
    <xf numFmtId="4" fontId="0" fillId="6" borderId="3" xfId="0" applyNumberFormat="1" applyFill="1" applyBorder="1" applyAlignment="1">
      <alignment horizontal="right" vertical="center"/>
    </xf>
    <xf numFmtId="0" fontId="12" fillId="0" borderId="0" xfId="0" applyFont="1"/>
    <xf numFmtId="0" fontId="10" fillId="2" borderId="4" xfId="0" applyFont="1" applyFill="1" applyBorder="1"/>
    <xf numFmtId="0" fontId="0" fillId="2" borderId="4" xfId="0" applyFill="1" applyBorder="1"/>
    <xf numFmtId="0" fontId="10" fillId="2" borderId="4" xfId="0" applyFont="1" applyFill="1" applyBorder="1" applyProtection="1">
      <protection locked="0"/>
    </xf>
    <xf numFmtId="0" fontId="0" fillId="2" borderId="4" xfId="0" applyFill="1" applyBorder="1" applyAlignment="1">
      <alignment horizontal="left"/>
    </xf>
    <xf numFmtId="4" fontId="2" fillId="9" borderId="12" xfId="0" applyNumberFormat="1" applyFont="1" applyFill="1" applyBorder="1" applyAlignment="1">
      <alignment horizontal="right" vertical="center"/>
    </xf>
    <xf numFmtId="4" fontId="2" fillId="8" borderId="12" xfId="0" applyNumberFormat="1" applyFont="1" applyFill="1" applyBorder="1" applyAlignment="1">
      <alignment horizontal="right" vertical="center"/>
    </xf>
    <xf numFmtId="165" fontId="2" fillId="4" borderId="4" xfId="0" applyNumberFormat="1" applyFont="1" applyFill="1" applyBorder="1" applyAlignment="1">
      <alignment horizontal="right" vertical="center"/>
    </xf>
    <xf numFmtId="4" fontId="3" fillId="8" borderId="12" xfId="0" applyNumberFormat="1" applyFont="1" applyFill="1" applyBorder="1" applyAlignment="1">
      <alignment horizontal="right" vertical="center"/>
    </xf>
    <xf numFmtId="3" fontId="2" fillId="4" borderId="4" xfId="0" applyNumberFormat="1" applyFont="1" applyFill="1" applyBorder="1" applyAlignment="1">
      <alignment horizontal="right" vertical="center"/>
    </xf>
    <xf numFmtId="4" fontId="0" fillId="6" borderId="6" xfId="0" applyNumberFormat="1" applyFill="1" applyBorder="1" applyAlignment="1">
      <alignment horizontal="right" vertical="center"/>
    </xf>
    <xf numFmtId="2" fontId="0" fillId="8" borderId="13" xfId="0" applyNumberFormat="1" applyFill="1" applyBorder="1" applyAlignment="1">
      <alignment horizontal="center" vertical="center"/>
    </xf>
    <xf numFmtId="2" fontId="0" fillId="8" borderId="4" xfId="0" applyNumberFormat="1" applyFill="1" applyBorder="1" applyAlignment="1">
      <alignment horizontal="right" vertical="center"/>
    </xf>
    <xf numFmtId="0" fontId="2" fillId="0" borderId="4" xfId="0" applyFont="1" applyBorder="1" applyAlignment="1" applyProtection="1">
      <alignment horizontal="center" vertical="center"/>
      <protection locked="0"/>
    </xf>
    <xf numFmtId="0" fontId="8" fillId="2" borderId="4" xfId="1" applyFill="1" applyBorder="1" applyAlignment="1">
      <alignment horizontal="left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24" xfId="0" applyFont="1" applyBorder="1" applyAlignment="1" applyProtection="1">
      <alignment horizontal="center" vertical="center"/>
      <protection locked="0"/>
    </xf>
    <xf numFmtId="3" fontId="13" fillId="2" borderId="4" xfId="0" applyNumberFormat="1" applyFont="1" applyFill="1" applyBorder="1" applyAlignment="1" applyProtection="1">
      <alignment horizontal="right" vertical="center"/>
      <protection locked="0"/>
    </xf>
    <xf numFmtId="3" fontId="10" fillId="2" borderId="4" xfId="6" applyNumberFormat="1" applyFont="1" applyFill="1" applyBorder="1" applyAlignment="1" applyProtection="1">
      <alignment horizontal="right" vertical="center"/>
      <protection locked="0"/>
    </xf>
    <xf numFmtId="3" fontId="2" fillId="3" borderId="4" xfId="0" applyNumberFormat="1" applyFont="1" applyFill="1" applyBorder="1" applyAlignment="1">
      <alignment horizontal="right" vertical="center"/>
    </xf>
    <xf numFmtId="0" fontId="0" fillId="0" borderId="4" xfId="0" applyBorder="1" applyAlignment="1">
      <alignment horizontal="center" vertical="center"/>
    </xf>
    <xf numFmtId="3" fontId="0" fillId="0" borderId="4" xfId="0" applyNumberFormat="1" applyBorder="1"/>
    <xf numFmtId="3" fontId="14" fillId="0" borderId="0" xfId="0" applyNumberFormat="1" applyFont="1"/>
    <xf numFmtId="0" fontId="10" fillId="2" borderId="0" xfId="0" applyFont="1" applyFill="1" applyProtection="1">
      <protection locked="0"/>
    </xf>
    <xf numFmtId="0" fontId="15" fillId="2" borderId="0" xfId="0" applyFont="1" applyFill="1" applyProtection="1">
      <protection locked="0"/>
    </xf>
    <xf numFmtId="166" fontId="16" fillId="0" borderId="0" xfId="0" applyNumberFormat="1" applyFont="1"/>
    <xf numFmtId="10" fontId="0" fillId="0" borderId="0" xfId="4" applyNumberFormat="1" applyFont="1"/>
    <xf numFmtId="10" fontId="0" fillId="0" borderId="0" xfId="4" applyNumberFormat="1" applyFont="1" applyAlignment="1">
      <alignment horizontal="right" vertical="center"/>
    </xf>
    <xf numFmtId="3" fontId="0" fillId="0" borderId="0" xfId="0" applyNumberFormat="1"/>
    <xf numFmtId="0" fontId="0" fillId="7" borderId="0" xfId="0" applyFill="1"/>
    <xf numFmtId="0" fontId="10" fillId="7" borderId="0" xfId="0" applyFont="1" applyFill="1" applyProtection="1">
      <protection locked="0"/>
    </xf>
    <xf numFmtId="9" fontId="0" fillId="7" borderId="0" xfId="0" applyNumberFormat="1" applyFill="1"/>
    <xf numFmtId="10" fontId="0" fillId="7" borderId="0" xfId="0" applyNumberFormat="1" applyFill="1"/>
    <xf numFmtId="165" fontId="0" fillId="0" borderId="0" xfId="0" applyNumberFormat="1"/>
    <xf numFmtId="43" fontId="7" fillId="0" borderId="0" xfId="6" applyFont="1"/>
    <xf numFmtId="0" fontId="1" fillId="2" borderId="10" xfId="0" applyFont="1" applyFill="1" applyBorder="1" applyAlignment="1" applyProtection="1">
      <alignment horizontal="center" vertical="center"/>
      <protection locked="0"/>
    </xf>
    <xf numFmtId="0" fontId="1" fillId="2" borderId="27" xfId="0" applyFont="1" applyFill="1" applyBorder="1" applyAlignment="1" applyProtection="1">
      <alignment horizontal="center" vertical="center"/>
      <protection locked="0"/>
    </xf>
    <xf numFmtId="0" fontId="1" fillId="3" borderId="10" xfId="0" applyFont="1" applyFill="1" applyBorder="1" applyAlignment="1" applyProtection="1">
      <alignment horizontal="center" vertical="center" wrapText="1"/>
      <protection locked="0"/>
    </xf>
    <xf numFmtId="0" fontId="17" fillId="4" borderId="25" xfId="0" applyFont="1" applyFill="1" applyBorder="1" applyAlignment="1" applyProtection="1">
      <alignment horizontal="center"/>
      <protection locked="0"/>
    </xf>
    <xf numFmtId="0" fontId="17" fillId="4" borderId="26" xfId="0" applyFont="1" applyFill="1" applyBorder="1" applyAlignment="1" applyProtection="1">
      <alignment horizontal="center"/>
      <protection locked="0"/>
    </xf>
    <xf numFmtId="0" fontId="0" fillId="4" borderId="28" xfId="0" applyFill="1" applyBorder="1" applyAlignment="1">
      <alignment horizontal="center"/>
    </xf>
    <xf numFmtId="0" fontId="0" fillId="4" borderId="29" xfId="0" applyFill="1" applyBorder="1" applyAlignment="1">
      <alignment horizontal="center"/>
    </xf>
    <xf numFmtId="0" fontId="0" fillId="4" borderId="30" xfId="0" applyFill="1" applyBorder="1" applyAlignment="1">
      <alignment horizontal="center"/>
    </xf>
    <xf numFmtId="4" fontId="2" fillId="0" borderId="5" xfId="0" applyNumberFormat="1" applyFont="1" applyBorder="1" applyAlignment="1">
      <alignment horizontal="center" vertical="center"/>
    </xf>
    <xf numFmtId="4" fontId="2" fillId="0" borderId="10" xfId="0" applyNumberFormat="1" applyFont="1" applyBorder="1" applyAlignment="1">
      <alignment horizontal="center" vertical="center"/>
    </xf>
    <xf numFmtId="4" fontId="2" fillId="0" borderId="14" xfId="0" applyNumberFormat="1" applyFont="1" applyBorder="1" applyAlignment="1">
      <alignment horizontal="center" vertical="center"/>
    </xf>
    <xf numFmtId="166" fontId="1" fillId="8" borderId="21" xfId="0" applyNumberFormat="1" applyFont="1" applyFill="1" applyBorder="1" applyAlignment="1">
      <alignment horizontal="center" vertical="center"/>
    </xf>
    <xf numFmtId="166" fontId="1" fillId="8" borderId="22" xfId="0" applyNumberFormat="1" applyFont="1" applyFill="1" applyBorder="1" applyAlignment="1">
      <alignment horizontal="center" vertical="center"/>
    </xf>
    <xf numFmtId="166" fontId="5" fillId="8" borderId="14" xfId="0" applyNumberFormat="1" applyFont="1" applyFill="1" applyBorder="1" applyAlignment="1">
      <alignment horizontal="center" vertical="center"/>
    </xf>
    <xf numFmtId="166" fontId="5" fillId="8" borderId="3" xfId="0" applyNumberFormat="1" applyFont="1" applyFill="1" applyBorder="1" applyAlignment="1">
      <alignment horizontal="center" vertical="center"/>
    </xf>
    <xf numFmtId="0" fontId="7" fillId="6" borderId="14" xfId="0" applyFont="1" applyFill="1" applyBorder="1" applyAlignment="1" applyProtection="1">
      <alignment horizontal="center" vertical="center" wrapText="1"/>
      <protection locked="0"/>
    </xf>
    <xf numFmtId="0" fontId="7" fillId="6" borderId="13" xfId="0" applyFont="1" applyFill="1" applyBorder="1" applyAlignment="1" applyProtection="1">
      <alignment horizontal="center" vertical="center" wrapText="1"/>
      <protection locked="0"/>
    </xf>
    <xf numFmtId="0" fontId="1" fillId="4" borderId="14" xfId="0" applyFont="1" applyFill="1" applyBorder="1" applyAlignment="1" applyProtection="1">
      <alignment horizontal="center" vertical="center" wrapText="1"/>
      <protection locked="0"/>
    </xf>
    <xf numFmtId="0" fontId="1" fillId="4" borderId="12" xfId="0" applyFont="1" applyFill="1" applyBorder="1" applyAlignment="1" applyProtection="1">
      <alignment horizontal="center" vertical="center" wrapText="1"/>
      <protection locked="0"/>
    </xf>
    <xf numFmtId="0" fontId="1" fillId="4" borderId="14" xfId="0" applyFont="1" applyFill="1" applyBorder="1" applyAlignment="1" applyProtection="1">
      <alignment horizontal="center" vertical="center"/>
      <protection locked="0"/>
    </xf>
    <xf numFmtId="0" fontId="1" fillId="3" borderId="14" xfId="0" applyFont="1" applyFill="1" applyBorder="1" applyAlignment="1" applyProtection="1">
      <alignment horizontal="center" vertical="center" wrapText="1"/>
      <protection locked="0"/>
    </xf>
    <xf numFmtId="0" fontId="1" fillId="3" borderId="12" xfId="0" applyFont="1" applyFill="1" applyBorder="1" applyAlignment="1" applyProtection="1">
      <alignment horizontal="center" vertical="center" wrapText="1"/>
      <protection locked="0"/>
    </xf>
    <xf numFmtId="0" fontId="1" fillId="9" borderId="14" xfId="0" applyFont="1" applyFill="1" applyBorder="1" applyAlignment="1" applyProtection="1">
      <alignment horizontal="center" vertical="center" wrapText="1"/>
      <protection locked="0"/>
    </xf>
    <xf numFmtId="0" fontId="1" fillId="9" borderId="10" xfId="0" applyFont="1" applyFill="1" applyBorder="1" applyAlignment="1" applyProtection="1">
      <alignment horizontal="center" vertical="center" wrapText="1"/>
      <protection locked="0"/>
    </xf>
    <xf numFmtId="0" fontId="1" fillId="8" borderId="14" xfId="0" applyFont="1" applyFill="1" applyBorder="1" applyAlignment="1" applyProtection="1">
      <alignment horizontal="center" vertical="center" wrapText="1"/>
      <protection locked="0"/>
    </xf>
    <xf numFmtId="0" fontId="1" fillId="8" borderId="10" xfId="0" applyFont="1" applyFill="1" applyBorder="1" applyAlignment="1" applyProtection="1">
      <alignment horizontal="center" vertical="center" wrapText="1"/>
      <protection locked="0"/>
    </xf>
    <xf numFmtId="0" fontId="1" fillId="8" borderId="12" xfId="0" applyFont="1" applyFill="1" applyBorder="1" applyAlignment="1" applyProtection="1">
      <alignment horizontal="center" vertical="center" wrapText="1"/>
      <protection locked="0"/>
    </xf>
    <xf numFmtId="167" fontId="2" fillId="0" borderId="5" xfId="0" applyNumberFormat="1" applyFont="1" applyBorder="1" applyAlignment="1">
      <alignment horizontal="center" vertical="center"/>
    </xf>
    <xf numFmtId="167" fontId="2" fillId="0" borderId="10" xfId="0" applyNumberFormat="1" applyFont="1" applyBorder="1" applyAlignment="1">
      <alignment horizontal="center" vertical="center"/>
    </xf>
    <xf numFmtId="167" fontId="2" fillId="0" borderId="14" xfId="0" applyNumberFormat="1" applyFont="1" applyBorder="1" applyAlignment="1">
      <alignment horizontal="center" vertical="center"/>
    </xf>
    <xf numFmtId="0" fontId="1" fillId="8" borderId="16" xfId="0" applyFont="1" applyFill="1" applyBorder="1" applyAlignment="1" applyProtection="1">
      <alignment horizontal="center" vertical="center" wrapText="1"/>
      <protection locked="0"/>
    </xf>
    <xf numFmtId="0" fontId="1" fillId="8" borderId="19" xfId="0" applyFont="1" applyFill="1" applyBorder="1" applyAlignment="1" applyProtection="1">
      <alignment horizontal="center" vertical="center" wrapText="1"/>
      <protection locked="0"/>
    </xf>
    <xf numFmtId="0" fontId="1" fillId="3" borderId="20" xfId="0" applyFont="1" applyFill="1" applyBorder="1" applyAlignment="1" applyProtection="1">
      <alignment horizontal="center" vertical="center"/>
      <protection locked="0"/>
    </xf>
    <xf numFmtId="0" fontId="1" fillId="3" borderId="12" xfId="0" applyFont="1" applyFill="1" applyBorder="1" applyAlignment="1" applyProtection="1">
      <alignment horizontal="center" vertical="center"/>
      <protection locked="0"/>
    </xf>
    <xf numFmtId="0" fontId="1" fillId="4" borderId="15" xfId="0" applyFont="1" applyFill="1" applyBorder="1" applyAlignment="1" applyProtection="1">
      <alignment horizontal="center" vertical="center"/>
      <protection locked="0"/>
    </xf>
    <xf numFmtId="0" fontId="1" fillId="4" borderId="12" xfId="0" applyFont="1" applyFill="1" applyBorder="1" applyAlignment="1" applyProtection="1">
      <alignment horizontal="center" vertical="center"/>
      <protection locked="0"/>
    </xf>
    <xf numFmtId="0" fontId="1" fillId="0" borderId="15" xfId="0" applyFont="1" applyBorder="1" applyAlignment="1" applyProtection="1">
      <alignment horizontal="center" vertical="center"/>
      <protection locked="0"/>
    </xf>
    <xf numFmtId="0" fontId="1" fillId="0" borderId="11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 wrapText="1"/>
      <protection locked="0"/>
    </xf>
    <xf numFmtId="0" fontId="1" fillId="2" borderId="14" xfId="0" applyFont="1" applyFill="1" applyBorder="1" applyAlignment="1" applyProtection="1">
      <alignment horizontal="center" vertical="center"/>
      <protection locked="0"/>
    </xf>
    <xf numFmtId="0" fontId="1" fillId="2" borderId="12" xfId="0" applyFont="1" applyFill="1" applyBorder="1" applyAlignment="1" applyProtection="1">
      <alignment horizontal="center" vertical="center"/>
      <protection locked="0"/>
    </xf>
    <xf numFmtId="0" fontId="1" fillId="2" borderId="16" xfId="0" applyFont="1" applyFill="1" applyBorder="1" applyAlignment="1" applyProtection="1">
      <alignment horizontal="center" vertical="center"/>
      <protection locked="0"/>
    </xf>
    <xf numFmtId="0" fontId="1" fillId="5" borderId="18" xfId="0" applyFont="1" applyFill="1" applyBorder="1" applyAlignment="1" applyProtection="1">
      <alignment horizontal="center" vertical="center"/>
      <protection locked="0"/>
    </xf>
    <xf numFmtId="0" fontId="1" fillId="5" borderId="12" xfId="0" applyFont="1" applyFill="1" applyBorder="1" applyAlignment="1" applyProtection="1">
      <alignment horizontal="center" vertical="center"/>
      <protection locked="0"/>
    </xf>
  </cellXfs>
  <cellStyles count="10">
    <cellStyle name="Обычный" xfId="0" builtinId="0"/>
    <cellStyle name="Обычный 2" xfId="1" xr:uid="{00000000-0005-0000-0000-000001000000}"/>
    <cellStyle name="Обычный 2 2" xfId="2" xr:uid="{00000000-0005-0000-0000-000002000000}"/>
    <cellStyle name="Обычный 3" xfId="3" xr:uid="{00000000-0005-0000-0000-000003000000}"/>
    <cellStyle name="Процентный" xfId="4" builtinId="5"/>
    <cellStyle name="Процентный 2" xfId="5" xr:uid="{00000000-0005-0000-0000-000005000000}"/>
    <cellStyle name="Финансовый" xfId="6" builtinId="3"/>
    <cellStyle name="Финансовый 2" xfId="7" xr:uid="{00000000-0005-0000-0000-000007000000}"/>
    <cellStyle name="Финансовый 2 2" xfId="8" xr:uid="{00000000-0005-0000-0000-000008000000}"/>
    <cellStyle name="Финансовый 3" xfId="9" xr:uid="{00000000-0005-0000-0000-000009000000}"/>
  </cellStyles>
  <dxfs count="1">
    <dxf>
      <font>
        <b/>
        <i val="0"/>
        <color rgb="FFFF0000"/>
      </font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G52"/>
  <sheetViews>
    <sheetView tabSelected="1" zoomScale="136" workbookViewId="0">
      <pane ySplit="8" topLeftCell="A9" activePane="bottomLeft" state="frozen"/>
      <selection pane="bottomLeft" activeCell="C12" sqref="C12"/>
    </sheetView>
  </sheetViews>
  <sheetFormatPr defaultColWidth="11" defaultRowHeight="15" x14ac:dyDescent="0.25"/>
  <cols>
    <col min="1" max="1" width="8" bestFit="1" customWidth="1"/>
    <col min="2" max="2" width="43.7109375" bestFit="1" customWidth="1"/>
    <col min="3" max="3" width="16.85546875" bestFit="1" customWidth="1"/>
    <col min="4" max="4" width="11.140625" bestFit="1" customWidth="1"/>
    <col min="5" max="5" width="16.28515625" customWidth="1"/>
    <col min="6" max="6" width="17" bestFit="1" customWidth="1"/>
  </cols>
  <sheetData>
    <row r="1" spans="1:6" ht="15.95" customHeight="1" x14ac:dyDescent="0.3">
      <c r="B1" s="59" t="s">
        <v>76</v>
      </c>
      <c r="C1" s="60">
        <f>Бухгалтерия!Z4</f>
        <v>0</v>
      </c>
      <c r="D1" s="61" t="e">
        <f>C1/F49</f>
        <v>#DIV/0!</v>
      </c>
      <c r="F1" s="60">
        <f>SUBTOTAL(9,F9:F48)</f>
        <v>0</v>
      </c>
    </row>
    <row r="2" spans="1:6" ht="15.95" customHeight="1" x14ac:dyDescent="0.25">
      <c r="B2" s="58" t="s">
        <v>74</v>
      </c>
      <c r="C2" s="66">
        <v>0.05</v>
      </c>
    </row>
    <row r="3" spans="1:6" ht="15.95" customHeight="1" x14ac:dyDescent="0.25">
      <c r="B3" s="58" t="s">
        <v>75</v>
      </c>
      <c r="C3" s="67">
        <v>0</v>
      </c>
    </row>
    <row r="4" spans="1:6" ht="15.95" customHeight="1" x14ac:dyDescent="0.25">
      <c r="B4" s="65" t="s">
        <v>87</v>
      </c>
    </row>
    <row r="5" spans="1:6" ht="15.95" customHeight="1" thickBot="1" x14ac:dyDescent="0.3">
      <c r="B5" s="58" t="s">
        <v>77</v>
      </c>
      <c r="C5" s="64" t="s">
        <v>86</v>
      </c>
    </row>
    <row r="6" spans="1:6" ht="15.95" customHeight="1" thickBot="1" x14ac:dyDescent="0.35">
      <c r="B6" s="73" t="s">
        <v>89</v>
      </c>
      <c r="C6" s="75"/>
      <c r="D6" s="76"/>
      <c r="E6" s="77"/>
    </row>
    <row r="7" spans="1:6" ht="15.95" customHeight="1" thickBot="1" x14ac:dyDescent="0.35">
      <c r="B7" s="74" t="s">
        <v>90</v>
      </c>
      <c r="C7" s="75"/>
      <c r="D7" s="76"/>
      <c r="E7" s="77"/>
    </row>
    <row r="8" spans="1:6" ht="25.5" x14ac:dyDescent="0.25">
      <c r="A8" s="50" t="s">
        <v>0</v>
      </c>
      <c r="B8" s="51" t="s">
        <v>5</v>
      </c>
      <c r="C8" s="70" t="s">
        <v>1</v>
      </c>
      <c r="D8" s="71" t="s">
        <v>4</v>
      </c>
      <c r="E8" s="72" t="s">
        <v>73</v>
      </c>
      <c r="F8" s="55" t="s">
        <v>3</v>
      </c>
    </row>
    <row r="9" spans="1:6" hidden="1" x14ac:dyDescent="0.25">
      <c r="A9" s="48">
        <v>1</v>
      </c>
      <c r="B9" s="36" t="s">
        <v>29</v>
      </c>
      <c r="C9" s="52"/>
      <c r="D9" s="53"/>
      <c r="E9" s="54">
        <f>Бухгалтерия!U4</f>
        <v>12500</v>
      </c>
      <c r="F9" s="56">
        <f>C9*D9</f>
        <v>0</v>
      </c>
    </row>
    <row r="10" spans="1:6" hidden="1" x14ac:dyDescent="0.25">
      <c r="A10" s="48">
        <v>2</v>
      </c>
      <c r="B10" s="37" t="s">
        <v>28</v>
      </c>
      <c r="C10" s="52"/>
      <c r="D10" s="53"/>
      <c r="E10" s="54">
        <f>Бухгалтерия!U5</f>
        <v>13350</v>
      </c>
      <c r="F10" s="56">
        <f t="shared" ref="F10:F48" si="0">C10*D10</f>
        <v>0</v>
      </c>
    </row>
    <row r="11" spans="1:6" hidden="1" x14ac:dyDescent="0.25">
      <c r="A11" s="48">
        <v>3</v>
      </c>
      <c r="B11" s="36" t="s">
        <v>30</v>
      </c>
      <c r="C11" s="52"/>
      <c r="D11" s="53"/>
      <c r="E11" s="54">
        <f>Бухгалтерия!U6</f>
        <v>14850</v>
      </c>
      <c r="F11" s="56">
        <f t="shared" si="0"/>
        <v>0</v>
      </c>
    </row>
    <row r="12" spans="1:6" x14ac:dyDescent="0.25">
      <c r="A12" s="48">
        <v>4</v>
      </c>
      <c r="B12" s="36" t="s">
        <v>60</v>
      </c>
      <c r="C12" s="52"/>
      <c r="D12" s="53">
        <v>35000</v>
      </c>
      <c r="E12" s="54">
        <f>Бухгалтерия!U7</f>
        <v>18950</v>
      </c>
      <c r="F12" s="56">
        <f t="shared" si="0"/>
        <v>0</v>
      </c>
    </row>
    <row r="13" spans="1:6" hidden="1" x14ac:dyDescent="0.25">
      <c r="A13" s="48">
        <v>5</v>
      </c>
      <c r="B13" s="36" t="s">
        <v>52</v>
      </c>
      <c r="C13" s="52"/>
      <c r="D13" s="53"/>
      <c r="E13" s="54">
        <f>Бухгалтерия!U8</f>
        <v>220000</v>
      </c>
      <c r="F13" s="56">
        <f t="shared" si="0"/>
        <v>0</v>
      </c>
    </row>
    <row r="14" spans="1:6" hidden="1" x14ac:dyDescent="0.25">
      <c r="A14" s="48">
        <v>6</v>
      </c>
      <c r="B14" s="36" t="s">
        <v>31</v>
      </c>
      <c r="C14" s="52"/>
      <c r="D14" s="53"/>
      <c r="E14" s="54">
        <f>Бухгалтерия!U9</f>
        <v>48000</v>
      </c>
      <c r="F14" s="56">
        <f t="shared" si="0"/>
        <v>0</v>
      </c>
    </row>
    <row r="15" spans="1:6" hidden="1" x14ac:dyDescent="0.25">
      <c r="A15" s="48">
        <v>7</v>
      </c>
      <c r="B15" s="36" t="s">
        <v>32</v>
      </c>
      <c r="C15" s="52"/>
      <c r="D15" s="53"/>
      <c r="E15" s="54">
        <f>Бухгалтерия!U10</f>
        <v>7100</v>
      </c>
      <c r="F15" s="56">
        <f t="shared" si="0"/>
        <v>0</v>
      </c>
    </row>
    <row r="16" spans="1:6" hidden="1" x14ac:dyDescent="0.25">
      <c r="A16" s="48">
        <v>8</v>
      </c>
      <c r="B16" s="38" t="s">
        <v>33</v>
      </c>
      <c r="C16" s="52"/>
      <c r="D16" s="53"/>
      <c r="E16" s="54">
        <f>Бухгалтерия!U11</f>
        <v>80000</v>
      </c>
      <c r="F16" s="56">
        <f t="shared" si="0"/>
        <v>0</v>
      </c>
    </row>
    <row r="17" spans="1:6" x14ac:dyDescent="0.25">
      <c r="A17" s="48">
        <v>9</v>
      </c>
      <c r="B17" s="38" t="s">
        <v>34</v>
      </c>
      <c r="C17" s="52"/>
      <c r="D17" s="53">
        <v>75000</v>
      </c>
      <c r="E17" s="54">
        <f>Бухгалтерия!U12</f>
        <v>37750</v>
      </c>
      <c r="F17" s="56">
        <f t="shared" si="0"/>
        <v>0</v>
      </c>
    </row>
    <row r="18" spans="1:6" hidden="1" x14ac:dyDescent="0.25">
      <c r="A18" s="48">
        <v>10</v>
      </c>
      <c r="B18" s="38" t="s">
        <v>35</v>
      </c>
      <c r="C18" s="52"/>
      <c r="D18" s="53"/>
      <c r="E18" s="54">
        <f>Бухгалтерия!U13</f>
        <v>7000</v>
      </c>
      <c r="F18" s="56">
        <f t="shared" si="0"/>
        <v>0</v>
      </c>
    </row>
    <row r="19" spans="1:6" x14ac:dyDescent="0.25">
      <c r="A19" s="48">
        <v>11</v>
      </c>
      <c r="B19" s="39" t="s">
        <v>59</v>
      </c>
      <c r="C19" s="52"/>
      <c r="D19" s="53">
        <v>50000</v>
      </c>
      <c r="E19" s="54">
        <f>Бухгалтерия!U14</f>
        <v>26500</v>
      </c>
      <c r="F19" s="56">
        <f t="shared" si="0"/>
        <v>0</v>
      </c>
    </row>
    <row r="20" spans="1:6" hidden="1" x14ac:dyDescent="0.25">
      <c r="A20" s="48">
        <v>12</v>
      </c>
      <c r="B20" s="38" t="s">
        <v>25</v>
      </c>
      <c r="C20" s="52"/>
      <c r="D20" s="53"/>
      <c r="E20" s="54">
        <f>Бухгалтерия!U15</f>
        <v>25000</v>
      </c>
      <c r="F20" s="56">
        <f t="shared" si="0"/>
        <v>0</v>
      </c>
    </row>
    <row r="21" spans="1:6" hidden="1" x14ac:dyDescent="0.25">
      <c r="A21" s="48">
        <v>13</v>
      </c>
      <c r="B21" s="38" t="s">
        <v>50</v>
      </c>
      <c r="C21" s="52"/>
      <c r="D21" s="53"/>
      <c r="E21" s="54">
        <f>Бухгалтерия!U16</f>
        <v>22400</v>
      </c>
      <c r="F21" s="56">
        <f t="shared" si="0"/>
        <v>0</v>
      </c>
    </row>
    <row r="22" spans="1:6" x14ac:dyDescent="0.25">
      <c r="A22" s="48">
        <v>14</v>
      </c>
      <c r="B22" s="38" t="s">
        <v>36</v>
      </c>
      <c r="C22" s="52"/>
      <c r="D22" s="53">
        <v>35000</v>
      </c>
      <c r="E22" s="54">
        <v>18950</v>
      </c>
      <c r="F22" s="56">
        <f t="shared" si="0"/>
        <v>0</v>
      </c>
    </row>
    <row r="23" spans="1:6" hidden="1" x14ac:dyDescent="0.25">
      <c r="A23" s="48">
        <v>15</v>
      </c>
      <c r="B23" s="38" t="s">
        <v>51</v>
      </c>
      <c r="C23" s="52"/>
      <c r="D23" s="53"/>
      <c r="E23" s="54">
        <f>Бухгалтерия!U18</f>
        <v>20000</v>
      </c>
      <c r="F23" s="56">
        <f t="shared" si="0"/>
        <v>0</v>
      </c>
    </row>
    <row r="24" spans="1:6" hidden="1" x14ac:dyDescent="0.25">
      <c r="A24" s="48">
        <v>16</v>
      </c>
      <c r="B24" s="38" t="s">
        <v>53</v>
      </c>
      <c r="C24" s="52"/>
      <c r="D24" s="53"/>
      <c r="E24" s="54">
        <f>Бухгалтерия!U19</f>
        <v>66000</v>
      </c>
      <c r="F24" s="56">
        <f t="shared" si="0"/>
        <v>0</v>
      </c>
    </row>
    <row r="25" spans="1:6" ht="15" hidden="1" customHeight="1" x14ac:dyDescent="0.25">
      <c r="A25" s="48">
        <v>17</v>
      </c>
      <c r="B25" s="38" t="s">
        <v>37</v>
      </c>
      <c r="C25" s="52"/>
      <c r="D25" s="53"/>
      <c r="E25" s="54">
        <f>Бухгалтерия!U20</f>
        <v>11500</v>
      </c>
      <c r="F25" s="56">
        <f t="shared" si="0"/>
        <v>0</v>
      </c>
    </row>
    <row r="26" spans="1:6" hidden="1" x14ac:dyDescent="0.25">
      <c r="A26" s="48">
        <v>18</v>
      </c>
      <c r="B26" s="38" t="s">
        <v>38</v>
      </c>
      <c r="C26" s="52"/>
      <c r="D26" s="53"/>
      <c r="E26" s="54">
        <f>Бухгалтерия!U21</f>
        <v>25000</v>
      </c>
      <c r="F26" s="56">
        <f t="shared" si="0"/>
        <v>0</v>
      </c>
    </row>
    <row r="27" spans="1:6" hidden="1" x14ac:dyDescent="0.25">
      <c r="A27" s="48">
        <v>19</v>
      </c>
      <c r="B27" s="38" t="s">
        <v>46</v>
      </c>
      <c r="C27" s="52"/>
      <c r="D27" s="53"/>
      <c r="E27" s="54">
        <f>Бухгалтерия!U22</f>
        <v>43200</v>
      </c>
      <c r="F27" s="56">
        <f t="shared" si="0"/>
        <v>0</v>
      </c>
    </row>
    <row r="28" spans="1:6" hidden="1" x14ac:dyDescent="0.25">
      <c r="A28" s="48">
        <v>20</v>
      </c>
      <c r="B28" s="38" t="s">
        <v>39</v>
      </c>
      <c r="C28" s="52"/>
      <c r="D28" s="53"/>
      <c r="E28" s="54">
        <f>Бухгалтерия!U23</f>
        <v>6000</v>
      </c>
      <c r="F28" s="56">
        <f t="shared" si="0"/>
        <v>0</v>
      </c>
    </row>
    <row r="29" spans="1:6" x14ac:dyDescent="0.25">
      <c r="A29" s="48">
        <v>21</v>
      </c>
      <c r="B29" s="39" t="s">
        <v>61</v>
      </c>
      <c r="C29" s="52"/>
      <c r="D29" s="53">
        <v>42000</v>
      </c>
      <c r="E29" s="54">
        <f>Бухгалтерия!U24</f>
        <v>22340</v>
      </c>
      <c r="F29" s="56">
        <f t="shared" si="0"/>
        <v>0</v>
      </c>
    </row>
    <row r="30" spans="1:6" x14ac:dyDescent="0.25">
      <c r="A30" s="48">
        <v>22</v>
      </c>
      <c r="B30" s="39" t="s">
        <v>13</v>
      </c>
      <c r="C30" s="52"/>
      <c r="D30" s="53">
        <v>60000</v>
      </c>
      <c r="E30" s="54">
        <f>Бухгалтерия!U25</f>
        <v>31200</v>
      </c>
      <c r="F30" s="56">
        <f t="shared" si="0"/>
        <v>0</v>
      </c>
    </row>
    <row r="31" spans="1:6" hidden="1" x14ac:dyDescent="0.25">
      <c r="A31" s="48">
        <v>23</v>
      </c>
      <c r="B31" s="38" t="s">
        <v>43</v>
      </c>
      <c r="C31" s="52"/>
      <c r="D31" s="53"/>
      <c r="E31" s="54">
        <f>Бухгалтерия!U26</f>
        <v>6400</v>
      </c>
      <c r="F31" s="56">
        <f t="shared" si="0"/>
        <v>0</v>
      </c>
    </row>
    <row r="32" spans="1:6" x14ac:dyDescent="0.25">
      <c r="A32" s="48">
        <v>24</v>
      </c>
      <c r="B32" s="38" t="s">
        <v>27</v>
      </c>
      <c r="C32" s="52"/>
      <c r="D32" s="53">
        <v>72000</v>
      </c>
      <c r="E32" s="54">
        <f>Бухгалтерия!U27</f>
        <v>37440</v>
      </c>
      <c r="F32" s="56">
        <f t="shared" si="0"/>
        <v>0</v>
      </c>
    </row>
    <row r="33" spans="1:7" hidden="1" x14ac:dyDescent="0.25">
      <c r="A33" s="48">
        <v>25</v>
      </c>
      <c r="B33" s="38" t="s">
        <v>37</v>
      </c>
      <c r="C33" s="52"/>
      <c r="D33" s="53"/>
      <c r="E33" s="54">
        <f>Бухгалтерия!U28</f>
        <v>11500</v>
      </c>
      <c r="F33" s="56">
        <f t="shared" si="0"/>
        <v>0</v>
      </c>
    </row>
    <row r="34" spans="1:7" x14ac:dyDescent="0.25">
      <c r="A34" s="48">
        <v>26</v>
      </c>
      <c r="B34" s="38" t="s">
        <v>40</v>
      </c>
      <c r="C34" s="52"/>
      <c r="D34" s="53">
        <v>75000</v>
      </c>
      <c r="E34" s="54">
        <f>Бухгалтерия!U29</f>
        <v>39750</v>
      </c>
      <c r="F34" s="56">
        <f t="shared" si="0"/>
        <v>0</v>
      </c>
    </row>
    <row r="35" spans="1:7" hidden="1" x14ac:dyDescent="0.25">
      <c r="A35" s="48">
        <v>27</v>
      </c>
      <c r="B35" s="38" t="s">
        <v>41</v>
      </c>
      <c r="C35" s="52"/>
      <c r="D35" s="53"/>
      <c r="E35" s="54">
        <f>Бухгалтерия!U30</f>
        <v>16000</v>
      </c>
      <c r="F35" s="56">
        <f t="shared" si="0"/>
        <v>0</v>
      </c>
    </row>
    <row r="36" spans="1:7" hidden="1" x14ac:dyDescent="0.25">
      <c r="A36" s="48">
        <v>28</v>
      </c>
      <c r="B36" s="38" t="s">
        <v>44</v>
      </c>
      <c r="C36" s="52"/>
      <c r="D36" s="53"/>
      <c r="E36" s="54">
        <f>Бухгалтерия!U31</f>
        <v>4500</v>
      </c>
      <c r="F36" s="56">
        <f t="shared" si="0"/>
        <v>0</v>
      </c>
    </row>
    <row r="37" spans="1:7" hidden="1" x14ac:dyDescent="0.25">
      <c r="A37" s="48">
        <v>29</v>
      </c>
      <c r="B37" s="38" t="s">
        <v>42</v>
      </c>
      <c r="C37" s="52"/>
      <c r="D37" s="53"/>
      <c r="E37" s="54">
        <f>Бухгалтерия!U32</f>
        <v>12000</v>
      </c>
      <c r="F37" s="56">
        <f t="shared" si="0"/>
        <v>0</v>
      </c>
    </row>
    <row r="38" spans="1:7" x14ac:dyDescent="0.25">
      <c r="A38" s="48">
        <v>30</v>
      </c>
      <c r="B38" s="49" t="s">
        <v>12</v>
      </c>
      <c r="C38" s="52"/>
      <c r="D38" s="53">
        <v>41000</v>
      </c>
      <c r="E38" s="54">
        <f>Бухгалтерия!U33</f>
        <v>21570</v>
      </c>
      <c r="F38" s="56">
        <f t="shared" si="0"/>
        <v>0</v>
      </c>
    </row>
    <row r="39" spans="1:7" hidden="1" x14ac:dyDescent="0.25">
      <c r="A39" s="48">
        <v>31</v>
      </c>
      <c r="B39" s="38" t="s">
        <v>45</v>
      </c>
      <c r="C39" s="52"/>
      <c r="D39" s="53"/>
      <c r="E39" s="54">
        <f>Бухгалтерия!U34</f>
        <v>0</v>
      </c>
      <c r="F39" s="56">
        <f t="shared" si="0"/>
        <v>0</v>
      </c>
    </row>
    <row r="40" spans="1:7" hidden="1" x14ac:dyDescent="0.25">
      <c r="A40" s="48">
        <v>32</v>
      </c>
      <c r="B40" s="38" t="s">
        <v>57</v>
      </c>
      <c r="C40" s="52"/>
      <c r="D40" s="53"/>
      <c r="E40" s="54">
        <f>Бухгалтерия!U35</f>
        <v>37500</v>
      </c>
      <c r="F40" s="56">
        <f t="shared" si="0"/>
        <v>0</v>
      </c>
    </row>
    <row r="41" spans="1:7" hidden="1" x14ac:dyDescent="0.25">
      <c r="A41" s="48">
        <v>33</v>
      </c>
      <c r="B41" s="38" t="s">
        <v>49</v>
      </c>
      <c r="C41" s="52"/>
      <c r="D41" s="53"/>
      <c r="E41" s="54">
        <f>Бухгалтерия!U36</f>
        <v>14000</v>
      </c>
      <c r="F41" s="56">
        <f t="shared" si="0"/>
        <v>0</v>
      </c>
    </row>
    <row r="42" spans="1:7" hidden="1" x14ac:dyDescent="0.25">
      <c r="A42" s="48">
        <v>34</v>
      </c>
      <c r="B42" s="38" t="s">
        <v>54</v>
      </c>
      <c r="C42" s="52"/>
      <c r="D42" s="53"/>
      <c r="E42" s="54">
        <f>Бухгалтерия!U37</f>
        <v>53200</v>
      </c>
      <c r="F42" s="56">
        <f t="shared" si="0"/>
        <v>0</v>
      </c>
    </row>
    <row r="43" spans="1:7" hidden="1" x14ac:dyDescent="0.25">
      <c r="A43" s="48">
        <v>35</v>
      </c>
      <c r="B43" s="38" t="s">
        <v>55</v>
      </c>
      <c r="C43" s="52"/>
      <c r="D43" s="53"/>
      <c r="E43" s="54">
        <f>Бухгалтерия!U38</f>
        <v>67000</v>
      </c>
      <c r="F43" s="56">
        <f t="shared" si="0"/>
        <v>0</v>
      </c>
    </row>
    <row r="44" spans="1:7" hidden="1" x14ac:dyDescent="0.25">
      <c r="A44" s="48">
        <v>36</v>
      </c>
      <c r="B44" s="38" t="s">
        <v>47</v>
      </c>
      <c r="C44" s="52"/>
      <c r="D44" s="53"/>
      <c r="E44" s="54">
        <f>Бухгалтерия!U39</f>
        <v>11500</v>
      </c>
      <c r="F44" s="56">
        <f t="shared" si="0"/>
        <v>0</v>
      </c>
      <c r="G44" t="s">
        <v>85</v>
      </c>
    </row>
    <row r="45" spans="1:7" hidden="1" x14ac:dyDescent="0.25">
      <c r="A45" s="48">
        <v>37</v>
      </c>
      <c r="B45" s="38" t="s">
        <v>56</v>
      </c>
      <c r="C45" s="52"/>
      <c r="D45" s="53"/>
      <c r="E45" s="54">
        <f>Бухгалтерия!U40</f>
        <v>16000</v>
      </c>
      <c r="F45" s="56">
        <f t="shared" si="0"/>
        <v>0</v>
      </c>
    </row>
    <row r="46" spans="1:7" hidden="1" x14ac:dyDescent="0.25">
      <c r="A46" s="48">
        <v>38</v>
      </c>
      <c r="B46" s="38" t="s">
        <v>58</v>
      </c>
      <c r="C46" s="52"/>
      <c r="D46" s="53"/>
      <c r="E46" s="54">
        <f>Бухгалтерия!U41</f>
        <v>45000</v>
      </c>
      <c r="F46" s="56">
        <f t="shared" si="0"/>
        <v>0</v>
      </c>
    </row>
    <row r="47" spans="1:7" hidden="1" x14ac:dyDescent="0.25">
      <c r="A47" s="48">
        <v>39</v>
      </c>
      <c r="B47" s="38" t="s">
        <v>48</v>
      </c>
      <c r="C47" s="52"/>
      <c r="D47" s="53"/>
      <c r="E47" s="54">
        <f>Бухгалтерия!U42</f>
        <v>12000</v>
      </c>
      <c r="F47" s="56">
        <f t="shared" si="0"/>
        <v>0</v>
      </c>
    </row>
    <row r="48" spans="1:7" x14ac:dyDescent="0.25">
      <c r="A48" s="48">
        <v>40</v>
      </c>
      <c r="B48" s="38" t="s">
        <v>26</v>
      </c>
      <c r="C48" s="52"/>
      <c r="D48" s="53">
        <v>64000</v>
      </c>
      <c r="E48" s="54">
        <f>Бухгалтерия!U43</f>
        <v>33280</v>
      </c>
      <c r="F48" s="56">
        <f t="shared" si="0"/>
        <v>0</v>
      </c>
    </row>
    <row r="49" spans="5:6" ht="15.75" x14ac:dyDescent="0.25">
      <c r="F49" s="57">
        <f>SUM(F9:F48)</f>
        <v>0</v>
      </c>
    </row>
    <row r="50" spans="5:6" x14ac:dyDescent="0.25">
      <c r="E50" t="s">
        <v>91</v>
      </c>
      <c r="F50" s="63">
        <f>F49*0.95</f>
        <v>0</v>
      </c>
    </row>
    <row r="51" spans="5:6" x14ac:dyDescent="0.25">
      <c r="E51" t="s">
        <v>92</v>
      </c>
      <c r="F51" s="69">
        <f>F50*1.12</f>
        <v>0</v>
      </c>
    </row>
    <row r="52" spans="5:6" ht="18.75" x14ac:dyDescent="0.3">
      <c r="F52" s="60"/>
    </row>
  </sheetData>
  <autoFilter ref="A8:E50" xr:uid="{00000000-0009-0000-0000-000000000000}">
    <filterColumn colId="1">
      <filters blank="1">
        <filter val="Винкорел  5мг/5мл №5"/>
        <filter val="Диабертион 3% 10мл №5"/>
        <filter val="Идрен раствор для инъекций 10% 5 мл, №5"/>
        <filter val="Кетронг 1 мл №5"/>
        <filter val="Неоспагин 10мл №5"/>
        <filter val="Неоцинтил раствор для инъекций 10 мл, №5"/>
        <filter val="Нооцеб  25мг 4 мл №5"/>
        <filter val="Ондасет мах 2 мг/4мл №5"/>
        <filter val="Ревмил раствор для инъекций 1% 1,5 мл, №5"/>
        <filter val="Эллеус  5мл №5"/>
      </filters>
    </filterColumn>
  </autoFilter>
  <mergeCells count="2">
    <mergeCell ref="C6:E6"/>
    <mergeCell ref="C7:E7"/>
  </mergeCells>
  <dataValidations count="2">
    <dataValidation type="list" allowBlank="1" showInputMessage="1" showErrorMessage="1" sqref="B4" xr:uid="{00000000-0002-0000-0000-000000000000}">
      <formula1>"Биржа,Прямой,Оптовик"</formula1>
    </dataValidation>
    <dataValidation type="list" allowBlank="1" showInputMessage="1" showErrorMessage="1" sqref="C5" xr:uid="{00000000-0002-0000-0000-000001000000}">
      <formula1>"Ташкент, До Клиента"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stopIfTrue="1" id="{09C6958A-0FE1-644C-A161-E5FBE8F12BB4}">
            <xm:f>Бухгалтерия!$W4&lt;0</xm:f>
            <x14:dxf>
              <font>
                <b/>
                <i val="0"/>
                <color rgb="FFFF0000"/>
              </font>
              <fill>
                <patternFill>
                  <bgColor rgb="FFFFFF00"/>
                </patternFill>
              </fill>
            </x14:dxf>
          </x14:cfRule>
          <xm:sqref>F50 B9:D48 F9:F48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AC52"/>
  <sheetViews>
    <sheetView zoomScaleNormal="100" workbookViewId="0">
      <pane xSplit="5" ySplit="3" topLeftCell="Q4" activePane="bottomRight" state="frozen"/>
      <selection pane="topRight" activeCell="F1" sqref="F1"/>
      <selection pane="bottomLeft" activeCell="A4" sqref="A4"/>
      <selection pane="bottomRight" activeCell="C19" sqref="C19"/>
    </sheetView>
  </sheetViews>
  <sheetFormatPr defaultColWidth="11" defaultRowHeight="15" x14ac:dyDescent="0.25"/>
  <cols>
    <col min="1" max="1" width="1.42578125" customWidth="1"/>
    <col min="2" max="2" width="3" bestFit="1" customWidth="1"/>
    <col min="3" max="3" width="42.42578125" style="15" customWidth="1"/>
    <col min="4" max="4" width="16.42578125" customWidth="1"/>
    <col min="5" max="5" width="14" bestFit="1" customWidth="1"/>
    <col min="6" max="6" width="17.7109375" bestFit="1" customWidth="1"/>
    <col min="7" max="7" width="17.42578125" bestFit="1" customWidth="1"/>
    <col min="8" max="8" width="17.42578125" customWidth="1"/>
    <col min="9" max="9" width="6" customWidth="1"/>
    <col min="10" max="10" width="12.42578125" bestFit="1" customWidth="1"/>
    <col min="11" max="11" width="6" customWidth="1"/>
    <col min="12" max="12" width="11.85546875" customWidth="1"/>
    <col min="13" max="13" width="24.42578125" customWidth="1"/>
    <col min="14" max="14" width="14" customWidth="1"/>
    <col min="15" max="15" width="21.42578125" customWidth="1"/>
    <col min="16" max="16" width="8.28515625" customWidth="1"/>
    <col min="17" max="17" width="10.28515625" customWidth="1"/>
    <col min="18" max="18" width="10.7109375" customWidth="1"/>
    <col min="19" max="19" width="13.42578125" bestFit="1" customWidth="1"/>
    <col min="20" max="20" width="16" customWidth="1"/>
    <col min="21" max="21" width="14.85546875" style="19" customWidth="1"/>
    <col min="22" max="22" width="14.42578125" style="19" customWidth="1"/>
    <col min="23" max="23" width="13" style="19" bestFit="1" customWidth="1"/>
    <col min="24" max="24" width="16.7109375" style="19" customWidth="1"/>
    <col min="25" max="25" width="18.140625" style="19" customWidth="1"/>
    <col min="26" max="26" width="14.7109375" style="19" bestFit="1" customWidth="1"/>
    <col min="27" max="27" width="16.42578125" customWidth="1"/>
    <col min="28" max="28" width="11.140625" customWidth="1"/>
    <col min="29" max="29" width="14.85546875" bestFit="1" customWidth="1"/>
    <col min="30" max="258" width="8.85546875" customWidth="1"/>
  </cols>
  <sheetData>
    <row r="1" spans="2:29" ht="27" thickBot="1" x14ac:dyDescent="0.45">
      <c r="C1" s="18"/>
      <c r="D1" s="35"/>
      <c r="I1">
        <v>1</v>
      </c>
      <c r="K1">
        <v>2</v>
      </c>
      <c r="M1">
        <v>3</v>
      </c>
      <c r="O1">
        <v>4</v>
      </c>
      <c r="R1">
        <v>5</v>
      </c>
      <c r="T1">
        <v>6</v>
      </c>
      <c r="U1" s="19">
        <v>7</v>
      </c>
      <c r="V1" s="19">
        <v>8</v>
      </c>
      <c r="W1" s="19">
        <v>9</v>
      </c>
      <c r="X1" s="19">
        <v>10</v>
      </c>
      <c r="Y1" s="19">
        <v>11</v>
      </c>
      <c r="Z1" s="19">
        <v>12</v>
      </c>
      <c r="AA1" s="19">
        <v>13</v>
      </c>
      <c r="AB1" s="19">
        <v>14</v>
      </c>
    </row>
    <row r="2" spans="2:29" ht="64.5" customHeight="1" thickBot="1" x14ac:dyDescent="0.3">
      <c r="B2" s="106" t="s">
        <v>0</v>
      </c>
      <c r="C2" s="108" t="s">
        <v>5</v>
      </c>
      <c r="D2" s="110" t="s">
        <v>1</v>
      </c>
      <c r="E2" s="112" t="s">
        <v>4</v>
      </c>
      <c r="F2" s="113" t="s">
        <v>62</v>
      </c>
      <c r="G2" s="102" t="s">
        <v>2</v>
      </c>
      <c r="H2" s="104" t="s">
        <v>3</v>
      </c>
      <c r="I2" s="87" t="s">
        <v>63</v>
      </c>
      <c r="J2" s="87"/>
      <c r="K2" s="87" t="s">
        <v>70</v>
      </c>
      <c r="L2" s="87"/>
      <c r="M2" s="87" t="s">
        <v>18</v>
      </c>
      <c r="N2" s="87"/>
      <c r="O2" s="26" t="s">
        <v>15</v>
      </c>
      <c r="P2" s="87" t="s">
        <v>88</v>
      </c>
      <c r="Q2" s="87"/>
      <c r="R2" s="89" t="s">
        <v>16</v>
      </c>
      <c r="S2" s="89"/>
      <c r="T2" s="87" t="s">
        <v>17</v>
      </c>
      <c r="U2" s="90" t="s">
        <v>64</v>
      </c>
      <c r="V2" s="92" t="s">
        <v>65</v>
      </c>
      <c r="W2" s="94" t="s">
        <v>66</v>
      </c>
      <c r="X2" s="94" t="s">
        <v>67</v>
      </c>
      <c r="Y2" s="94" t="s">
        <v>68</v>
      </c>
      <c r="Z2" s="94" t="s">
        <v>69</v>
      </c>
      <c r="AA2" s="85" t="s">
        <v>72</v>
      </c>
      <c r="AB2" s="100" t="s">
        <v>71</v>
      </c>
    </row>
    <row r="3" spans="2:29" ht="24" customHeight="1" x14ac:dyDescent="0.25">
      <c r="B3" s="107"/>
      <c r="C3" s="109"/>
      <c r="D3" s="111"/>
      <c r="E3" s="111"/>
      <c r="F3" s="114"/>
      <c r="G3" s="103"/>
      <c r="H3" s="105"/>
      <c r="I3" s="10" t="s">
        <v>14</v>
      </c>
      <c r="J3" s="11" t="s">
        <v>3</v>
      </c>
      <c r="K3" s="10" t="s">
        <v>14</v>
      </c>
      <c r="L3" s="11" t="s">
        <v>3</v>
      </c>
      <c r="M3" s="10" t="s">
        <v>14</v>
      </c>
      <c r="N3" s="11" t="s">
        <v>3</v>
      </c>
      <c r="O3" s="11" t="s">
        <v>3</v>
      </c>
      <c r="P3" s="10" t="s">
        <v>14</v>
      </c>
      <c r="Q3" s="11" t="s">
        <v>3</v>
      </c>
      <c r="R3" s="10" t="s">
        <v>14</v>
      </c>
      <c r="S3" s="11" t="s">
        <v>3</v>
      </c>
      <c r="T3" s="88"/>
      <c r="U3" s="91"/>
      <c r="V3" s="93"/>
      <c r="W3" s="95"/>
      <c r="X3" s="95"/>
      <c r="Y3" s="95"/>
      <c r="Z3" s="96"/>
      <c r="AA3" s="86"/>
      <c r="AB3" s="101"/>
      <c r="AC3" s="17"/>
    </row>
    <row r="4" spans="2:29" ht="15.75" x14ac:dyDescent="0.25">
      <c r="B4" s="1">
        <v>1</v>
      </c>
      <c r="C4" s="16" t="s">
        <v>29</v>
      </c>
      <c r="D4" s="2">
        <f>Сотув!C9</f>
        <v>0</v>
      </c>
      <c r="E4" s="5">
        <f>Сотув!D9</f>
        <v>0</v>
      </c>
      <c r="F4" s="6">
        <v>8749.34</v>
      </c>
      <c r="G4" s="3">
        <f t="shared" ref="G4:G43" si="0">F4*D4</f>
        <v>0</v>
      </c>
      <c r="H4" s="4">
        <f t="shared" ref="H4:H38" si="1">D4*E4</f>
        <v>0</v>
      </c>
      <c r="I4" s="78">
        <f>Сотув!C2</f>
        <v>0.05</v>
      </c>
      <c r="J4" s="44">
        <f>H4*$I$4</f>
        <v>0</v>
      </c>
      <c r="K4" s="78">
        <f>Сотув!C3</f>
        <v>0</v>
      </c>
      <c r="L4" s="44">
        <f t="shared" ref="L4:L44" si="2">H4*$K$4</f>
        <v>0</v>
      </c>
      <c r="M4" s="78">
        <f>IF(Сотув!B4="Биржа",0.6%,0)</f>
        <v>0</v>
      </c>
      <c r="N4" s="4">
        <f t="shared" ref="N4:N44" si="3">H4*$M$4</f>
        <v>0</v>
      </c>
      <c r="O4" s="9">
        <f>IF(Сотув!$C$5="Ташкент",0,SUMIF(справка!B:B,C$4:C$1048576,справка!F:F))</f>
        <v>0</v>
      </c>
      <c r="P4" s="97">
        <v>3.5000000000000003E-2</v>
      </c>
      <c r="Q4" s="9">
        <f>(J4+L4+N4+O4)*$P$4</f>
        <v>0</v>
      </c>
      <c r="R4" s="9">
        <f>I4+K4+M4+P4</f>
        <v>8.5000000000000006E-2</v>
      </c>
      <c r="S4" s="9">
        <f>J4+L4+N4+O4+Q4</f>
        <v>0</v>
      </c>
      <c r="T4" s="9">
        <f t="shared" ref="T4:T44" si="4">H4-S4</f>
        <v>0</v>
      </c>
      <c r="U4" s="20">
        <v>12500</v>
      </c>
      <c r="V4" s="22">
        <f t="shared" ref="V4:V43" si="5">IFERROR(T4/D4,0)</f>
        <v>0</v>
      </c>
      <c r="W4" s="42">
        <f t="shared" ref="W4:W43" si="6">IF(E4&gt;0,V4-U4,0)</f>
        <v>0</v>
      </c>
      <c r="X4" s="4">
        <f t="shared" ref="X4:X43" si="7">IFERROR(U4*D4,0)</f>
        <v>0</v>
      </c>
      <c r="Y4" s="4">
        <f t="shared" ref="Y4:Y43" si="8">IFERROR(V4*D4,0)</f>
        <v>0</v>
      </c>
      <c r="Z4" s="81">
        <f>Y44-X44</f>
        <v>0</v>
      </c>
      <c r="AA4" s="45">
        <f t="shared" ref="AA4:AA44" si="9">IFERROR(H4*100/G4-100,0)</f>
        <v>0</v>
      </c>
      <c r="AB4" s="47">
        <f t="shared" ref="AB4:AB44" si="10">IFERROR(Y4*100/G4-100,0)</f>
        <v>0</v>
      </c>
      <c r="AC4" s="17">
        <f t="shared" ref="AC4:AC43" si="11">U4/F4-1</f>
        <v>0.42867919180189595</v>
      </c>
    </row>
    <row r="5" spans="2:29" ht="15.75" x14ac:dyDescent="0.25">
      <c r="B5" s="1">
        <v>2</v>
      </c>
      <c r="C5" s="16" t="s">
        <v>28</v>
      </c>
      <c r="D5" s="2">
        <f>Сотув!C10</f>
        <v>0</v>
      </c>
      <c r="E5" s="5">
        <f>Сотув!D10</f>
        <v>0</v>
      </c>
      <c r="F5" s="6">
        <v>10281.6</v>
      </c>
      <c r="G5" s="3">
        <f t="shared" si="0"/>
        <v>0</v>
      </c>
      <c r="H5" s="4">
        <f t="shared" si="1"/>
        <v>0</v>
      </c>
      <c r="I5" s="79"/>
      <c r="J5" s="44">
        <f t="shared" ref="J5:J44" si="12">H5*$I$4</f>
        <v>0</v>
      </c>
      <c r="K5" s="79"/>
      <c r="L5" s="44">
        <f t="shared" si="2"/>
        <v>0</v>
      </c>
      <c r="M5" s="79"/>
      <c r="N5" s="4">
        <f t="shared" si="3"/>
        <v>0</v>
      </c>
      <c r="O5" s="9">
        <f>IF(Сотув!$C$5="Ташкент",0,SUMIF(справка!B:B,C$4:C$1048576,справка!F:F))</f>
        <v>0</v>
      </c>
      <c r="P5" s="98"/>
      <c r="Q5" s="9">
        <f t="shared" ref="Q5:Q43" si="13">(J5+L5+N5+O5)*$P$4</f>
        <v>0</v>
      </c>
      <c r="R5" s="9">
        <f t="shared" ref="R5:R43" si="14">I5+K5+M5+P5</f>
        <v>0</v>
      </c>
      <c r="S5" s="9">
        <f t="shared" ref="S5:S43" si="15">J5+L5+N5+O5+Q5</f>
        <v>0</v>
      </c>
      <c r="T5" s="9">
        <f t="shared" si="4"/>
        <v>0</v>
      </c>
      <c r="U5" s="20">
        <v>13350</v>
      </c>
      <c r="V5" s="22">
        <f t="shared" si="5"/>
        <v>0</v>
      </c>
      <c r="W5" s="42">
        <f t="shared" si="6"/>
        <v>0</v>
      </c>
      <c r="X5" s="4">
        <f t="shared" si="7"/>
        <v>0</v>
      </c>
      <c r="Y5" s="4">
        <f t="shared" si="8"/>
        <v>0</v>
      </c>
      <c r="Z5" s="82"/>
      <c r="AA5" s="45">
        <f t="shared" si="9"/>
        <v>0</v>
      </c>
      <c r="AB5" s="47">
        <f t="shared" si="10"/>
        <v>0</v>
      </c>
      <c r="AC5" s="17">
        <f t="shared" si="11"/>
        <v>0.29843604108309996</v>
      </c>
    </row>
    <row r="6" spans="2:29" ht="15.75" x14ac:dyDescent="0.25">
      <c r="B6" s="1">
        <v>3</v>
      </c>
      <c r="C6" s="16" t="s">
        <v>30</v>
      </c>
      <c r="D6" s="2">
        <f>Сотув!C11</f>
        <v>0</v>
      </c>
      <c r="E6" s="5">
        <f>Сотув!D11</f>
        <v>0</v>
      </c>
      <c r="F6" s="6">
        <v>10291.200000000001</v>
      </c>
      <c r="G6" s="3">
        <f t="shared" si="0"/>
        <v>0</v>
      </c>
      <c r="H6" s="4">
        <f t="shared" si="1"/>
        <v>0</v>
      </c>
      <c r="I6" s="79"/>
      <c r="J6" s="44">
        <f t="shared" si="12"/>
        <v>0</v>
      </c>
      <c r="K6" s="79"/>
      <c r="L6" s="44">
        <f t="shared" si="2"/>
        <v>0</v>
      </c>
      <c r="M6" s="79"/>
      <c r="N6" s="4">
        <f t="shared" si="3"/>
        <v>0</v>
      </c>
      <c r="O6" s="9">
        <f>IF(Сотув!$C$5="Ташкент",0,SUMIF(справка!B:B,C$4:C$1048576,справка!F:F))</f>
        <v>0</v>
      </c>
      <c r="P6" s="98"/>
      <c r="Q6" s="9">
        <f t="shared" si="13"/>
        <v>0</v>
      </c>
      <c r="R6" s="9">
        <f t="shared" si="14"/>
        <v>0</v>
      </c>
      <c r="S6" s="9">
        <f t="shared" si="15"/>
        <v>0</v>
      </c>
      <c r="T6" s="9">
        <f t="shared" si="4"/>
        <v>0</v>
      </c>
      <c r="U6" s="20">
        <v>14850</v>
      </c>
      <c r="V6" s="22">
        <f t="shared" si="5"/>
        <v>0</v>
      </c>
      <c r="W6" s="42">
        <f t="shared" si="6"/>
        <v>0</v>
      </c>
      <c r="X6" s="4">
        <f t="shared" si="7"/>
        <v>0</v>
      </c>
      <c r="Y6" s="4">
        <f t="shared" si="8"/>
        <v>0</v>
      </c>
      <c r="Z6" s="82"/>
      <c r="AA6" s="45">
        <f t="shared" si="9"/>
        <v>0</v>
      </c>
      <c r="AB6" s="47">
        <f t="shared" si="10"/>
        <v>0</v>
      </c>
      <c r="AC6" s="17">
        <f t="shared" si="11"/>
        <v>0.44298041044776104</v>
      </c>
    </row>
    <row r="7" spans="2:29" ht="15.75" x14ac:dyDescent="0.25">
      <c r="B7" s="1">
        <v>4</v>
      </c>
      <c r="C7" s="16" t="s">
        <v>60</v>
      </c>
      <c r="D7" s="2">
        <f>Сотув!C12</f>
        <v>0</v>
      </c>
      <c r="E7" s="5">
        <f>Сотув!D12</f>
        <v>35000</v>
      </c>
      <c r="F7" s="6">
        <v>9007.02</v>
      </c>
      <c r="G7" s="3">
        <f t="shared" si="0"/>
        <v>0</v>
      </c>
      <c r="H7" s="4">
        <f t="shared" si="1"/>
        <v>0</v>
      </c>
      <c r="I7" s="79"/>
      <c r="J7" s="44">
        <f t="shared" si="12"/>
        <v>0</v>
      </c>
      <c r="K7" s="79"/>
      <c r="L7" s="44">
        <f t="shared" si="2"/>
        <v>0</v>
      </c>
      <c r="M7" s="79"/>
      <c r="N7" s="4">
        <f t="shared" si="3"/>
        <v>0</v>
      </c>
      <c r="O7" s="9">
        <f>IF(Сотув!$C$5="Ташкент",0,SUMIF(справка!B:B,C$4:C$1048576,справка!F:F))</f>
        <v>0</v>
      </c>
      <c r="P7" s="98"/>
      <c r="Q7" s="9">
        <f t="shared" si="13"/>
        <v>0</v>
      </c>
      <c r="R7" s="9">
        <f t="shared" si="14"/>
        <v>0</v>
      </c>
      <c r="S7" s="9">
        <f t="shared" si="15"/>
        <v>0</v>
      </c>
      <c r="T7" s="9">
        <f t="shared" si="4"/>
        <v>0</v>
      </c>
      <c r="U7" s="20">
        <v>18950</v>
      </c>
      <c r="V7" s="22">
        <f t="shared" si="5"/>
        <v>0</v>
      </c>
      <c r="W7" s="42">
        <f t="shared" si="6"/>
        <v>-18950</v>
      </c>
      <c r="X7" s="4">
        <f t="shared" si="7"/>
        <v>0</v>
      </c>
      <c r="Y7" s="4">
        <f t="shared" si="8"/>
        <v>0</v>
      </c>
      <c r="Z7" s="82"/>
      <c r="AA7" s="45">
        <f t="shared" si="9"/>
        <v>0</v>
      </c>
      <c r="AB7" s="47">
        <f t="shared" si="10"/>
        <v>0</v>
      </c>
      <c r="AC7" s="17">
        <f t="shared" si="11"/>
        <v>1.1039145022438053</v>
      </c>
    </row>
    <row r="8" spans="2:29" ht="16.5" thickBot="1" x14ac:dyDescent="0.3">
      <c r="B8" s="1">
        <v>5</v>
      </c>
      <c r="C8" s="16" t="s">
        <v>52</v>
      </c>
      <c r="D8" s="2">
        <f>Сотув!C13</f>
        <v>0</v>
      </c>
      <c r="E8" s="5">
        <f>Сотув!D13</f>
        <v>0</v>
      </c>
      <c r="F8" s="6">
        <v>57274.26</v>
      </c>
      <c r="G8" s="3">
        <f t="shared" si="0"/>
        <v>0</v>
      </c>
      <c r="H8" s="4">
        <f t="shared" si="1"/>
        <v>0</v>
      </c>
      <c r="I8" s="79"/>
      <c r="J8" s="44">
        <f t="shared" si="12"/>
        <v>0</v>
      </c>
      <c r="K8" s="79"/>
      <c r="L8" s="44">
        <f t="shared" si="2"/>
        <v>0</v>
      </c>
      <c r="M8" s="79"/>
      <c r="N8" s="4">
        <f t="shared" si="3"/>
        <v>0</v>
      </c>
      <c r="O8" s="9">
        <f>IF(Сотув!$C$5="Ташкент",0,SUMIF(справка!B:B,C$4:C$1048576,справка!F:F))</f>
        <v>0</v>
      </c>
      <c r="P8" s="98"/>
      <c r="Q8" s="9">
        <f t="shared" si="13"/>
        <v>0</v>
      </c>
      <c r="R8" s="9">
        <f t="shared" si="14"/>
        <v>0</v>
      </c>
      <c r="S8" s="9">
        <f t="shared" si="15"/>
        <v>0</v>
      </c>
      <c r="T8" s="23">
        <f t="shared" si="4"/>
        <v>0</v>
      </c>
      <c r="U8" s="24">
        <v>220000</v>
      </c>
      <c r="V8" s="22">
        <f t="shared" si="5"/>
        <v>0</v>
      </c>
      <c r="W8" s="42">
        <f t="shared" si="6"/>
        <v>0</v>
      </c>
      <c r="X8" s="4">
        <f t="shared" si="7"/>
        <v>0</v>
      </c>
      <c r="Y8" s="4">
        <f t="shared" si="8"/>
        <v>0</v>
      </c>
      <c r="Z8" s="82"/>
      <c r="AA8" s="45">
        <f t="shared" si="9"/>
        <v>0</v>
      </c>
      <c r="AB8" s="47">
        <f t="shared" si="10"/>
        <v>0</v>
      </c>
      <c r="AC8" s="17">
        <f t="shared" si="11"/>
        <v>2.8411670443232264</v>
      </c>
    </row>
    <row r="9" spans="2:29" ht="16.5" thickBot="1" x14ac:dyDescent="0.3">
      <c r="B9" s="1">
        <v>6</v>
      </c>
      <c r="C9" s="16" t="s">
        <v>31</v>
      </c>
      <c r="D9" s="2">
        <f>Сотув!C14</f>
        <v>0</v>
      </c>
      <c r="E9" s="5">
        <f>Сотув!D14</f>
        <v>0</v>
      </c>
      <c r="F9" s="21">
        <v>21650.69</v>
      </c>
      <c r="G9" s="20">
        <f t="shared" si="0"/>
        <v>0</v>
      </c>
      <c r="H9" s="4">
        <f t="shared" si="1"/>
        <v>0</v>
      </c>
      <c r="I9" s="80"/>
      <c r="J9" s="44">
        <f t="shared" si="12"/>
        <v>0</v>
      </c>
      <c r="K9" s="80"/>
      <c r="L9" s="44">
        <f t="shared" si="2"/>
        <v>0</v>
      </c>
      <c r="M9" s="80"/>
      <c r="N9" s="4">
        <f t="shared" si="3"/>
        <v>0</v>
      </c>
      <c r="O9" s="9">
        <f>IF(Сотув!$C$5="Ташкент",0,SUMIF(справка!B:B,C$4:C$1048576,справка!F:F))</f>
        <v>0</v>
      </c>
      <c r="P9" s="99"/>
      <c r="Q9" s="9">
        <f t="shared" si="13"/>
        <v>0</v>
      </c>
      <c r="R9" s="9">
        <f t="shared" si="14"/>
        <v>0</v>
      </c>
      <c r="S9" s="9">
        <f t="shared" si="15"/>
        <v>0</v>
      </c>
      <c r="T9" s="23">
        <f t="shared" si="4"/>
        <v>0</v>
      </c>
      <c r="U9" s="24">
        <v>48000</v>
      </c>
      <c r="V9" s="22">
        <f t="shared" si="5"/>
        <v>0</v>
      </c>
      <c r="W9" s="42">
        <f t="shared" si="6"/>
        <v>0</v>
      </c>
      <c r="X9" s="4">
        <f t="shared" si="7"/>
        <v>0</v>
      </c>
      <c r="Y9" s="4">
        <f t="shared" si="8"/>
        <v>0</v>
      </c>
      <c r="Z9" s="83"/>
      <c r="AA9" s="45">
        <f t="shared" si="9"/>
        <v>0</v>
      </c>
      <c r="AB9" s="47">
        <f t="shared" si="10"/>
        <v>0</v>
      </c>
      <c r="AC9" s="17">
        <f t="shared" si="11"/>
        <v>1.2170194113905839</v>
      </c>
    </row>
    <row r="10" spans="2:29" ht="19.5" customHeight="1" thickBot="1" x14ac:dyDescent="0.3">
      <c r="B10" s="1">
        <v>7</v>
      </c>
      <c r="C10" s="16" t="s">
        <v>32</v>
      </c>
      <c r="D10" s="2">
        <f>Сотув!C15</f>
        <v>0</v>
      </c>
      <c r="E10" s="5">
        <f>Сотув!D15</f>
        <v>0</v>
      </c>
      <c r="F10" s="21">
        <v>5406.24</v>
      </c>
      <c r="G10" s="20">
        <f t="shared" si="0"/>
        <v>0</v>
      </c>
      <c r="H10" s="4">
        <f t="shared" si="1"/>
        <v>0</v>
      </c>
      <c r="I10" s="80"/>
      <c r="J10" s="44">
        <f t="shared" si="12"/>
        <v>0</v>
      </c>
      <c r="K10" s="80"/>
      <c r="L10" s="44">
        <f t="shared" si="2"/>
        <v>0</v>
      </c>
      <c r="M10" s="80"/>
      <c r="N10" s="4">
        <f t="shared" si="3"/>
        <v>0</v>
      </c>
      <c r="O10" s="9">
        <f>IF(Сотув!$C$5="Ташкент",0,SUMIF(справка!B:B,C$4:C$1048576,справка!F:F))</f>
        <v>0</v>
      </c>
      <c r="P10" s="99"/>
      <c r="Q10" s="9">
        <f t="shared" si="13"/>
        <v>0</v>
      </c>
      <c r="R10" s="9">
        <f t="shared" si="14"/>
        <v>0</v>
      </c>
      <c r="S10" s="9">
        <f t="shared" si="15"/>
        <v>0</v>
      </c>
      <c r="T10" s="23">
        <f t="shared" si="4"/>
        <v>0</v>
      </c>
      <c r="U10" s="24">
        <v>7100</v>
      </c>
      <c r="V10" s="22">
        <f t="shared" si="5"/>
        <v>0</v>
      </c>
      <c r="W10" s="42">
        <f t="shared" si="6"/>
        <v>0</v>
      </c>
      <c r="X10" s="4">
        <f t="shared" si="7"/>
        <v>0</v>
      </c>
      <c r="Y10" s="4">
        <f t="shared" si="8"/>
        <v>0</v>
      </c>
      <c r="Z10" s="83"/>
      <c r="AA10" s="45">
        <f t="shared" si="9"/>
        <v>0</v>
      </c>
      <c r="AB10" s="47">
        <f t="shared" si="10"/>
        <v>0</v>
      </c>
      <c r="AC10" s="17">
        <f t="shared" si="11"/>
        <v>0.31329722690816553</v>
      </c>
    </row>
    <row r="11" spans="2:29" ht="15.75" x14ac:dyDescent="0.25">
      <c r="B11" s="1">
        <v>8</v>
      </c>
      <c r="C11" s="16" t="s">
        <v>33</v>
      </c>
      <c r="D11" s="2">
        <f>Сотув!C16</f>
        <v>0</v>
      </c>
      <c r="E11" s="5">
        <f>Сотув!D16</f>
        <v>0</v>
      </c>
      <c r="F11" s="6">
        <v>32197.87</v>
      </c>
      <c r="G11" s="3">
        <f t="shared" si="0"/>
        <v>0</v>
      </c>
      <c r="H11" s="4">
        <f t="shared" si="1"/>
        <v>0</v>
      </c>
      <c r="I11" s="79"/>
      <c r="J11" s="44">
        <f t="shared" si="12"/>
        <v>0</v>
      </c>
      <c r="K11" s="79"/>
      <c r="L11" s="44">
        <f t="shared" si="2"/>
        <v>0</v>
      </c>
      <c r="M11" s="79"/>
      <c r="N11" s="4">
        <f t="shared" si="3"/>
        <v>0</v>
      </c>
      <c r="O11" s="9">
        <f>IF(Сотув!$C$5="Ташкент",0,SUMIF(справка!B:B,C$4:C$1048576,справка!F:F))</f>
        <v>0</v>
      </c>
      <c r="P11" s="98"/>
      <c r="Q11" s="9">
        <f t="shared" si="13"/>
        <v>0</v>
      </c>
      <c r="R11" s="9">
        <f t="shared" si="14"/>
        <v>0</v>
      </c>
      <c r="S11" s="9">
        <f t="shared" si="15"/>
        <v>0</v>
      </c>
      <c r="T11" s="23">
        <f t="shared" si="4"/>
        <v>0</v>
      </c>
      <c r="U11" s="24">
        <v>80000</v>
      </c>
      <c r="V11" s="22">
        <f t="shared" si="5"/>
        <v>0</v>
      </c>
      <c r="W11" s="42">
        <f t="shared" si="6"/>
        <v>0</v>
      </c>
      <c r="X11" s="4">
        <f t="shared" si="7"/>
        <v>0</v>
      </c>
      <c r="Y11" s="4">
        <f t="shared" si="8"/>
        <v>0</v>
      </c>
      <c r="Z11" s="82"/>
      <c r="AA11" s="45">
        <f t="shared" si="9"/>
        <v>0</v>
      </c>
      <c r="AB11" s="47">
        <f t="shared" si="10"/>
        <v>0</v>
      </c>
      <c r="AC11" s="17">
        <f t="shared" si="11"/>
        <v>1.4846364060728243</v>
      </c>
    </row>
    <row r="12" spans="2:29" ht="15.75" customHeight="1" x14ac:dyDescent="0.25">
      <c r="B12" s="1">
        <v>9</v>
      </c>
      <c r="C12" s="16" t="s">
        <v>34</v>
      </c>
      <c r="D12" s="2">
        <f>Сотув!C17</f>
        <v>0</v>
      </c>
      <c r="E12" s="5">
        <f>Сотув!D17</f>
        <v>75000</v>
      </c>
      <c r="F12" s="6">
        <v>10782.17</v>
      </c>
      <c r="G12" s="3">
        <f t="shared" si="0"/>
        <v>0</v>
      </c>
      <c r="H12" s="4">
        <f t="shared" si="1"/>
        <v>0</v>
      </c>
      <c r="I12" s="79"/>
      <c r="J12" s="44">
        <f t="shared" si="12"/>
        <v>0</v>
      </c>
      <c r="K12" s="79"/>
      <c r="L12" s="44">
        <f t="shared" si="2"/>
        <v>0</v>
      </c>
      <c r="M12" s="79"/>
      <c r="N12" s="4">
        <f t="shared" si="3"/>
        <v>0</v>
      </c>
      <c r="O12" s="9">
        <f>IF(Сотув!$C$5="Ташкент",0,SUMIF(справка!B:B,C$4:C$1048576,справка!F:F))</f>
        <v>0</v>
      </c>
      <c r="P12" s="98"/>
      <c r="Q12" s="9">
        <f t="shared" si="13"/>
        <v>0</v>
      </c>
      <c r="R12" s="9">
        <f t="shared" si="14"/>
        <v>0</v>
      </c>
      <c r="S12" s="9">
        <f t="shared" si="15"/>
        <v>0</v>
      </c>
      <c r="T12" s="23">
        <f t="shared" si="4"/>
        <v>0</v>
      </c>
      <c r="U12" s="24">
        <v>37750</v>
      </c>
      <c r="V12" s="22">
        <f t="shared" si="5"/>
        <v>0</v>
      </c>
      <c r="W12" s="42">
        <f t="shared" si="6"/>
        <v>-37750</v>
      </c>
      <c r="X12" s="4">
        <f t="shared" si="7"/>
        <v>0</v>
      </c>
      <c r="Y12" s="4">
        <f t="shared" si="8"/>
        <v>0</v>
      </c>
      <c r="Z12" s="82"/>
      <c r="AA12" s="45">
        <f t="shared" si="9"/>
        <v>0</v>
      </c>
      <c r="AB12" s="47">
        <f t="shared" si="10"/>
        <v>0</v>
      </c>
      <c r="AC12" s="17">
        <f t="shared" si="11"/>
        <v>2.5011505105187544</v>
      </c>
    </row>
    <row r="13" spans="2:29" ht="15.75" customHeight="1" x14ac:dyDescent="0.25">
      <c r="B13" s="1">
        <v>10</v>
      </c>
      <c r="C13" s="16" t="s">
        <v>35</v>
      </c>
      <c r="D13" s="2">
        <f>Сотув!C18</f>
        <v>0</v>
      </c>
      <c r="E13" s="5">
        <f>Сотув!D18</f>
        <v>0</v>
      </c>
      <c r="F13" s="6">
        <v>5732.76</v>
      </c>
      <c r="G13" s="3">
        <f t="shared" si="0"/>
        <v>0</v>
      </c>
      <c r="H13" s="4">
        <f t="shared" si="1"/>
        <v>0</v>
      </c>
      <c r="I13" s="79"/>
      <c r="J13" s="44">
        <f t="shared" si="12"/>
        <v>0</v>
      </c>
      <c r="K13" s="79"/>
      <c r="L13" s="44">
        <f t="shared" si="2"/>
        <v>0</v>
      </c>
      <c r="M13" s="79"/>
      <c r="N13" s="4">
        <f t="shared" si="3"/>
        <v>0</v>
      </c>
      <c r="O13" s="9">
        <f>IF(Сотув!$C$5="Ташкент",0,SUMIF(справка!B:B,C$4:C$1048576,справка!F:F))</f>
        <v>0</v>
      </c>
      <c r="P13" s="98"/>
      <c r="Q13" s="9">
        <f t="shared" si="13"/>
        <v>0</v>
      </c>
      <c r="R13" s="9">
        <f t="shared" si="14"/>
        <v>0</v>
      </c>
      <c r="S13" s="9">
        <f t="shared" si="15"/>
        <v>0</v>
      </c>
      <c r="T13" s="23">
        <f t="shared" si="4"/>
        <v>0</v>
      </c>
      <c r="U13" s="24">
        <v>7000</v>
      </c>
      <c r="V13" s="22">
        <f t="shared" si="5"/>
        <v>0</v>
      </c>
      <c r="W13" s="42">
        <f t="shared" si="6"/>
        <v>0</v>
      </c>
      <c r="X13" s="4">
        <f t="shared" si="7"/>
        <v>0</v>
      </c>
      <c r="Y13" s="4">
        <f t="shared" si="8"/>
        <v>0</v>
      </c>
      <c r="Z13" s="82"/>
      <c r="AA13" s="45">
        <f t="shared" si="9"/>
        <v>0</v>
      </c>
      <c r="AB13" s="47">
        <f t="shared" si="10"/>
        <v>0</v>
      </c>
      <c r="AC13" s="17">
        <f t="shared" si="11"/>
        <v>0.22105233779191868</v>
      </c>
    </row>
    <row r="14" spans="2:29" ht="15.75" customHeight="1" x14ac:dyDescent="0.25">
      <c r="B14" s="1">
        <v>11</v>
      </c>
      <c r="C14" s="16" t="s">
        <v>59</v>
      </c>
      <c r="D14" s="2">
        <f>Сотув!C19</f>
        <v>0</v>
      </c>
      <c r="E14" s="5">
        <f>Сотув!D19</f>
        <v>50000</v>
      </c>
      <c r="F14" s="8">
        <v>9401.34</v>
      </c>
      <c r="G14" s="3">
        <f t="shared" si="0"/>
        <v>0</v>
      </c>
      <c r="H14" s="4">
        <f t="shared" si="1"/>
        <v>0</v>
      </c>
      <c r="I14" s="79"/>
      <c r="J14" s="44">
        <f t="shared" si="12"/>
        <v>0</v>
      </c>
      <c r="K14" s="79"/>
      <c r="L14" s="44">
        <f t="shared" si="2"/>
        <v>0</v>
      </c>
      <c r="M14" s="79"/>
      <c r="N14" s="4">
        <f t="shared" si="3"/>
        <v>0</v>
      </c>
      <c r="O14" s="9">
        <f>IF(Сотув!$C$5="Ташкент",0,SUMIF(справка!B:B,C$4:C$1048576,справка!F:F))</f>
        <v>0</v>
      </c>
      <c r="P14" s="98"/>
      <c r="Q14" s="9">
        <f t="shared" si="13"/>
        <v>0</v>
      </c>
      <c r="R14" s="9">
        <f t="shared" si="14"/>
        <v>0</v>
      </c>
      <c r="S14" s="9">
        <f t="shared" si="15"/>
        <v>0</v>
      </c>
      <c r="T14" s="23">
        <f t="shared" si="4"/>
        <v>0</v>
      </c>
      <c r="U14" s="24">
        <v>26500</v>
      </c>
      <c r="V14" s="22">
        <f t="shared" si="5"/>
        <v>0</v>
      </c>
      <c r="W14" s="42">
        <f t="shared" si="6"/>
        <v>-26500</v>
      </c>
      <c r="X14" s="4">
        <f t="shared" si="7"/>
        <v>0</v>
      </c>
      <c r="Y14" s="4">
        <f t="shared" si="8"/>
        <v>0</v>
      </c>
      <c r="Z14" s="82"/>
      <c r="AA14" s="45">
        <f t="shared" si="9"/>
        <v>0</v>
      </c>
      <c r="AB14" s="47">
        <f t="shared" si="10"/>
        <v>0</v>
      </c>
      <c r="AC14" s="17">
        <f t="shared" si="11"/>
        <v>1.8187471147730006</v>
      </c>
    </row>
    <row r="15" spans="2:29" ht="15.75" customHeight="1" x14ac:dyDescent="0.25">
      <c r="B15" s="1">
        <v>12</v>
      </c>
      <c r="C15" s="16" t="s">
        <v>25</v>
      </c>
      <c r="D15" s="2">
        <f>Сотув!C20</f>
        <v>0</v>
      </c>
      <c r="E15" s="5">
        <f>Сотув!D20</f>
        <v>0</v>
      </c>
      <c r="F15" s="6">
        <v>11052.67</v>
      </c>
      <c r="G15" s="3">
        <f t="shared" si="0"/>
        <v>0</v>
      </c>
      <c r="H15" s="4">
        <f t="shared" si="1"/>
        <v>0</v>
      </c>
      <c r="I15" s="79"/>
      <c r="J15" s="44">
        <f t="shared" si="12"/>
        <v>0</v>
      </c>
      <c r="K15" s="79"/>
      <c r="L15" s="44">
        <f t="shared" si="2"/>
        <v>0</v>
      </c>
      <c r="M15" s="79"/>
      <c r="N15" s="4">
        <f t="shared" si="3"/>
        <v>0</v>
      </c>
      <c r="O15" s="9">
        <f>IF(Сотув!$C$5="Ташкент",0,SUMIF(справка!B:B,C$4:C$1048576,справка!F:F))</f>
        <v>0</v>
      </c>
      <c r="P15" s="98"/>
      <c r="Q15" s="9">
        <f t="shared" si="13"/>
        <v>0</v>
      </c>
      <c r="R15" s="9">
        <f t="shared" si="14"/>
        <v>0</v>
      </c>
      <c r="S15" s="9">
        <f t="shared" si="15"/>
        <v>0</v>
      </c>
      <c r="T15" s="23">
        <f t="shared" si="4"/>
        <v>0</v>
      </c>
      <c r="U15" s="24">
        <v>25000</v>
      </c>
      <c r="V15" s="22">
        <f t="shared" si="5"/>
        <v>0</v>
      </c>
      <c r="W15" s="42">
        <f t="shared" si="6"/>
        <v>0</v>
      </c>
      <c r="X15" s="4">
        <f t="shared" si="7"/>
        <v>0</v>
      </c>
      <c r="Y15" s="4">
        <f t="shared" si="8"/>
        <v>0</v>
      </c>
      <c r="Z15" s="82"/>
      <c r="AA15" s="45">
        <f t="shared" si="9"/>
        <v>0</v>
      </c>
      <c r="AB15" s="47">
        <f t="shared" si="10"/>
        <v>0</v>
      </c>
      <c r="AC15" s="17">
        <f t="shared" si="11"/>
        <v>1.2618968991203032</v>
      </c>
    </row>
    <row r="16" spans="2:29" ht="15.75" customHeight="1" x14ac:dyDescent="0.25">
      <c r="B16" s="1">
        <v>13</v>
      </c>
      <c r="C16" s="16" t="s">
        <v>50</v>
      </c>
      <c r="D16" s="2">
        <f>Сотув!C21</f>
        <v>0</v>
      </c>
      <c r="E16" s="5">
        <f>Сотув!D21</f>
        <v>0</v>
      </c>
      <c r="F16" s="6">
        <v>10802.82</v>
      </c>
      <c r="G16" s="3">
        <f t="shared" si="0"/>
        <v>0</v>
      </c>
      <c r="H16" s="4">
        <f t="shared" si="1"/>
        <v>0</v>
      </c>
      <c r="I16" s="79"/>
      <c r="J16" s="44">
        <f t="shared" si="12"/>
        <v>0</v>
      </c>
      <c r="K16" s="79"/>
      <c r="L16" s="44">
        <f t="shared" si="2"/>
        <v>0</v>
      </c>
      <c r="M16" s="79"/>
      <c r="N16" s="4">
        <f t="shared" si="3"/>
        <v>0</v>
      </c>
      <c r="O16" s="9">
        <f>IF(Сотув!$C$5="Ташкент",0,SUMIF(справка!B:B,C$4:C$1048576,справка!F:F))</f>
        <v>0</v>
      </c>
      <c r="P16" s="98"/>
      <c r="Q16" s="9">
        <f t="shared" si="13"/>
        <v>0</v>
      </c>
      <c r="R16" s="9">
        <f t="shared" si="14"/>
        <v>0</v>
      </c>
      <c r="S16" s="9">
        <f t="shared" si="15"/>
        <v>0</v>
      </c>
      <c r="T16" s="23">
        <f t="shared" si="4"/>
        <v>0</v>
      </c>
      <c r="U16" s="24">
        <v>22400</v>
      </c>
      <c r="V16" s="22">
        <f t="shared" si="5"/>
        <v>0</v>
      </c>
      <c r="W16" s="42">
        <f t="shared" si="6"/>
        <v>0</v>
      </c>
      <c r="X16" s="4">
        <f t="shared" si="7"/>
        <v>0</v>
      </c>
      <c r="Y16" s="4">
        <f t="shared" si="8"/>
        <v>0</v>
      </c>
      <c r="Z16" s="82"/>
      <c r="AA16" s="45">
        <f t="shared" si="9"/>
        <v>0</v>
      </c>
      <c r="AB16" s="47">
        <f t="shared" si="10"/>
        <v>0</v>
      </c>
      <c r="AC16" s="17">
        <f t="shared" si="11"/>
        <v>1.0735326516594741</v>
      </c>
    </row>
    <row r="17" spans="2:29" ht="15.75" customHeight="1" x14ac:dyDescent="0.25">
      <c r="B17" s="1">
        <v>14</v>
      </c>
      <c r="C17" s="16" t="s">
        <v>36</v>
      </c>
      <c r="D17" s="2">
        <f>Сотув!C22</f>
        <v>0</v>
      </c>
      <c r="E17" s="5">
        <f>Сотув!D22</f>
        <v>35000</v>
      </c>
      <c r="F17" s="6">
        <v>5905.73</v>
      </c>
      <c r="G17" s="3">
        <f t="shared" si="0"/>
        <v>0</v>
      </c>
      <c r="H17" s="4">
        <f t="shared" si="1"/>
        <v>0</v>
      </c>
      <c r="I17" s="79"/>
      <c r="J17" s="44">
        <f t="shared" si="12"/>
        <v>0</v>
      </c>
      <c r="K17" s="79"/>
      <c r="L17" s="44">
        <f t="shared" si="2"/>
        <v>0</v>
      </c>
      <c r="M17" s="79"/>
      <c r="N17" s="4">
        <f t="shared" si="3"/>
        <v>0</v>
      </c>
      <c r="O17" s="9">
        <f>IF(Сотув!$C$5="Ташкент",0,SUMIF(справка!B:B,C$4:C$1048576,справка!F:F))</f>
        <v>0</v>
      </c>
      <c r="P17" s="98"/>
      <c r="Q17" s="9">
        <f t="shared" si="13"/>
        <v>0</v>
      </c>
      <c r="R17" s="9">
        <f t="shared" si="14"/>
        <v>0</v>
      </c>
      <c r="S17" s="9">
        <f t="shared" si="15"/>
        <v>0</v>
      </c>
      <c r="T17" s="23">
        <f t="shared" si="4"/>
        <v>0</v>
      </c>
      <c r="U17" s="24">
        <v>22400</v>
      </c>
      <c r="V17" s="22">
        <f t="shared" si="5"/>
        <v>0</v>
      </c>
      <c r="W17" s="42">
        <f t="shared" si="6"/>
        <v>-22400</v>
      </c>
      <c r="X17" s="4">
        <f t="shared" si="7"/>
        <v>0</v>
      </c>
      <c r="Y17" s="4">
        <f t="shared" si="8"/>
        <v>0</v>
      </c>
      <c r="Z17" s="82"/>
      <c r="AA17" s="45">
        <f t="shared" si="9"/>
        <v>0</v>
      </c>
      <c r="AB17" s="47">
        <f t="shared" si="10"/>
        <v>0</v>
      </c>
      <c r="AC17" s="17">
        <f t="shared" si="11"/>
        <v>2.7929265306744471</v>
      </c>
    </row>
    <row r="18" spans="2:29" ht="15.75" customHeight="1" x14ac:dyDescent="0.25">
      <c r="B18" s="1">
        <v>15</v>
      </c>
      <c r="C18" s="16" t="s">
        <v>51</v>
      </c>
      <c r="D18" s="2">
        <f>Сотув!C23</f>
        <v>0</v>
      </c>
      <c r="E18" s="5">
        <f>Сотув!D23</f>
        <v>0</v>
      </c>
      <c r="F18" s="6">
        <v>12036.5</v>
      </c>
      <c r="G18" s="3">
        <f t="shared" si="0"/>
        <v>0</v>
      </c>
      <c r="H18" s="4">
        <f t="shared" si="1"/>
        <v>0</v>
      </c>
      <c r="I18" s="79"/>
      <c r="J18" s="44">
        <f t="shared" si="12"/>
        <v>0</v>
      </c>
      <c r="K18" s="79"/>
      <c r="L18" s="44">
        <f t="shared" si="2"/>
        <v>0</v>
      </c>
      <c r="M18" s="79"/>
      <c r="N18" s="4">
        <f t="shared" si="3"/>
        <v>0</v>
      </c>
      <c r="O18" s="9">
        <f>IF(Сотув!$C$5="Ташкент",0,SUMIF(справка!B:B,C$4:C$1048576,справка!F:F))</f>
        <v>0</v>
      </c>
      <c r="P18" s="98"/>
      <c r="Q18" s="9">
        <f t="shared" si="13"/>
        <v>0</v>
      </c>
      <c r="R18" s="9">
        <f t="shared" si="14"/>
        <v>0</v>
      </c>
      <c r="S18" s="9">
        <f t="shared" si="15"/>
        <v>0</v>
      </c>
      <c r="T18" s="23">
        <f t="shared" si="4"/>
        <v>0</v>
      </c>
      <c r="U18" s="24">
        <v>20000</v>
      </c>
      <c r="V18" s="22">
        <f t="shared" si="5"/>
        <v>0</v>
      </c>
      <c r="W18" s="42">
        <f t="shared" si="6"/>
        <v>0</v>
      </c>
      <c r="X18" s="4">
        <f t="shared" si="7"/>
        <v>0</v>
      </c>
      <c r="Y18" s="4">
        <f t="shared" si="8"/>
        <v>0</v>
      </c>
      <c r="Z18" s="82"/>
      <c r="AA18" s="45">
        <f t="shared" si="9"/>
        <v>0</v>
      </c>
      <c r="AB18" s="47">
        <f t="shared" si="10"/>
        <v>0</v>
      </c>
      <c r="AC18" s="17">
        <f t="shared" si="11"/>
        <v>0.66161259502347036</v>
      </c>
    </row>
    <row r="19" spans="2:29" ht="15.75" customHeight="1" x14ac:dyDescent="0.25">
      <c r="B19" s="1">
        <v>16</v>
      </c>
      <c r="C19" s="16" t="s">
        <v>53</v>
      </c>
      <c r="D19" s="2">
        <f>Сотув!C24</f>
        <v>0</v>
      </c>
      <c r="E19" s="5">
        <f>Сотув!D24</f>
        <v>0</v>
      </c>
      <c r="F19" s="6">
        <v>12283.1</v>
      </c>
      <c r="G19" s="3">
        <f t="shared" si="0"/>
        <v>0</v>
      </c>
      <c r="H19" s="4">
        <f t="shared" si="1"/>
        <v>0</v>
      </c>
      <c r="I19" s="79"/>
      <c r="J19" s="44">
        <f t="shared" si="12"/>
        <v>0</v>
      </c>
      <c r="K19" s="79"/>
      <c r="L19" s="44">
        <f t="shared" si="2"/>
        <v>0</v>
      </c>
      <c r="M19" s="79"/>
      <c r="N19" s="4">
        <f t="shared" si="3"/>
        <v>0</v>
      </c>
      <c r="O19" s="9">
        <f>IF(Сотув!$C$5="Ташкент",0,SUMIF(справка!B:B,C$4:C$1048576,справка!F:F))</f>
        <v>0</v>
      </c>
      <c r="P19" s="98"/>
      <c r="Q19" s="9">
        <f t="shared" si="13"/>
        <v>0</v>
      </c>
      <c r="R19" s="9">
        <f t="shared" si="14"/>
        <v>0</v>
      </c>
      <c r="S19" s="9">
        <f t="shared" si="15"/>
        <v>0</v>
      </c>
      <c r="T19" s="23">
        <f t="shared" si="4"/>
        <v>0</v>
      </c>
      <c r="U19" s="24">
        <v>66000</v>
      </c>
      <c r="V19" s="22">
        <f t="shared" si="5"/>
        <v>0</v>
      </c>
      <c r="W19" s="42">
        <f t="shared" si="6"/>
        <v>0</v>
      </c>
      <c r="X19" s="4">
        <f t="shared" si="7"/>
        <v>0</v>
      </c>
      <c r="Y19" s="4">
        <f t="shared" si="8"/>
        <v>0</v>
      </c>
      <c r="Z19" s="82"/>
      <c r="AA19" s="45">
        <f t="shared" si="9"/>
        <v>0</v>
      </c>
      <c r="AB19" s="47">
        <f t="shared" si="10"/>
        <v>0</v>
      </c>
      <c r="AC19" s="17">
        <f t="shared" si="11"/>
        <v>4.3732363979777089</v>
      </c>
    </row>
    <row r="20" spans="2:29" ht="15.75" x14ac:dyDescent="0.25">
      <c r="B20" s="1">
        <v>17</v>
      </c>
      <c r="C20" s="16" t="s">
        <v>37</v>
      </c>
      <c r="D20" s="2">
        <f>Сотув!C25</f>
        <v>0</v>
      </c>
      <c r="E20" s="5">
        <f>Сотув!D25</f>
        <v>0</v>
      </c>
      <c r="F20" s="6">
        <v>9393.59</v>
      </c>
      <c r="G20" s="3">
        <f t="shared" si="0"/>
        <v>0</v>
      </c>
      <c r="H20" s="4">
        <f t="shared" si="1"/>
        <v>0</v>
      </c>
      <c r="I20" s="79"/>
      <c r="J20" s="44">
        <f t="shared" si="12"/>
        <v>0</v>
      </c>
      <c r="K20" s="79"/>
      <c r="L20" s="44">
        <f t="shared" si="2"/>
        <v>0</v>
      </c>
      <c r="M20" s="79"/>
      <c r="N20" s="4">
        <f t="shared" si="3"/>
        <v>0</v>
      </c>
      <c r="O20" s="9">
        <f>IF(Сотув!$C$5="Ташкент",0,SUMIF(справка!B:B,C$4:C$1048576,справка!F:F))</f>
        <v>0</v>
      </c>
      <c r="P20" s="98"/>
      <c r="Q20" s="9">
        <f t="shared" si="13"/>
        <v>0</v>
      </c>
      <c r="R20" s="9">
        <f t="shared" si="14"/>
        <v>0</v>
      </c>
      <c r="S20" s="9">
        <f t="shared" si="15"/>
        <v>0</v>
      </c>
      <c r="T20" s="23">
        <f t="shared" si="4"/>
        <v>0</v>
      </c>
      <c r="U20" s="24">
        <v>11500</v>
      </c>
      <c r="V20" s="22">
        <f t="shared" si="5"/>
        <v>0</v>
      </c>
      <c r="W20" s="42">
        <f t="shared" si="6"/>
        <v>0</v>
      </c>
      <c r="X20" s="4">
        <f t="shared" si="7"/>
        <v>0</v>
      </c>
      <c r="Y20" s="4">
        <f t="shared" si="8"/>
        <v>0</v>
      </c>
      <c r="Z20" s="82"/>
      <c r="AA20" s="45">
        <f t="shared" si="9"/>
        <v>0</v>
      </c>
      <c r="AB20" s="47">
        <f t="shared" si="10"/>
        <v>0</v>
      </c>
      <c r="AC20" s="17">
        <f t="shared" si="11"/>
        <v>0.22423908218263722</v>
      </c>
    </row>
    <row r="21" spans="2:29" ht="15.75" customHeight="1" x14ac:dyDescent="0.25">
      <c r="B21" s="1">
        <v>18</v>
      </c>
      <c r="C21" s="16" t="s">
        <v>38</v>
      </c>
      <c r="D21" s="2">
        <f>Сотув!C26</f>
        <v>0</v>
      </c>
      <c r="E21" s="5">
        <f>Сотув!D26</f>
        <v>0</v>
      </c>
      <c r="F21" s="6">
        <v>6054.72</v>
      </c>
      <c r="G21" s="3">
        <f t="shared" si="0"/>
        <v>0</v>
      </c>
      <c r="H21" s="4">
        <f t="shared" si="1"/>
        <v>0</v>
      </c>
      <c r="I21" s="79"/>
      <c r="J21" s="44">
        <f t="shared" si="12"/>
        <v>0</v>
      </c>
      <c r="K21" s="79"/>
      <c r="L21" s="44">
        <f t="shared" si="2"/>
        <v>0</v>
      </c>
      <c r="M21" s="79"/>
      <c r="N21" s="4">
        <f t="shared" si="3"/>
        <v>0</v>
      </c>
      <c r="O21" s="9">
        <f>IF(Сотув!$C$5="Ташкент",0,SUMIF(справка!B:B,C$4:C$1048576,справка!F:F))</f>
        <v>0</v>
      </c>
      <c r="P21" s="98"/>
      <c r="Q21" s="9">
        <f t="shared" si="13"/>
        <v>0</v>
      </c>
      <c r="R21" s="9">
        <f t="shared" si="14"/>
        <v>0</v>
      </c>
      <c r="S21" s="9">
        <f t="shared" si="15"/>
        <v>0</v>
      </c>
      <c r="T21" s="23">
        <f t="shared" si="4"/>
        <v>0</v>
      </c>
      <c r="U21" s="24">
        <v>25000</v>
      </c>
      <c r="V21" s="22">
        <f t="shared" si="5"/>
        <v>0</v>
      </c>
      <c r="W21" s="42">
        <f t="shared" si="6"/>
        <v>0</v>
      </c>
      <c r="X21" s="4">
        <f t="shared" si="7"/>
        <v>0</v>
      </c>
      <c r="Y21" s="4">
        <f t="shared" si="8"/>
        <v>0</v>
      </c>
      <c r="Z21" s="82"/>
      <c r="AA21" s="45">
        <f t="shared" si="9"/>
        <v>0</v>
      </c>
      <c r="AB21" s="47">
        <f t="shared" si="10"/>
        <v>0</v>
      </c>
      <c r="AC21" s="17">
        <f t="shared" si="11"/>
        <v>3.1290100946038795</v>
      </c>
    </row>
    <row r="22" spans="2:29" ht="15.75" customHeight="1" x14ac:dyDescent="0.25">
      <c r="B22" s="1">
        <v>19</v>
      </c>
      <c r="C22" s="16" t="s">
        <v>46</v>
      </c>
      <c r="D22" s="2">
        <f>Сотув!C27</f>
        <v>0</v>
      </c>
      <c r="E22" s="5">
        <f>Сотув!D27</f>
        <v>0</v>
      </c>
      <c r="F22" s="6">
        <v>17756.13</v>
      </c>
      <c r="G22" s="3">
        <f t="shared" si="0"/>
        <v>0</v>
      </c>
      <c r="H22" s="4">
        <f t="shared" si="1"/>
        <v>0</v>
      </c>
      <c r="I22" s="79"/>
      <c r="J22" s="44">
        <f t="shared" si="12"/>
        <v>0</v>
      </c>
      <c r="K22" s="79"/>
      <c r="L22" s="44">
        <f t="shared" si="2"/>
        <v>0</v>
      </c>
      <c r="M22" s="79"/>
      <c r="N22" s="4">
        <f t="shared" si="3"/>
        <v>0</v>
      </c>
      <c r="O22" s="9">
        <f>IF(Сотув!$C$5="Ташкент",0,SUMIF(справка!B:B,C$4:C$1048576,справка!F:F))</f>
        <v>0</v>
      </c>
      <c r="P22" s="98"/>
      <c r="Q22" s="9">
        <f t="shared" si="13"/>
        <v>0</v>
      </c>
      <c r="R22" s="9">
        <f t="shared" si="14"/>
        <v>0</v>
      </c>
      <c r="S22" s="9">
        <f t="shared" si="15"/>
        <v>0</v>
      </c>
      <c r="T22" s="23">
        <f t="shared" si="4"/>
        <v>0</v>
      </c>
      <c r="U22" s="24">
        <v>43200</v>
      </c>
      <c r="V22" s="22">
        <f t="shared" si="5"/>
        <v>0</v>
      </c>
      <c r="W22" s="42">
        <f t="shared" si="6"/>
        <v>0</v>
      </c>
      <c r="X22" s="4">
        <f t="shared" si="7"/>
        <v>0</v>
      </c>
      <c r="Y22" s="4">
        <f t="shared" si="8"/>
        <v>0</v>
      </c>
      <c r="Z22" s="82"/>
      <c r="AA22" s="45">
        <f t="shared" si="9"/>
        <v>0</v>
      </c>
      <c r="AB22" s="47">
        <f t="shared" si="10"/>
        <v>0</v>
      </c>
      <c r="AC22" s="17">
        <f t="shared" si="11"/>
        <v>1.4329625881315353</v>
      </c>
    </row>
    <row r="23" spans="2:29" ht="15.75" x14ac:dyDescent="0.25">
      <c r="B23" s="1">
        <v>20</v>
      </c>
      <c r="C23" s="16" t="s">
        <v>39</v>
      </c>
      <c r="D23" s="2">
        <f>Сотув!C28</f>
        <v>0</v>
      </c>
      <c r="E23" s="5">
        <f>Сотув!D28</f>
        <v>0</v>
      </c>
      <c r="F23" s="6">
        <v>20449.8</v>
      </c>
      <c r="G23" s="3">
        <f t="shared" si="0"/>
        <v>0</v>
      </c>
      <c r="H23" s="4">
        <f t="shared" si="1"/>
        <v>0</v>
      </c>
      <c r="I23" s="79"/>
      <c r="J23" s="44">
        <f t="shared" si="12"/>
        <v>0</v>
      </c>
      <c r="K23" s="79"/>
      <c r="L23" s="44">
        <f t="shared" si="2"/>
        <v>0</v>
      </c>
      <c r="M23" s="79"/>
      <c r="N23" s="4">
        <f t="shared" si="3"/>
        <v>0</v>
      </c>
      <c r="O23" s="9">
        <f>IF(Сотув!$C$5="Ташкент",0,SUMIF(справка!B:B,C$4:C$1048576,справка!F:F))</f>
        <v>0</v>
      </c>
      <c r="P23" s="98"/>
      <c r="Q23" s="9">
        <f t="shared" si="13"/>
        <v>0</v>
      </c>
      <c r="R23" s="9">
        <f t="shared" si="14"/>
        <v>0</v>
      </c>
      <c r="S23" s="9">
        <f t="shared" si="15"/>
        <v>0</v>
      </c>
      <c r="T23" s="23">
        <f t="shared" si="4"/>
        <v>0</v>
      </c>
      <c r="U23" s="24">
        <v>6000</v>
      </c>
      <c r="V23" s="22">
        <f t="shared" si="5"/>
        <v>0</v>
      </c>
      <c r="W23" s="42">
        <f t="shared" si="6"/>
        <v>0</v>
      </c>
      <c r="X23" s="4">
        <f t="shared" si="7"/>
        <v>0</v>
      </c>
      <c r="Y23" s="4">
        <f t="shared" si="8"/>
        <v>0</v>
      </c>
      <c r="Z23" s="82"/>
      <c r="AA23" s="45">
        <f t="shared" si="9"/>
        <v>0</v>
      </c>
      <c r="AB23" s="47">
        <f t="shared" si="10"/>
        <v>0</v>
      </c>
      <c r="AC23" s="17">
        <f t="shared" si="11"/>
        <v>-0.70659859754129628</v>
      </c>
    </row>
    <row r="24" spans="2:29" ht="15.75" customHeight="1" x14ac:dyDescent="0.25">
      <c r="B24" s="1">
        <v>21</v>
      </c>
      <c r="C24" s="16" t="s">
        <v>61</v>
      </c>
      <c r="D24" s="2">
        <f>Сотув!C29</f>
        <v>0</v>
      </c>
      <c r="E24" s="5">
        <f>Сотув!D29</f>
        <v>42000</v>
      </c>
      <c r="F24" s="8">
        <v>12036.7</v>
      </c>
      <c r="G24" s="3">
        <f t="shared" si="0"/>
        <v>0</v>
      </c>
      <c r="H24" s="4">
        <f t="shared" si="1"/>
        <v>0</v>
      </c>
      <c r="I24" s="79"/>
      <c r="J24" s="44">
        <f>H24*$I$4</f>
        <v>0</v>
      </c>
      <c r="K24" s="79"/>
      <c r="L24" s="44">
        <f t="shared" si="2"/>
        <v>0</v>
      </c>
      <c r="M24" s="79"/>
      <c r="N24" s="4">
        <f t="shared" si="3"/>
        <v>0</v>
      </c>
      <c r="O24" s="9">
        <f>IF(Сотув!$C$5="Ташкент",0,SUMIF(справка!B:B,C$4:C$1048576,справка!F:F))</f>
        <v>0</v>
      </c>
      <c r="P24" s="98"/>
      <c r="Q24" s="9">
        <f t="shared" si="13"/>
        <v>0</v>
      </c>
      <c r="R24" s="9">
        <f t="shared" si="14"/>
        <v>0</v>
      </c>
      <c r="S24" s="9">
        <f t="shared" si="15"/>
        <v>0</v>
      </c>
      <c r="T24" s="23">
        <f t="shared" si="4"/>
        <v>0</v>
      </c>
      <c r="U24" s="24">
        <v>22340</v>
      </c>
      <c r="V24" s="22">
        <f t="shared" si="5"/>
        <v>0</v>
      </c>
      <c r="W24" s="42">
        <f t="shared" si="6"/>
        <v>-22340</v>
      </c>
      <c r="X24" s="4">
        <f t="shared" si="7"/>
        <v>0</v>
      </c>
      <c r="Y24" s="4">
        <f t="shared" si="8"/>
        <v>0</v>
      </c>
      <c r="Z24" s="82"/>
      <c r="AA24" s="45">
        <f t="shared" si="9"/>
        <v>0</v>
      </c>
      <c r="AB24" s="47">
        <f t="shared" si="10"/>
        <v>0</v>
      </c>
      <c r="AC24" s="17">
        <f t="shared" si="11"/>
        <v>0.85599042927048097</v>
      </c>
    </row>
    <row r="25" spans="2:29" ht="15.75" customHeight="1" x14ac:dyDescent="0.25">
      <c r="B25" s="1">
        <v>22</v>
      </c>
      <c r="C25" s="16" t="s">
        <v>13</v>
      </c>
      <c r="D25" s="2">
        <f>Сотув!C30</f>
        <v>0</v>
      </c>
      <c r="E25" s="5">
        <f>Сотув!D30</f>
        <v>60000</v>
      </c>
      <c r="F25" s="8">
        <v>25970.05</v>
      </c>
      <c r="G25" s="3">
        <f t="shared" si="0"/>
        <v>0</v>
      </c>
      <c r="H25" s="4">
        <f t="shared" si="1"/>
        <v>0</v>
      </c>
      <c r="I25" s="79"/>
      <c r="J25" s="44">
        <f t="shared" si="12"/>
        <v>0</v>
      </c>
      <c r="K25" s="79"/>
      <c r="L25" s="44">
        <f t="shared" si="2"/>
        <v>0</v>
      </c>
      <c r="M25" s="79"/>
      <c r="N25" s="4">
        <f t="shared" si="3"/>
        <v>0</v>
      </c>
      <c r="O25" s="9">
        <f>IF(Сотув!$C$5="Ташкент",0,SUMIF(справка!B:B,C$4:C$1048576,справка!F:F))</f>
        <v>0</v>
      </c>
      <c r="P25" s="98"/>
      <c r="Q25" s="9">
        <f t="shared" si="13"/>
        <v>0</v>
      </c>
      <c r="R25" s="9">
        <f t="shared" si="14"/>
        <v>0</v>
      </c>
      <c r="S25" s="9">
        <f t="shared" si="15"/>
        <v>0</v>
      </c>
      <c r="T25" s="23">
        <f t="shared" si="4"/>
        <v>0</v>
      </c>
      <c r="U25" s="24">
        <v>31200</v>
      </c>
      <c r="V25" s="22">
        <f t="shared" si="5"/>
        <v>0</v>
      </c>
      <c r="W25" s="42">
        <f t="shared" si="6"/>
        <v>-31200</v>
      </c>
      <c r="X25" s="4">
        <f t="shared" si="7"/>
        <v>0</v>
      </c>
      <c r="Y25" s="4">
        <f t="shared" si="8"/>
        <v>0</v>
      </c>
      <c r="Z25" s="82"/>
      <c r="AA25" s="45">
        <f t="shared" si="9"/>
        <v>0</v>
      </c>
      <c r="AB25" s="47">
        <f t="shared" si="10"/>
        <v>0</v>
      </c>
      <c r="AC25" s="17">
        <f t="shared" si="11"/>
        <v>0.20138390184077437</v>
      </c>
    </row>
    <row r="26" spans="2:29" ht="15.75" customHeight="1" x14ac:dyDescent="0.25">
      <c r="B26" s="1">
        <v>23</v>
      </c>
      <c r="C26" s="16" t="s">
        <v>43</v>
      </c>
      <c r="D26" s="2">
        <f>Сотув!C31</f>
        <v>0</v>
      </c>
      <c r="E26" s="5">
        <f>Сотув!D31</f>
        <v>0</v>
      </c>
      <c r="F26" s="6">
        <v>9989.32</v>
      </c>
      <c r="G26" s="3">
        <f t="shared" si="0"/>
        <v>0</v>
      </c>
      <c r="H26" s="4">
        <f t="shared" si="1"/>
        <v>0</v>
      </c>
      <c r="I26" s="79"/>
      <c r="J26" s="44">
        <f t="shared" si="12"/>
        <v>0</v>
      </c>
      <c r="K26" s="79"/>
      <c r="L26" s="44">
        <f t="shared" si="2"/>
        <v>0</v>
      </c>
      <c r="M26" s="79"/>
      <c r="N26" s="4">
        <f t="shared" si="3"/>
        <v>0</v>
      </c>
      <c r="O26" s="9">
        <f>IF(Сотув!$C$5="Ташкент",0,SUMIF(справка!B:B,C$4:C$1048576,справка!F:F))</f>
        <v>0</v>
      </c>
      <c r="P26" s="98"/>
      <c r="Q26" s="9">
        <f t="shared" si="13"/>
        <v>0</v>
      </c>
      <c r="R26" s="9">
        <f t="shared" si="14"/>
        <v>0</v>
      </c>
      <c r="S26" s="9">
        <f t="shared" si="15"/>
        <v>0</v>
      </c>
      <c r="T26" s="23">
        <f t="shared" si="4"/>
        <v>0</v>
      </c>
      <c r="U26" s="24">
        <v>6400</v>
      </c>
      <c r="V26" s="22">
        <f t="shared" si="5"/>
        <v>0</v>
      </c>
      <c r="W26" s="42">
        <f t="shared" si="6"/>
        <v>0</v>
      </c>
      <c r="X26" s="4">
        <f t="shared" si="7"/>
        <v>0</v>
      </c>
      <c r="Y26" s="4">
        <f t="shared" si="8"/>
        <v>0</v>
      </c>
      <c r="Z26" s="82"/>
      <c r="AA26" s="45">
        <f t="shared" si="9"/>
        <v>0</v>
      </c>
      <c r="AB26" s="47">
        <f t="shared" si="10"/>
        <v>0</v>
      </c>
      <c r="AC26" s="17">
        <f t="shared" si="11"/>
        <v>-0.35931574922016707</v>
      </c>
    </row>
    <row r="27" spans="2:29" ht="15.75" customHeight="1" x14ac:dyDescent="0.25">
      <c r="B27" s="1">
        <v>24</v>
      </c>
      <c r="C27" s="16" t="s">
        <v>27</v>
      </c>
      <c r="D27" s="2">
        <f>Сотув!C32</f>
        <v>0</v>
      </c>
      <c r="E27" s="5">
        <f>Сотув!D32</f>
        <v>72000</v>
      </c>
      <c r="F27" s="6">
        <v>10923.27</v>
      </c>
      <c r="G27" s="3">
        <f t="shared" si="0"/>
        <v>0</v>
      </c>
      <c r="H27" s="4">
        <f t="shared" si="1"/>
        <v>0</v>
      </c>
      <c r="I27" s="79"/>
      <c r="J27" s="44">
        <f t="shared" si="12"/>
        <v>0</v>
      </c>
      <c r="K27" s="79"/>
      <c r="L27" s="44">
        <f t="shared" si="2"/>
        <v>0</v>
      </c>
      <c r="M27" s="79"/>
      <c r="N27" s="4">
        <f t="shared" si="3"/>
        <v>0</v>
      </c>
      <c r="O27" s="9">
        <f>IF(Сотув!$C$5="Ташкент",0,SUMIF(справка!B:B,C$4:C$1048576,справка!F:F))</f>
        <v>0</v>
      </c>
      <c r="P27" s="98"/>
      <c r="Q27" s="9">
        <f t="shared" si="13"/>
        <v>0</v>
      </c>
      <c r="R27" s="9">
        <f t="shared" si="14"/>
        <v>0</v>
      </c>
      <c r="S27" s="9">
        <f t="shared" si="15"/>
        <v>0</v>
      </c>
      <c r="T27" s="23">
        <f t="shared" si="4"/>
        <v>0</v>
      </c>
      <c r="U27" s="24">
        <v>37440</v>
      </c>
      <c r="V27" s="22">
        <f t="shared" si="5"/>
        <v>0</v>
      </c>
      <c r="W27" s="42">
        <f t="shared" si="6"/>
        <v>-37440</v>
      </c>
      <c r="X27" s="4">
        <f t="shared" si="7"/>
        <v>0</v>
      </c>
      <c r="Y27" s="4">
        <f t="shared" si="8"/>
        <v>0</v>
      </c>
      <c r="Z27" s="82"/>
      <c r="AA27" s="45">
        <f t="shared" si="9"/>
        <v>0</v>
      </c>
      <c r="AB27" s="47">
        <f t="shared" si="10"/>
        <v>0</v>
      </c>
      <c r="AC27" s="17">
        <f t="shared" si="11"/>
        <v>2.4275450483234415</v>
      </c>
    </row>
    <row r="28" spans="2:29" ht="15.75" x14ac:dyDescent="0.25">
      <c r="B28" s="1">
        <v>25</v>
      </c>
      <c r="C28" s="16" t="s">
        <v>37</v>
      </c>
      <c r="D28" s="2">
        <f>Сотув!C33</f>
        <v>0</v>
      </c>
      <c r="E28" s="5">
        <f>Сотув!D33</f>
        <v>0</v>
      </c>
      <c r="F28" s="6">
        <v>9393.59</v>
      </c>
      <c r="G28" s="3">
        <f t="shared" si="0"/>
        <v>0</v>
      </c>
      <c r="H28" s="4">
        <f t="shared" si="1"/>
        <v>0</v>
      </c>
      <c r="I28" s="79"/>
      <c r="J28" s="44">
        <f t="shared" si="12"/>
        <v>0</v>
      </c>
      <c r="K28" s="79"/>
      <c r="L28" s="44">
        <f t="shared" si="2"/>
        <v>0</v>
      </c>
      <c r="M28" s="79"/>
      <c r="N28" s="4">
        <f t="shared" si="3"/>
        <v>0</v>
      </c>
      <c r="O28" s="9">
        <f>IF(Сотув!$C$5="Ташкент",0,SUMIF(справка!B:B,C$4:C$1048576,справка!F:F))</f>
        <v>0</v>
      </c>
      <c r="P28" s="98"/>
      <c r="Q28" s="9">
        <f t="shared" si="13"/>
        <v>0</v>
      </c>
      <c r="R28" s="9">
        <f t="shared" si="14"/>
        <v>0</v>
      </c>
      <c r="S28" s="9">
        <f t="shared" si="15"/>
        <v>0</v>
      </c>
      <c r="T28" s="23">
        <f t="shared" si="4"/>
        <v>0</v>
      </c>
      <c r="U28" s="24">
        <v>11500</v>
      </c>
      <c r="V28" s="22">
        <f t="shared" si="5"/>
        <v>0</v>
      </c>
      <c r="W28" s="42">
        <f t="shared" si="6"/>
        <v>0</v>
      </c>
      <c r="X28" s="4">
        <f t="shared" si="7"/>
        <v>0</v>
      </c>
      <c r="Y28" s="4">
        <f t="shared" si="8"/>
        <v>0</v>
      </c>
      <c r="Z28" s="82"/>
      <c r="AA28" s="45">
        <f t="shared" si="9"/>
        <v>0</v>
      </c>
      <c r="AB28" s="47">
        <f t="shared" si="10"/>
        <v>0</v>
      </c>
      <c r="AC28" s="17">
        <f t="shared" si="11"/>
        <v>0.22423908218263722</v>
      </c>
    </row>
    <row r="29" spans="2:29" ht="15.75" customHeight="1" x14ac:dyDescent="0.25">
      <c r="B29" s="1">
        <v>26</v>
      </c>
      <c r="C29" s="16" t="s">
        <v>40</v>
      </c>
      <c r="D29" s="2">
        <f>Сотув!C34</f>
        <v>0</v>
      </c>
      <c r="E29" s="5">
        <f>Сотув!D34</f>
        <v>75000</v>
      </c>
      <c r="F29" s="6">
        <v>4765.84</v>
      </c>
      <c r="G29" s="3">
        <f t="shared" si="0"/>
        <v>0</v>
      </c>
      <c r="H29" s="4">
        <f t="shared" si="1"/>
        <v>0</v>
      </c>
      <c r="I29" s="79"/>
      <c r="J29" s="44">
        <f t="shared" si="12"/>
        <v>0</v>
      </c>
      <c r="K29" s="79"/>
      <c r="L29" s="44">
        <f t="shared" si="2"/>
        <v>0</v>
      </c>
      <c r="M29" s="79"/>
      <c r="N29" s="4">
        <f t="shared" si="3"/>
        <v>0</v>
      </c>
      <c r="O29" s="9">
        <f>IF(Сотув!$C$5="Ташкент",0,SUMIF(справка!B:B,C$4:C$1048576,справка!F:F))</f>
        <v>0</v>
      </c>
      <c r="P29" s="98"/>
      <c r="Q29" s="9">
        <f t="shared" si="13"/>
        <v>0</v>
      </c>
      <c r="R29" s="9">
        <f t="shared" si="14"/>
        <v>0</v>
      </c>
      <c r="S29" s="9">
        <f t="shared" si="15"/>
        <v>0</v>
      </c>
      <c r="T29" s="23">
        <f t="shared" si="4"/>
        <v>0</v>
      </c>
      <c r="U29" s="24">
        <v>39750</v>
      </c>
      <c r="V29" s="22">
        <f t="shared" si="5"/>
        <v>0</v>
      </c>
      <c r="W29" s="42">
        <f t="shared" si="6"/>
        <v>-39750</v>
      </c>
      <c r="X29" s="4">
        <f t="shared" si="7"/>
        <v>0</v>
      </c>
      <c r="Y29" s="4">
        <f t="shared" si="8"/>
        <v>0</v>
      </c>
      <c r="Z29" s="82"/>
      <c r="AA29" s="45">
        <f t="shared" si="9"/>
        <v>0</v>
      </c>
      <c r="AB29" s="47">
        <f t="shared" si="10"/>
        <v>0</v>
      </c>
      <c r="AC29" s="17">
        <f t="shared" si="11"/>
        <v>7.3406073221090082</v>
      </c>
    </row>
    <row r="30" spans="2:29" ht="15.75" customHeight="1" x14ac:dyDescent="0.25">
      <c r="B30" s="1">
        <v>27</v>
      </c>
      <c r="C30" s="16" t="s">
        <v>41</v>
      </c>
      <c r="D30" s="2">
        <f>Сотув!C35</f>
        <v>0</v>
      </c>
      <c r="E30" s="5">
        <f>Сотув!D35</f>
        <v>0</v>
      </c>
      <c r="F30" s="6">
        <v>6475.58</v>
      </c>
      <c r="G30" s="3">
        <f t="shared" si="0"/>
        <v>0</v>
      </c>
      <c r="H30" s="4">
        <f t="shared" si="1"/>
        <v>0</v>
      </c>
      <c r="I30" s="79"/>
      <c r="J30" s="44">
        <f t="shared" si="12"/>
        <v>0</v>
      </c>
      <c r="K30" s="79"/>
      <c r="L30" s="44">
        <f t="shared" si="2"/>
        <v>0</v>
      </c>
      <c r="M30" s="79"/>
      <c r="N30" s="4">
        <f t="shared" si="3"/>
        <v>0</v>
      </c>
      <c r="O30" s="9">
        <f>IF(Сотув!$C$5="Ташкент",0,SUMIF(справка!B:B,C$4:C$1048576,справка!F:F))</f>
        <v>0</v>
      </c>
      <c r="P30" s="98"/>
      <c r="Q30" s="9">
        <f t="shared" si="13"/>
        <v>0</v>
      </c>
      <c r="R30" s="9">
        <f t="shared" si="14"/>
        <v>0</v>
      </c>
      <c r="S30" s="9">
        <f t="shared" si="15"/>
        <v>0</v>
      </c>
      <c r="T30" s="23">
        <f t="shared" si="4"/>
        <v>0</v>
      </c>
      <c r="U30" s="24">
        <v>16000</v>
      </c>
      <c r="V30" s="22">
        <f t="shared" si="5"/>
        <v>0</v>
      </c>
      <c r="W30" s="42">
        <f t="shared" si="6"/>
        <v>0</v>
      </c>
      <c r="X30" s="4">
        <f t="shared" si="7"/>
        <v>0</v>
      </c>
      <c r="Y30" s="4">
        <f t="shared" si="8"/>
        <v>0</v>
      </c>
      <c r="Z30" s="82"/>
      <c r="AA30" s="45">
        <f t="shared" si="9"/>
        <v>0</v>
      </c>
      <c r="AB30" s="47">
        <f t="shared" si="10"/>
        <v>0</v>
      </c>
      <c r="AC30" s="17">
        <f t="shared" si="11"/>
        <v>1.4708211465227827</v>
      </c>
    </row>
    <row r="31" spans="2:29" ht="15.75" customHeight="1" thickBot="1" x14ac:dyDescent="0.3">
      <c r="B31" s="1">
        <v>28</v>
      </c>
      <c r="C31" s="16" t="s">
        <v>44</v>
      </c>
      <c r="D31" s="2">
        <f>Сотув!C36</f>
        <v>0</v>
      </c>
      <c r="E31" s="5">
        <f>Сотув!D36</f>
        <v>0</v>
      </c>
      <c r="F31" s="6">
        <v>7012.31</v>
      </c>
      <c r="G31" s="3">
        <f t="shared" si="0"/>
        <v>0</v>
      </c>
      <c r="H31" s="4">
        <f t="shared" si="1"/>
        <v>0</v>
      </c>
      <c r="I31" s="79"/>
      <c r="J31" s="44">
        <f t="shared" si="12"/>
        <v>0</v>
      </c>
      <c r="K31" s="79"/>
      <c r="L31" s="44">
        <f t="shared" si="2"/>
        <v>0</v>
      </c>
      <c r="M31" s="79"/>
      <c r="N31" s="4">
        <f t="shared" si="3"/>
        <v>0</v>
      </c>
      <c r="O31" s="9">
        <f>IF(Сотув!$C$5="Ташкент",0,SUMIF(справка!B:B,C$4:C$1048576,справка!F:F))</f>
        <v>0</v>
      </c>
      <c r="P31" s="98"/>
      <c r="Q31" s="9">
        <f t="shared" si="13"/>
        <v>0</v>
      </c>
      <c r="R31" s="9">
        <f t="shared" si="14"/>
        <v>0</v>
      </c>
      <c r="S31" s="9">
        <f t="shared" si="15"/>
        <v>0</v>
      </c>
      <c r="T31" s="23">
        <f t="shared" si="4"/>
        <v>0</v>
      </c>
      <c r="U31" s="24">
        <v>4500</v>
      </c>
      <c r="V31" s="22">
        <f t="shared" si="5"/>
        <v>0</v>
      </c>
      <c r="W31" s="42">
        <f t="shared" si="6"/>
        <v>0</v>
      </c>
      <c r="X31" s="4">
        <f t="shared" si="7"/>
        <v>0</v>
      </c>
      <c r="Y31" s="4">
        <f t="shared" si="8"/>
        <v>0</v>
      </c>
      <c r="Z31" s="82"/>
      <c r="AA31" s="45">
        <f t="shared" si="9"/>
        <v>0</v>
      </c>
      <c r="AB31" s="47">
        <f t="shared" si="10"/>
        <v>0</v>
      </c>
      <c r="AC31" s="17">
        <f t="shared" si="11"/>
        <v>-0.35827138275404258</v>
      </c>
    </row>
    <row r="32" spans="2:29" ht="16.5" thickBot="1" x14ac:dyDescent="0.3">
      <c r="B32" s="1">
        <v>29</v>
      </c>
      <c r="C32" s="16" t="s">
        <v>42</v>
      </c>
      <c r="D32" s="2">
        <f>Сотув!C37</f>
        <v>0</v>
      </c>
      <c r="E32" s="5">
        <f>Сотув!D37</f>
        <v>0</v>
      </c>
      <c r="F32" s="21">
        <v>6183.01</v>
      </c>
      <c r="G32" s="20">
        <f t="shared" si="0"/>
        <v>0</v>
      </c>
      <c r="H32" s="4">
        <f t="shared" si="1"/>
        <v>0</v>
      </c>
      <c r="I32" s="80"/>
      <c r="J32" s="44">
        <f t="shared" si="12"/>
        <v>0</v>
      </c>
      <c r="K32" s="80"/>
      <c r="L32" s="44">
        <f t="shared" si="2"/>
        <v>0</v>
      </c>
      <c r="M32" s="80"/>
      <c r="N32" s="4">
        <f t="shared" si="3"/>
        <v>0</v>
      </c>
      <c r="O32" s="9">
        <f>IF(Сотув!$C$5="Ташкент",0,SUMIF(справка!B:B,C$4:C$1048576,справка!F:F))</f>
        <v>0</v>
      </c>
      <c r="P32" s="99"/>
      <c r="Q32" s="9">
        <f t="shared" si="13"/>
        <v>0</v>
      </c>
      <c r="R32" s="9">
        <f t="shared" si="14"/>
        <v>0</v>
      </c>
      <c r="S32" s="9">
        <f t="shared" si="15"/>
        <v>0</v>
      </c>
      <c r="T32" s="23">
        <f t="shared" si="4"/>
        <v>0</v>
      </c>
      <c r="U32" s="24">
        <v>12000</v>
      </c>
      <c r="V32" s="22">
        <f t="shared" si="5"/>
        <v>0</v>
      </c>
      <c r="W32" s="42">
        <f t="shared" si="6"/>
        <v>0</v>
      </c>
      <c r="X32" s="4">
        <f t="shared" si="7"/>
        <v>0</v>
      </c>
      <c r="Y32" s="4">
        <f t="shared" si="8"/>
        <v>0</v>
      </c>
      <c r="Z32" s="83"/>
      <c r="AA32" s="45">
        <f t="shared" si="9"/>
        <v>0</v>
      </c>
      <c r="AB32" s="47">
        <f t="shared" si="10"/>
        <v>0</v>
      </c>
      <c r="AC32" s="17">
        <f t="shared" si="11"/>
        <v>0.94080229532218129</v>
      </c>
    </row>
    <row r="33" spans="2:29" ht="30" x14ac:dyDescent="0.25">
      <c r="B33" s="1">
        <v>30</v>
      </c>
      <c r="C33" s="16" t="s">
        <v>12</v>
      </c>
      <c r="D33" s="2">
        <f>Сотув!C38</f>
        <v>0</v>
      </c>
      <c r="E33" s="5">
        <f>Сотув!D38</f>
        <v>41000</v>
      </c>
      <c r="F33" s="8">
        <v>6054.72</v>
      </c>
      <c r="G33" s="3">
        <f t="shared" si="0"/>
        <v>0</v>
      </c>
      <c r="H33" s="4">
        <f t="shared" si="1"/>
        <v>0</v>
      </c>
      <c r="I33" s="79"/>
      <c r="J33" s="44">
        <f t="shared" si="12"/>
        <v>0</v>
      </c>
      <c r="K33" s="79"/>
      <c r="L33" s="44">
        <f t="shared" si="2"/>
        <v>0</v>
      </c>
      <c r="M33" s="79"/>
      <c r="N33" s="4">
        <f t="shared" si="3"/>
        <v>0</v>
      </c>
      <c r="O33" s="9">
        <f>IF(Сотув!$C$5="Ташкент",0,SUMIF(справка!B:B,C$4:C$1048576,справка!F:F))</f>
        <v>0</v>
      </c>
      <c r="P33" s="98"/>
      <c r="Q33" s="9">
        <f t="shared" si="13"/>
        <v>0</v>
      </c>
      <c r="R33" s="9">
        <f t="shared" si="14"/>
        <v>0</v>
      </c>
      <c r="S33" s="9">
        <f t="shared" si="15"/>
        <v>0</v>
      </c>
      <c r="T33" s="23">
        <f t="shared" si="4"/>
        <v>0</v>
      </c>
      <c r="U33" s="24">
        <v>21570</v>
      </c>
      <c r="V33" s="22">
        <f t="shared" si="5"/>
        <v>0</v>
      </c>
      <c r="W33" s="42">
        <f t="shared" si="6"/>
        <v>-21570</v>
      </c>
      <c r="X33" s="4">
        <f t="shared" si="7"/>
        <v>0</v>
      </c>
      <c r="Y33" s="4">
        <f t="shared" si="8"/>
        <v>0</v>
      </c>
      <c r="Z33" s="82"/>
      <c r="AA33" s="45">
        <f t="shared" si="9"/>
        <v>0</v>
      </c>
      <c r="AB33" s="47">
        <f t="shared" si="10"/>
        <v>0</v>
      </c>
      <c r="AC33" s="17">
        <f t="shared" si="11"/>
        <v>2.562509909624227</v>
      </c>
    </row>
    <row r="34" spans="2:29" ht="15.75" customHeight="1" x14ac:dyDescent="0.25">
      <c r="B34" s="1">
        <v>31</v>
      </c>
      <c r="C34" s="16" t="s">
        <v>45</v>
      </c>
      <c r="D34" s="2">
        <f>Сотув!C39</f>
        <v>0</v>
      </c>
      <c r="E34" s="5">
        <f>Сотув!D39</f>
        <v>0</v>
      </c>
      <c r="F34" s="6">
        <v>20881.3</v>
      </c>
      <c r="G34" s="3">
        <f t="shared" si="0"/>
        <v>0</v>
      </c>
      <c r="H34" s="4">
        <f t="shared" si="1"/>
        <v>0</v>
      </c>
      <c r="I34" s="79"/>
      <c r="J34" s="44">
        <f t="shared" si="12"/>
        <v>0</v>
      </c>
      <c r="K34" s="79"/>
      <c r="L34" s="44">
        <f t="shared" si="2"/>
        <v>0</v>
      </c>
      <c r="M34" s="79"/>
      <c r="N34" s="4">
        <f t="shared" si="3"/>
        <v>0</v>
      </c>
      <c r="O34" s="9">
        <f>IF(Сотув!$C$5="Ташкент",0,SUMIF(справка!B:B,C$4:C$1048576,справка!F:F))</f>
        <v>0</v>
      </c>
      <c r="P34" s="98"/>
      <c r="Q34" s="9">
        <f t="shared" si="13"/>
        <v>0</v>
      </c>
      <c r="R34" s="9">
        <f t="shared" si="14"/>
        <v>0</v>
      </c>
      <c r="S34" s="9">
        <f t="shared" si="15"/>
        <v>0</v>
      </c>
      <c r="T34" s="23">
        <f t="shared" si="4"/>
        <v>0</v>
      </c>
      <c r="U34" s="24">
        <v>0</v>
      </c>
      <c r="V34" s="22">
        <f t="shared" si="5"/>
        <v>0</v>
      </c>
      <c r="W34" s="42">
        <f t="shared" si="6"/>
        <v>0</v>
      </c>
      <c r="X34" s="4">
        <f t="shared" si="7"/>
        <v>0</v>
      </c>
      <c r="Y34" s="4">
        <f t="shared" si="8"/>
        <v>0</v>
      </c>
      <c r="Z34" s="82"/>
      <c r="AA34" s="45">
        <f t="shared" si="9"/>
        <v>0</v>
      </c>
      <c r="AB34" s="47">
        <f t="shared" si="10"/>
        <v>0</v>
      </c>
      <c r="AC34" s="17">
        <f t="shared" si="11"/>
        <v>-1</v>
      </c>
    </row>
    <row r="35" spans="2:29" ht="15.75" customHeight="1" x14ac:dyDescent="0.25">
      <c r="B35" s="1">
        <v>32</v>
      </c>
      <c r="C35" s="16" t="s">
        <v>57</v>
      </c>
      <c r="D35" s="2">
        <f>Сотув!C40</f>
        <v>0</v>
      </c>
      <c r="E35" s="5">
        <f>Сотув!D40</f>
        <v>0</v>
      </c>
      <c r="F35" s="6">
        <v>28852.02</v>
      </c>
      <c r="G35" s="3">
        <f t="shared" si="0"/>
        <v>0</v>
      </c>
      <c r="H35" s="4">
        <f t="shared" si="1"/>
        <v>0</v>
      </c>
      <c r="I35" s="79"/>
      <c r="J35" s="44">
        <f t="shared" si="12"/>
        <v>0</v>
      </c>
      <c r="K35" s="79"/>
      <c r="L35" s="44">
        <f t="shared" si="2"/>
        <v>0</v>
      </c>
      <c r="M35" s="79"/>
      <c r="N35" s="4">
        <f t="shared" si="3"/>
        <v>0</v>
      </c>
      <c r="O35" s="9">
        <f>IF(Сотув!$C$5="Ташкент",0,SUMIF(справка!B:B,C$4:C$1048576,справка!F:F))</f>
        <v>0</v>
      </c>
      <c r="P35" s="98"/>
      <c r="Q35" s="9">
        <f t="shared" si="13"/>
        <v>0</v>
      </c>
      <c r="R35" s="9">
        <f t="shared" si="14"/>
        <v>0</v>
      </c>
      <c r="S35" s="9">
        <f t="shared" si="15"/>
        <v>0</v>
      </c>
      <c r="T35" s="23">
        <f t="shared" si="4"/>
        <v>0</v>
      </c>
      <c r="U35" s="24">
        <v>37500</v>
      </c>
      <c r="V35" s="22">
        <f t="shared" si="5"/>
        <v>0</v>
      </c>
      <c r="W35" s="42">
        <f t="shared" si="6"/>
        <v>0</v>
      </c>
      <c r="X35" s="4">
        <f t="shared" si="7"/>
        <v>0</v>
      </c>
      <c r="Y35" s="4">
        <f t="shared" si="8"/>
        <v>0</v>
      </c>
      <c r="Z35" s="82"/>
      <c r="AA35" s="45">
        <f t="shared" si="9"/>
        <v>0</v>
      </c>
      <c r="AB35" s="47">
        <f t="shared" si="10"/>
        <v>0</v>
      </c>
      <c r="AC35" s="17">
        <f t="shared" si="11"/>
        <v>0.29973568575094567</v>
      </c>
    </row>
    <row r="36" spans="2:29" ht="15.75" customHeight="1" x14ac:dyDescent="0.25">
      <c r="B36" s="1">
        <v>33</v>
      </c>
      <c r="C36" s="16" t="s">
        <v>49</v>
      </c>
      <c r="D36" s="2">
        <f>Сотув!C41</f>
        <v>0</v>
      </c>
      <c r="E36" s="5">
        <f>Сотув!D41</f>
        <v>0</v>
      </c>
      <c r="F36" s="6">
        <v>6993.54</v>
      </c>
      <c r="G36" s="3">
        <f t="shared" si="0"/>
        <v>0</v>
      </c>
      <c r="H36" s="4">
        <f t="shared" si="1"/>
        <v>0</v>
      </c>
      <c r="I36" s="79"/>
      <c r="J36" s="44">
        <f t="shared" si="12"/>
        <v>0</v>
      </c>
      <c r="K36" s="79"/>
      <c r="L36" s="44">
        <f t="shared" si="2"/>
        <v>0</v>
      </c>
      <c r="M36" s="79"/>
      <c r="N36" s="4">
        <f t="shared" si="3"/>
        <v>0</v>
      </c>
      <c r="O36" s="9">
        <f>IF(Сотув!$C$5="Ташкент",0,SUMIF(справка!B:B,C$4:C$1048576,справка!F:F))</f>
        <v>0</v>
      </c>
      <c r="P36" s="98"/>
      <c r="Q36" s="9">
        <f t="shared" si="13"/>
        <v>0</v>
      </c>
      <c r="R36" s="9">
        <f t="shared" si="14"/>
        <v>0</v>
      </c>
      <c r="S36" s="9">
        <f t="shared" si="15"/>
        <v>0</v>
      </c>
      <c r="T36" s="23">
        <f t="shared" si="4"/>
        <v>0</v>
      </c>
      <c r="U36" s="24">
        <v>14000</v>
      </c>
      <c r="V36" s="22">
        <f t="shared" si="5"/>
        <v>0</v>
      </c>
      <c r="W36" s="42">
        <f t="shared" si="6"/>
        <v>0</v>
      </c>
      <c r="X36" s="4">
        <f t="shared" si="7"/>
        <v>0</v>
      </c>
      <c r="Y36" s="4">
        <f t="shared" si="8"/>
        <v>0</v>
      </c>
      <c r="Z36" s="82"/>
      <c r="AA36" s="45">
        <f t="shared" si="9"/>
        <v>0</v>
      </c>
      <c r="AB36" s="47">
        <f t="shared" si="10"/>
        <v>0</v>
      </c>
      <c r="AC36" s="17">
        <f t="shared" si="11"/>
        <v>1.0018474191897093</v>
      </c>
    </row>
    <row r="37" spans="2:29" ht="15.75" customHeight="1" x14ac:dyDescent="0.25">
      <c r="B37" s="1">
        <v>34</v>
      </c>
      <c r="C37" s="16" t="s">
        <v>54</v>
      </c>
      <c r="D37" s="2">
        <f>Сотув!C42</f>
        <v>0</v>
      </c>
      <c r="E37" s="5">
        <f>Сотув!D42</f>
        <v>0</v>
      </c>
      <c r="F37" s="6">
        <v>21704.959999999999</v>
      </c>
      <c r="G37" s="3">
        <f t="shared" si="0"/>
        <v>0</v>
      </c>
      <c r="H37" s="4">
        <f t="shared" si="1"/>
        <v>0</v>
      </c>
      <c r="I37" s="79"/>
      <c r="J37" s="44">
        <f t="shared" si="12"/>
        <v>0</v>
      </c>
      <c r="K37" s="79"/>
      <c r="L37" s="44">
        <f t="shared" si="2"/>
        <v>0</v>
      </c>
      <c r="M37" s="79"/>
      <c r="N37" s="4">
        <f t="shared" si="3"/>
        <v>0</v>
      </c>
      <c r="O37" s="9">
        <f>IF(Сотув!$C$5="Ташкент",0,SUMIF(справка!B:B,C$4:C$1048576,справка!F:F))</f>
        <v>0</v>
      </c>
      <c r="P37" s="98"/>
      <c r="Q37" s="9">
        <f t="shared" si="13"/>
        <v>0</v>
      </c>
      <c r="R37" s="9">
        <f t="shared" si="14"/>
        <v>0</v>
      </c>
      <c r="S37" s="9">
        <f t="shared" si="15"/>
        <v>0</v>
      </c>
      <c r="T37" s="23">
        <f t="shared" si="4"/>
        <v>0</v>
      </c>
      <c r="U37" s="24">
        <v>53200</v>
      </c>
      <c r="V37" s="22">
        <f t="shared" si="5"/>
        <v>0</v>
      </c>
      <c r="W37" s="42">
        <f t="shared" si="6"/>
        <v>0</v>
      </c>
      <c r="X37" s="4">
        <f t="shared" si="7"/>
        <v>0</v>
      </c>
      <c r="Y37" s="4">
        <f t="shared" si="8"/>
        <v>0</v>
      </c>
      <c r="Z37" s="82"/>
      <c r="AA37" s="45">
        <f t="shared" si="9"/>
        <v>0</v>
      </c>
      <c r="AB37" s="47">
        <f t="shared" si="10"/>
        <v>0</v>
      </c>
      <c r="AC37" s="17">
        <f t="shared" si="11"/>
        <v>1.4510526626172084</v>
      </c>
    </row>
    <row r="38" spans="2:29" ht="15.75" customHeight="1" thickBot="1" x14ac:dyDescent="0.3">
      <c r="B38" s="1">
        <v>35</v>
      </c>
      <c r="C38" s="16" t="s">
        <v>55</v>
      </c>
      <c r="D38" s="2">
        <f>Сотув!C43</f>
        <v>0</v>
      </c>
      <c r="E38" s="5">
        <f>Сотув!D43</f>
        <v>0</v>
      </c>
      <c r="F38" s="6">
        <v>50686.29</v>
      </c>
      <c r="G38" s="3">
        <f t="shared" si="0"/>
        <v>0</v>
      </c>
      <c r="H38" s="4">
        <f t="shared" si="1"/>
        <v>0</v>
      </c>
      <c r="I38" s="79"/>
      <c r="J38" s="44">
        <f t="shared" si="12"/>
        <v>0</v>
      </c>
      <c r="K38" s="79"/>
      <c r="L38" s="44">
        <f t="shared" si="2"/>
        <v>0</v>
      </c>
      <c r="M38" s="79"/>
      <c r="N38" s="4">
        <f t="shared" si="3"/>
        <v>0</v>
      </c>
      <c r="O38" s="9">
        <f>IF(Сотув!$C$5="Ташкент",0,SUMIF(справка!B:B,C$4:C$1048576,справка!F:F))</f>
        <v>0</v>
      </c>
      <c r="P38" s="98"/>
      <c r="Q38" s="9">
        <f t="shared" si="13"/>
        <v>0</v>
      </c>
      <c r="R38" s="9">
        <f t="shared" si="14"/>
        <v>0</v>
      </c>
      <c r="S38" s="9">
        <f t="shared" si="15"/>
        <v>0</v>
      </c>
      <c r="T38" s="23">
        <f t="shared" si="4"/>
        <v>0</v>
      </c>
      <c r="U38" s="24">
        <v>67000</v>
      </c>
      <c r="V38" s="22">
        <f t="shared" si="5"/>
        <v>0</v>
      </c>
      <c r="W38" s="42">
        <f t="shared" si="6"/>
        <v>0</v>
      </c>
      <c r="X38" s="4">
        <f t="shared" si="7"/>
        <v>0</v>
      </c>
      <c r="Y38" s="4">
        <f t="shared" si="8"/>
        <v>0</v>
      </c>
      <c r="Z38" s="82"/>
      <c r="AA38" s="45">
        <f t="shared" si="9"/>
        <v>0</v>
      </c>
      <c r="AB38" s="47">
        <f t="shared" si="10"/>
        <v>0</v>
      </c>
      <c r="AC38" s="17">
        <f t="shared" si="11"/>
        <v>0.32185646256611</v>
      </c>
    </row>
    <row r="39" spans="2:29" ht="16.5" thickBot="1" x14ac:dyDescent="0.3">
      <c r="B39" s="1">
        <v>36</v>
      </c>
      <c r="C39" s="16" t="s">
        <v>47</v>
      </c>
      <c r="D39" s="2">
        <f>Сотув!C44</f>
        <v>0</v>
      </c>
      <c r="E39" s="5">
        <f>Сотув!D44</f>
        <v>0</v>
      </c>
      <c r="F39" s="21">
        <v>8836.33</v>
      </c>
      <c r="G39" s="20">
        <f t="shared" si="0"/>
        <v>0</v>
      </c>
      <c r="H39" s="4">
        <f t="shared" ref="H39:H43" si="16">D39*E39</f>
        <v>0</v>
      </c>
      <c r="I39" s="80"/>
      <c r="J39" s="44">
        <f t="shared" si="12"/>
        <v>0</v>
      </c>
      <c r="K39" s="80"/>
      <c r="L39" s="44">
        <f t="shared" si="2"/>
        <v>0</v>
      </c>
      <c r="M39" s="80"/>
      <c r="N39" s="4">
        <f t="shared" si="3"/>
        <v>0</v>
      </c>
      <c r="O39" s="9">
        <f>IF(Сотув!$C$5="Ташкент",0,SUMIF(справка!B:B,C$4:C$1048576,справка!F:F))</f>
        <v>0</v>
      </c>
      <c r="P39" s="99"/>
      <c r="Q39" s="9">
        <f t="shared" si="13"/>
        <v>0</v>
      </c>
      <c r="R39" s="9">
        <f t="shared" si="14"/>
        <v>0</v>
      </c>
      <c r="S39" s="9">
        <f t="shared" si="15"/>
        <v>0</v>
      </c>
      <c r="T39" s="23">
        <f t="shared" si="4"/>
        <v>0</v>
      </c>
      <c r="U39" s="24">
        <v>11500</v>
      </c>
      <c r="V39" s="22">
        <f t="shared" si="5"/>
        <v>0</v>
      </c>
      <c r="W39" s="42">
        <f t="shared" si="6"/>
        <v>0</v>
      </c>
      <c r="X39" s="4">
        <f t="shared" si="7"/>
        <v>0</v>
      </c>
      <c r="Y39" s="4">
        <f t="shared" si="8"/>
        <v>0</v>
      </c>
      <c r="Z39" s="83"/>
      <c r="AA39" s="45">
        <f t="shared" si="9"/>
        <v>0</v>
      </c>
      <c r="AB39" s="47">
        <f t="shared" si="10"/>
        <v>0</v>
      </c>
      <c r="AC39" s="17">
        <f t="shared" si="11"/>
        <v>0.30144528327937059</v>
      </c>
    </row>
    <row r="40" spans="2:29" ht="15.75" customHeight="1" x14ac:dyDescent="0.25">
      <c r="B40" s="1">
        <v>37</v>
      </c>
      <c r="C40" s="16" t="s">
        <v>56</v>
      </c>
      <c r="D40" s="2">
        <f>Сотув!C45</f>
        <v>0</v>
      </c>
      <c r="E40" s="5">
        <f>Сотув!D45</f>
        <v>0</v>
      </c>
      <c r="F40" s="6">
        <v>8710.2099999999991</v>
      </c>
      <c r="G40" s="3">
        <f t="shared" si="0"/>
        <v>0</v>
      </c>
      <c r="H40" s="4">
        <f t="shared" si="16"/>
        <v>0</v>
      </c>
      <c r="I40" s="79"/>
      <c r="J40" s="44">
        <f t="shared" si="12"/>
        <v>0</v>
      </c>
      <c r="K40" s="79"/>
      <c r="L40" s="44">
        <f t="shared" si="2"/>
        <v>0</v>
      </c>
      <c r="M40" s="79"/>
      <c r="N40" s="4">
        <f t="shared" si="3"/>
        <v>0</v>
      </c>
      <c r="O40" s="9">
        <f>IF(Сотув!$C$5="Ташкент",0,SUMIF(справка!B:B,C$4:C$1048576,справка!F:F))</f>
        <v>0</v>
      </c>
      <c r="P40" s="98"/>
      <c r="Q40" s="9">
        <f t="shared" si="13"/>
        <v>0</v>
      </c>
      <c r="R40" s="9">
        <f t="shared" si="14"/>
        <v>0</v>
      </c>
      <c r="S40" s="9">
        <f t="shared" si="15"/>
        <v>0</v>
      </c>
      <c r="T40" s="23">
        <f t="shared" si="4"/>
        <v>0</v>
      </c>
      <c r="U40" s="24">
        <v>16000</v>
      </c>
      <c r="V40" s="22">
        <f t="shared" si="5"/>
        <v>0</v>
      </c>
      <c r="W40" s="42">
        <f t="shared" si="6"/>
        <v>0</v>
      </c>
      <c r="X40" s="4">
        <f t="shared" si="7"/>
        <v>0</v>
      </c>
      <c r="Y40" s="4">
        <f t="shared" si="8"/>
        <v>0</v>
      </c>
      <c r="Z40" s="82"/>
      <c r="AA40" s="45">
        <f t="shared" si="9"/>
        <v>0</v>
      </c>
      <c r="AB40" s="47">
        <f t="shared" si="10"/>
        <v>0</v>
      </c>
      <c r="AC40" s="17">
        <f t="shared" si="11"/>
        <v>0.83692471249258071</v>
      </c>
    </row>
    <row r="41" spans="2:29" ht="15.75" customHeight="1" x14ac:dyDescent="0.25">
      <c r="B41" s="1">
        <v>38</v>
      </c>
      <c r="C41" s="16" t="s">
        <v>58</v>
      </c>
      <c r="D41" s="2">
        <f>Сотув!C46</f>
        <v>0</v>
      </c>
      <c r="E41" s="5">
        <f>Сотув!D46</f>
        <v>0</v>
      </c>
      <c r="F41" s="6">
        <v>37725.022669976301</v>
      </c>
      <c r="G41" s="3">
        <f t="shared" si="0"/>
        <v>0</v>
      </c>
      <c r="H41" s="4">
        <f t="shared" si="16"/>
        <v>0</v>
      </c>
      <c r="I41" s="79"/>
      <c r="J41" s="44">
        <f t="shared" si="12"/>
        <v>0</v>
      </c>
      <c r="K41" s="79"/>
      <c r="L41" s="44">
        <f t="shared" si="2"/>
        <v>0</v>
      </c>
      <c r="M41" s="79"/>
      <c r="N41" s="4">
        <f t="shared" si="3"/>
        <v>0</v>
      </c>
      <c r="O41" s="9">
        <f>IF(Сотув!$C$5="Ташкент",0,SUMIF(справка!B:B,C$4:C$1048576,справка!F:F))</f>
        <v>0</v>
      </c>
      <c r="P41" s="98"/>
      <c r="Q41" s="9">
        <f t="shared" si="13"/>
        <v>0</v>
      </c>
      <c r="R41" s="9">
        <f t="shared" si="14"/>
        <v>0</v>
      </c>
      <c r="S41" s="9">
        <f t="shared" si="15"/>
        <v>0</v>
      </c>
      <c r="T41" s="23">
        <f t="shared" si="4"/>
        <v>0</v>
      </c>
      <c r="U41" s="24">
        <v>45000</v>
      </c>
      <c r="V41" s="22">
        <f t="shared" si="5"/>
        <v>0</v>
      </c>
      <c r="W41" s="42">
        <f t="shared" si="6"/>
        <v>0</v>
      </c>
      <c r="X41" s="4">
        <f t="shared" si="7"/>
        <v>0</v>
      </c>
      <c r="Y41" s="4">
        <f t="shared" si="8"/>
        <v>0</v>
      </c>
      <c r="Z41" s="82"/>
      <c r="AA41" s="45">
        <f t="shared" si="9"/>
        <v>0</v>
      </c>
      <c r="AB41" s="47">
        <f t="shared" si="10"/>
        <v>0</v>
      </c>
      <c r="AC41" s="17">
        <f t="shared" si="11"/>
        <v>0.19284222553465913</v>
      </c>
    </row>
    <row r="42" spans="2:29" ht="15.75" customHeight="1" x14ac:dyDescent="0.25">
      <c r="B42" s="1">
        <v>39</v>
      </c>
      <c r="C42" s="16" t="s">
        <v>48</v>
      </c>
      <c r="D42" s="2">
        <f>Сотув!C47</f>
        <v>0</v>
      </c>
      <c r="E42" s="5">
        <f>Сотув!D47</f>
        <v>0</v>
      </c>
      <c r="F42" s="6">
        <v>11399.44</v>
      </c>
      <c r="G42" s="3">
        <f t="shared" si="0"/>
        <v>0</v>
      </c>
      <c r="H42" s="4">
        <f t="shared" si="16"/>
        <v>0</v>
      </c>
      <c r="I42" s="79"/>
      <c r="J42" s="44">
        <f t="shared" si="12"/>
        <v>0</v>
      </c>
      <c r="K42" s="79"/>
      <c r="L42" s="44">
        <f t="shared" si="2"/>
        <v>0</v>
      </c>
      <c r="M42" s="79"/>
      <c r="N42" s="4">
        <f t="shared" si="3"/>
        <v>0</v>
      </c>
      <c r="O42" s="9">
        <f>IF(Сотув!$C$5="Ташкент",0,SUMIF(справка!B:B,C$4:C$1048576,справка!F:F))</f>
        <v>0</v>
      </c>
      <c r="P42" s="98"/>
      <c r="Q42" s="9">
        <f t="shared" si="13"/>
        <v>0</v>
      </c>
      <c r="R42" s="9">
        <f t="shared" si="14"/>
        <v>0</v>
      </c>
      <c r="S42" s="9">
        <f t="shared" si="15"/>
        <v>0</v>
      </c>
      <c r="T42" s="23">
        <f t="shared" si="4"/>
        <v>0</v>
      </c>
      <c r="U42" s="24">
        <v>12000</v>
      </c>
      <c r="V42" s="22">
        <f t="shared" si="5"/>
        <v>0</v>
      </c>
      <c r="W42" s="42">
        <f t="shared" si="6"/>
        <v>0</v>
      </c>
      <c r="X42" s="4">
        <f t="shared" si="7"/>
        <v>0</v>
      </c>
      <c r="Y42" s="4">
        <f t="shared" si="8"/>
        <v>0</v>
      </c>
      <c r="Z42" s="82"/>
      <c r="AA42" s="45">
        <f t="shared" si="9"/>
        <v>0</v>
      </c>
      <c r="AB42" s="47">
        <f t="shared" si="10"/>
        <v>0</v>
      </c>
      <c r="AC42" s="17">
        <f t="shared" si="11"/>
        <v>5.2683289705459213E-2</v>
      </c>
    </row>
    <row r="43" spans="2:29" ht="15.75" customHeight="1" thickBot="1" x14ac:dyDescent="0.3">
      <c r="B43" s="1">
        <v>40</v>
      </c>
      <c r="C43" s="16" t="s">
        <v>26</v>
      </c>
      <c r="D43" s="2">
        <f>Сотув!C48</f>
        <v>0</v>
      </c>
      <c r="E43" s="5">
        <f>Сотув!D48</f>
        <v>64000</v>
      </c>
      <c r="F43" s="6">
        <v>6693.81</v>
      </c>
      <c r="G43" s="3">
        <f t="shared" si="0"/>
        <v>0</v>
      </c>
      <c r="H43" s="7">
        <f t="shared" si="16"/>
        <v>0</v>
      </c>
      <c r="I43" s="79"/>
      <c r="J43" s="44">
        <f t="shared" si="12"/>
        <v>0</v>
      </c>
      <c r="K43" s="79"/>
      <c r="L43" s="44">
        <f t="shared" si="2"/>
        <v>0</v>
      </c>
      <c r="M43" s="79"/>
      <c r="N43" s="4">
        <f t="shared" si="3"/>
        <v>0</v>
      </c>
      <c r="O43" s="9">
        <f>IF(Сотув!$C$5="Ташкент",0,SUMIF(справка!B:B,C$4:C$1048576,справка!F:F))</f>
        <v>0</v>
      </c>
      <c r="P43" s="98"/>
      <c r="Q43" s="9">
        <f t="shared" si="13"/>
        <v>0</v>
      </c>
      <c r="R43" s="9">
        <f t="shared" si="14"/>
        <v>0</v>
      </c>
      <c r="S43" s="9">
        <f t="shared" si="15"/>
        <v>0</v>
      </c>
      <c r="T43" s="23">
        <f t="shared" si="4"/>
        <v>0</v>
      </c>
      <c r="U43" s="24">
        <v>33280</v>
      </c>
      <c r="V43" s="22">
        <f t="shared" si="5"/>
        <v>0</v>
      </c>
      <c r="W43" s="42">
        <f t="shared" si="6"/>
        <v>-33280</v>
      </c>
      <c r="X43" s="4">
        <f t="shared" si="7"/>
        <v>0</v>
      </c>
      <c r="Y43" s="4">
        <f t="shared" si="8"/>
        <v>0</v>
      </c>
      <c r="Z43" s="82"/>
      <c r="AA43" s="45">
        <f t="shared" si="9"/>
        <v>0</v>
      </c>
      <c r="AB43" s="47">
        <f t="shared" si="10"/>
        <v>0</v>
      </c>
      <c r="AC43" s="17">
        <f t="shared" si="11"/>
        <v>3.9717574893819814</v>
      </c>
    </row>
    <row r="44" spans="2:29" ht="15.75" x14ac:dyDescent="0.25">
      <c r="B44" s="27"/>
      <c r="C44" s="28"/>
      <c r="D44" s="29"/>
      <c r="E44" s="30"/>
      <c r="F44" s="12"/>
      <c r="G44" s="13">
        <f>SUM(G4:G43)</f>
        <v>0</v>
      </c>
      <c r="H44" s="31">
        <f>SUM(H4:H43)</f>
        <v>0</v>
      </c>
      <c r="I44" s="32"/>
      <c r="J44" s="25">
        <f t="shared" si="12"/>
        <v>0</v>
      </c>
      <c r="K44" s="32"/>
      <c r="L44" s="25">
        <f t="shared" si="2"/>
        <v>0</v>
      </c>
      <c r="M44" s="32"/>
      <c r="N44" s="25">
        <f t="shared" si="3"/>
        <v>0</v>
      </c>
      <c r="O44" s="32"/>
      <c r="P44" s="32"/>
      <c r="Q44" s="32"/>
      <c r="R44" s="32"/>
      <c r="S44" s="32">
        <f>SUM(S4:S43)</f>
        <v>0</v>
      </c>
      <c r="T44" s="32">
        <f t="shared" si="4"/>
        <v>0</v>
      </c>
      <c r="U44" s="33"/>
      <c r="V44" s="40"/>
      <c r="W44" s="41"/>
      <c r="X44" s="43">
        <f>SUBTOTAL(9,X4:X43)</f>
        <v>0</v>
      </c>
      <c r="Y44" s="43">
        <f>SUBTOTAL(9,Y4:Y43)</f>
        <v>0</v>
      </c>
      <c r="Z44" s="84"/>
      <c r="AA44" s="34">
        <f t="shared" si="9"/>
        <v>0</v>
      </c>
      <c r="AB44" s="46">
        <f t="shared" si="10"/>
        <v>0</v>
      </c>
    </row>
    <row r="46" spans="2:29" x14ac:dyDescent="0.25">
      <c r="C46" s="15" t="s">
        <v>78</v>
      </c>
      <c r="Y46" s="62" t="e">
        <f>Z4/Y44</f>
        <v>#DIV/0!</v>
      </c>
    </row>
    <row r="47" spans="2:29" x14ac:dyDescent="0.25">
      <c r="C47" s="15" t="s">
        <v>79</v>
      </c>
      <c r="D47" s="17">
        <f>H44</f>
        <v>0</v>
      </c>
    </row>
    <row r="48" spans="2:29" x14ac:dyDescent="0.25">
      <c r="C48" s="15" t="s">
        <v>80</v>
      </c>
      <c r="D48" s="17">
        <f>S44</f>
        <v>0</v>
      </c>
    </row>
    <row r="49" spans="3:4" x14ac:dyDescent="0.25">
      <c r="C49" s="15" t="s">
        <v>81</v>
      </c>
      <c r="D49" s="17">
        <f>D47-D48</f>
        <v>0</v>
      </c>
    </row>
    <row r="50" spans="3:4" x14ac:dyDescent="0.25">
      <c r="C50" s="15" t="s">
        <v>82</v>
      </c>
      <c r="D50" s="17">
        <f>G44</f>
        <v>0</v>
      </c>
    </row>
    <row r="51" spans="3:4" x14ac:dyDescent="0.25">
      <c r="C51" s="15" t="s">
        <v>83</v>
      </c>
      <c r="D51" s="68">
        <f>D49-D50</f>
        <v>0</v>
      </c>
    </row>
    <row r="52" spans="3:4" x14ac:dyDescent="0.25">
      <c r="C52" s="15" t="s">
        <v>84</v>
      </c>
      <c r="D52" s="61" t="e">
        <f>D51/D50</f>
        <v>#DIV/0!</v>
      </c>
    </row>
  </sheetData>
  <autoFilter ref="B2:AB43" xr:uid="{00000000-0009-0000-0000-000001000000}">
    <filterColumn colId="7" showButton="0"/>
    <filterColumn colId="9" showButton="0"/>
    <filterColumn colId="11" showButton="0"/>
    <filterColumn colId="16" showButton="0"/>
  </autoFilter>
  <mergeCells count="26">
    <mergeCell ref="B2:B3"/>
    <mergeCell ref="C2:C3"/>
    <mergeCell ref="D2:D3"/>
    <mergeCell ref="E2:E3"/>
    <mergeCell ref="F2:F3"/>
    <mergeCell ref="AB2:AB3"/>
    <mergeCell ref="G2:G3"/>
    <mergeCell ref="H2:H3"/>
    <mergeCell ref="K2:L2"/>
    <mergeCell ref="M2:N2"/>
    <mergeCell ref="I2:J2"/>
    <mergeCell ref="P2:Q2"/>
    <mergeCell ref="I4:I43"/>
    <mergeCell ref="K4:K43"/>
    <mergeCell ref="M4:M43"/>
    <mergeCell ref="Z4:Z44"/>
    <mergeCell ref="AA2:AA3"/>
    <mergeCell ref="T2:T3"/>
    <mergeCell ref="R2:S2"/>
    <mergeCell ref="U2:U3"/>
    <mergeCell ref="V2:V3"/>
    <mergeCell ref="W2:W3"/>
    <mergeCell ref="Y2:Y3"/>
    <mergeCell ref="Z2:Z3"/>
    <mergeCell ref="X2:X3"/>
    <mergeCell ref="P4:P43"/>
  </mergeCells>
  <pageMargins left="0.7" right="0.7" top="0.75" bottom="0.75" header="0.3" footer="0.3"/>
  <pageSetup paperSize="9" scale="68" orientation="portrait"/>
  <colBreaks count="1" manualBreakCount="1">
    <brk id="17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F49"/>
  <sheetViews>
    <sheetView topLeftCell="A16" workbookViewId="0">
      <selection activeCell="D18" sqref="D18"/>
    </sheetView>
  </sheetViews>
  <sheetFormatPr defaultColWidth="11" defaultRowHeight="15" x14ac:dyDescent="0.25"/>
  <cols>
    <col min="1" max="1" width="8.85546875" customWidth="1"/>
    <col min="2" max="2" width="52.140625" customWidth="1"/>
    <col min="3" max="3" width="12.85546875" customWidth="1"/>
    <col min="4" max="4" width="13.140625" customWidth="1"/>
    <col min="5" max="5" width="11" customWidth="1"/>
    <col min="6" max="6" width="25.28515625" bestFit="1" customWidth="1"/>
    <col min="7" max="256" width="8.85546875" customWidth="1"/>
  </cols>
  <sheetData>
    <row r="1" spans="2:6" ht="30" x14ac:dyDescent="0.25">
      <c r="B1" s="14" t="s">
        <v>23</v>
      </c>
      <c r="C1" s="14" t="s">
        <v>1</v>
      </c>
      <c r="D1" s="14" t="s">
        <v>21</v>
      </c>
      <c r="E1" s="14" t="s">
        <v>22</v>
      </c>
      <c r="F1" s="14" t="s">
        <v>24</v>
      </c>
    </row>
    <row r="2" spans="2:6" x14ac:dyDescent="0.25">
      <c r="B2" t="s">
        <v>29</v>
      </c>
      <c r="C2">
        <f>SUMIF(Бухгалтерия!C:C,B:B,Бухгалтерия!D:D)</f>
        <v>0</v>
      </c>
      <c r="D2">
        <v>96</v>
      </c>
      <c r="E2">
        <f>C2/D2</f>
        <v>0</v>
      </c>
      <c r="F2">
        <f>E2*10000</f>
        <v>0</v>
      </c>
    </row>
    <row r="3" spans="2:6" x14ac:dyDescent="0.25">
      <c r="B3" t="s">
        <v>28</v>
      </c>
      <c r="C3">
        <f>SUMIF(Бухгалтерия!C:C,B:B,Бухгалтерия!D:D)</f>
        <v>0</v>
      </c>
      <c r="D3">
        <v>90</v>
      </c>
      <c r="E3">
        <f>C3/D3</f>
        <v>0</v>
      </c>
      <c r="F3">
        <f>E3*10000</f>
        <v>0</v>
      </c>
    </row>
    <row r="4" spans="2:6" x14ac:dyDescent="0.25">
      <c r="B4" t="s">
        <v>8</v>
      </c>
      <c r="C4">
        <f>SUMIF(Бухгалтерия!C:C,B:B,Бухгалтерия!D:D)</f>
        <v>0</v>
      </c>
      <c r="D4">
        <v>168</v>
      </c>
      <c r="E4">
        <f t="shared" ref="E4:E48" si="0">C4/D4</f>
        <v>0</v>
      </c>
      <c r="F4">
        <f t="shared" ref="F4:F49" si="1">E4*10000</f>
        <v>0</v>
      </c>
    </row>
    <row r="5" spans="2:6" x14ac:dyDescent="0.25">
      <c r="B5" t="s">
        <v>30</v>
      </c>
      <c r="C5">
        <f>SUMIF(Бухгалтерия!C:C,B:B,Бухгалтерия!D:D)</f>
        <v>0</v>
      </c>
      <c r="D5">
        <v>88</v>
      </c>
      <c r="E5">
        <f t="shared" si="0"/>
        <v>0</v>
      </c>
      <c r="F5">
        <f t="shared" si="1"/>
        <v>0</v>
      </c>
    </row>
    <row r="6" spans="2:6" x14ac:dyDescent="0.25">
      <c r="B6" t="s">
        <v>60</v>
      </c>
      <c r="C6">
        <f>SUMIF(Бухгалтерия!C:C,B:B,Бухгалтерия!D:D)</f>
        <v>0</v>
      </c>
      <c r="D6">
        <v>88</v>
      </c>
      <c r="E6">
        <f t="shared" si="0"/>
        <v>0</v>
      </c>
      <c r="F6">
        <f t="shared" si="1"/>
        <v>0</v>
      </c>
    </row>
    <row r="7" spans="2:6" x14ac:dyDescent="0.25">
      <c r="B7" t="s">
        <v>52</v>
      </c>
      <c r="C7">
        <f>SUMIF(Бухгалтерия!C:C,B:B,Бухгалтерия!D:D)</f>
        <v>0</v>
      </c>
      <c r="D7">
        <v>40</v>
      </c>
      <c r="E7">
        <f t="shared" si="0"/>
        <v>0</v>
      </c>
      <c r="F7">
        <f t="shared" si="1"/>
        <v>0</v>
      </c>
    </row>
    <row r="8" spans="2:6" x14ac:dyDescent="0.25">
      <c r="B8" t="s">
        <v>31</v>
      </c>
      <c r="C8">
        <f>SUMIF(Бухгалтерия!C:C,B:B,Бухгалтерия!D:D)</f>
        <v>0</v>
      </c>
      <c r="D8">
        <v>60</v>
      </c>
      <c r="E8">
        <f t="shared" si="0"/>
        <v>0</v>
      </c>
      <c r="F8">
        <f t="shared" si="1"/>
        <v>0</v>
      </c>
    </row>
    <row r="9" spans="2:6" x14ac:dyDescent="0.25">
      <c r="B9" t="s">
        <v>19</v>
      </c>
      <c r="C9">
        <f>SUMIF(Бухгалтерия!C:C,B:B,Бухгалтерия!D:D)</f>
        <v>0</v>
      </c>
      <c r="D9">
        <v>72</v>
      </c>
      <c r="E9">
        <f t="shared" si="0"/>
        <v>0</v>
      </c>
      <c r="F9">
        <f t="shared" si="1"/>
        <v>0</v>
      </c>
    </row>
    <row r="10" spans="2:6" x14ac:dyDescent="0.25">
      <c r="B10" t="s">
        <v>32</v>
      </c>
      <c r="C10">
        <f>SUMIF(Бухгалтерия!C:C,B:B,Бухгалтерия!D:D)</f>
        <v>0</v>
      </c>
      <c r="D10">
        <v>60</v>
      </c>
      <c r="E10">
        <f t="shared" si="0"/>
        <v>0</v>
      </c>
      <c r="F10">
        <f t="shared" si="1"/>
        <v>0</v>
      </c>
    </row>
    <row r="11" spans="2:6" x14ac:dyDescent="0.25">
      <c r="B11" t="s">
        <v>20</v>
      </c>
      <c r="C11">
        <f>SUMIF(Бухгалтерия!C:C,B:B,Бухгалтерия!D:D)</f>
        <v>0</v>
      </c>
      <c r="D11">
        <v>168</v>
      </c>
      <c r="E11">
        <f t="shared" si="0"/>
        <v>0</v>
      </c>
      <c r="F11">
        <f t="shared" si="1"/>
        <v>0</v>
      </c>
    </row>
    <row r="12" spans="2:6" x14ac:dyDescent="0.25">
      <c r="B12" t="s">
        <v>33</v>
      </c>
      <c r="C12">
        <f>SUMIF(Бухгалтерия!C:C,B:B,Бухгалтерия!D:D)</f>
        <v>0</v>
      </c>
      <c r="D12">
        <v>168</v>
      </c>
      <c r="E12">
        <f t="shared" si="0"/>
        <v>0</v>
      </c>
      <c r="F12">
        <f t="shared" si="1"/>
        <v>0</v>
      </c>
    </row>
    <row r="13" spans="2:6" x14ac:dyDescent="0.25">
      <c r="B13" t="s">
        <v>34</v>
      </c>
      <c r="C13">
        <f>SUMIF(Бухгалтерия!C:C,B:B,Бухгалтерия!D:D)</f>
        <v>0</v>
      </c>
      <c r="D13">
        <v>36</v>
      </c>
      <c r="E13">
        <f t="shared" si="0"/>
        <v>0</v>
      </c>
      <c r="F13">
        <f t="shared" si="1"/>
        <v>0</v>
      </c>
    </row>
    <row r="14" spans="2:6" x14ac:dyDescent="0.25">
      <c r="B14" t="s">
        <v>35</v>
      </c>
      <c r="C14">
        <f>SUMIF(Бухгалтерия!C:C,B:B,Бухгалтерия!D:D)</f>
        <v>0</v>
      </c>
      <c r="D14">
        <v>88</v>
      </c>
      <c r="E14">
        <f t="shared" si="0"/>
        <v>0</v>
      </c>
      <c r="F14">
        <f t="shared" si="1"/>
        <v>0</v>
      </c>
    </row>
    <row r="15" spans="2:6" x14ac:dyDescent="0.25">
      <c r="B15" t="s">
        <v>59</v>
      </c>
      <c r="C15">
        <f>SUMIF(Бухгалтерия!C:C,B:B,Бухгалтерия!D:D)</f>
        <v>0</v>
      </c>
      <c r="D15">
        <v>88</v>
      </c>
      <c r="E15">
        <f t="shared" si="0"/>
        <v>0</v>
      </c>
      <c r="F15">
        <f t="shared" si="1"/>
        <v>0</v>
      </c>
    </row>
    <row r="16" spans="2:6" x14ac:dyDescent="0.25">
      <c r="B16" t="s">
        <v>25</v>
      </c>
      <c r="C16">
        <f>SUMIF(Бухгалтерия!C:C,B:B,Бухгалтерия!D:D)</f>
        <v>0</v>
      </c>
      <c r="D16">
        <v>88</v>
      </c>
      <c r="E16">
        <f t="shared" si="0"/>
        <v>0</v>
      </c>
      <c r="F16">
        <f t="shared" si="1"/>
        <v>0</v>
      </c>
    </row>
    <row r="17" spans="2:6" x14ac:dyDescent="0.25">
      <c r="B17" t="s">
        <v>50</v>
      </c>
      <c r="C17">
        <f>SUMIF(Бухгалтерия!C:C,B:B,Бухгалтерия!D:D)</f>
        <v>0</v>
      </c>
      <c r="D17">
        <v>96</v>
      </c>
      <c r="E17">
        <f t="shared" si="0"/>
        <v>0</v>
      </c>
      <c r="F17">
        <f t="shared" si="1"/>
        <v>0</v>
      </c>
    </row>
    <row r="18" spans="2:6" x14ac:dyDescent="0.25">
      <c r="B18" t="s">
        <v>36</v>
      </c>
      <c r="C18">
        <f>SUMIF(Бухгалтерия!C:C,B:B,Бухгалтерия!D:D)</f>
        <v>0</v>
      </c>
      <c r="D18">
        <v>40</v>
      </c>
      <c r="E18">
        <f t="shared" si="0"/>
        <v>0</v>
      </c>
      <c r="F18">
        <f t="shared" si="1"/>
        <v>0</v>
      </c>
    </row>
    <row r="19" spans="2:6" x14ac:dyDescent="0.25">
      <c r="B19" t="s">
        <v>51</v>
      </c>
      <c r="C19">
        <f>SUMIF(Бухгалтерия!C:C,B:B,Бухгалтерия!D:D)</f>
        <v>0</v>
      </c>
      <c r="D19">
        <v>96</v>
      </c>
      <c r="E19">
        <f t="shared" si="0"/>
        <v>0</v>
      </c>
      <c r="F19">
        <f t="shared" si="1"/>
        <v>0</v>
      </c>
    </row>
    <row r="20" spans="2:6" x14ac:dyDescent="0.25">
      <c r="B20" t="s">
        <v>53</v>
      </c>
      <c r="C20">
        <f>SUMIF(Бухгалтерия!C:C,B:B,Бухгалтерия!D:D)</f>
        <v>0</v>
      </c>
      <c r="D20">
        <v>168</v>
      </c>
      <c r="E20">
        <f t="shared" si="0"/>
        <v>0</v>
      </c>
      <c r="F20">
        <f t="shared" si="1"/>
        <v>0</v>
      </c>
    </row>
    <row r="21" spans="2:6" x14ac:dyDescent="0.25">
      <c r="B21" t="s">
        <v>37</v>
      </c>
      <c r="C21">
        <f>SUMIF(Бухгалтерия!C:C,B:B,Бухгалтерия!D:D)</f>
        <v>0</v>
      </c>
      <c r="D21">
        <v>88</v>
      </c>
      <c r="E21">
        <f t="shared" si="0"/>
        <v>0</v>
      </c>
      <c r="F21">
        <f t="shared" si="1"/>
        <v>0</v>
      </c>
    </row>
    <row r="22" spans="2:6" x14ac:dyDescent="0.25">
      <c r="B22" t="s">
        <v>38</v>
      </c>
      <c r="C22">
        <f>SUMIF(Бухгалтерия!C:C,B:B,Бухгалтерия!D:D)</f>
        <v>0</v>
      </c>
      <c r="D22">
        <v>48</v>
      </c>
      <c r="E22">
        <f t="shared" si="0"/>
        <v>0</v>
      </c>
      <c r="F22">
        <f t="shared" si="1"/>
        <v>0</v>
      </c>
    </row>
    <row r="23" spans="2:6" x14ac:dyDescent="0.25">
      <c r="B23" t="s">
        <v>46</v>
      </c>
      <c r="C23">
        <f>SUMIF(Бухгалтерия!C:C,B:B,Бухгалтерия!D:D)</f>
        <v>0</v>
      </c>
      <c r="D23">
        <v>40</v>
      </c>
      <c r="E23">
        <f t="shared" si="0"/>
        <v>0</v>
      </c>
      <c r="F23">
        <f t="shared" si="1"/>
        <v>0</v>
      </c>
    </row>
    <row r="24" spans="2:6" x14ac:dyDescent="0.25">
      <c r="B24" t="s">
        <v>39</v>
      </c>
      <c r="C24">
        <f>SUMIF(Бухгалтерия!C:C,B:B,Бухгалтерия!D:D)</f>
        <v>0</v>
      </c>
      <c r="D24">
        <v>48</v>
      </c>
      <c r="E24">
        <f t="shared" si="0"/>
        <v>0</v>
      </c>
      <c r="F24">
        <f t="shared" si="1"/>
        <v>0</v>
      </c>
    </row>
    <row r="25" spans="2:6" x14ac:dyDescent="0.25">
      <c r="B25" t="s">
        <v>61</v>
      </c>
      <c r="C25">
        <f>SUMIF(Бухгалтерия!C:C,B:B,Бухгалтерия!D:D)</f>
        <v>0</v>
      </c>
      <c r="D25">
        <v>168</v>
      </c>
      <c r="E25">
        <f t="shared" si="0"/>
        <v>0</v>
      </c>
      <c r="F25">
        <f t="shared" si="1"/>
        <v>0</v>
      </c>
    </row>
    <row r="26" spans="2:6" x14ac:dyDescent="0.25">
      <c r="B26" t="s">
        <v>13</v>
      </c>
      <c r="C26">
        <f>SUMIF(Бухгалтерия!C:C,B:B,Бухгалтерия!D:D)</f>
        <v>0</v>
      </c>
      <c r="D26">
        <v>48</v>
      </c>
      <c r="E26">
        <f t="shared" si="0"/>
        <v>0</v>
      </c>
      <c r="F26">
        <f t="shared" si="1"/>
        <v>0</v>
      </c>
    </row>
    <row r="27" spans="2:6" x14ac:dyDescent="0.25">
      <c r="B27" t="s">
        <v>10</v>
      </c>
      <c r="C27">
        <f>SUMIF(Бухгалтерия!C:C,B:B,Бухгалтерия!D:D)</f>
        <v>0</v>
      </c>
      <c r="D27">
        <v>40</v>
      </c>
      <c r="E27">
        <f t="shared" si="0"/>
        <v>0</v>
      </c>
      <c r="F27">
        <f t="shared" si="1"/>
        <v>0</v>
      </c>
    </row>
    <row r="28" spans="2:6" x14ac:dyDescent="0.25">
      <c r="B28" t="s">
        <v>43</v>
      </c>
      <c r="C28">
        <f>SUMIF(Бухгалтерия!C:C,B:B,Бухгалтерия!D:D)</f>
        <v>0</v>
      </c>
      <c r="D28">
        <v>88</v>
      </c>
      <c r="E28">
        <f t="shared" si="0"/>
        <v>0</v>
      </c>
      <c r="F28">
        <f t="shared" si="1"/>
        <v>0</v>
      </c>
    </row>
    <row r="29" spans="2:6" x14ac:dyDescent="0.25">
      <c r="B29" t="s">
        <v>27</v>
      </c>
      <c r="C29">
        <f>SUMIF(Бухгалтерия!C:C,B:B,Бухгалтерия!D:D)</f>
        <v>0</v>
      </c>
      <c r="D29">
        <v>50</v>
      </c>
      <c r="E29">
        <f t="shared" si="0"/>
        <v>0</v>
      </c>
      <c r="F29">
        <f t="shared" si="1"/>
        <v>0</v>
      </c>
    </row>
    <row r="30" spans="2:6" x14ac:dyDescent="0.25">
      <c r="B30" t="s">
        <v>6</v>
      </c>
      <c r="C30">
        <f>SUMIF(Бухгалтерия!C:C,B:B,Бухгалтерия!D:D)</f>
        <v>0</v>
      </c>
      <c r="D30">
        <v>48</v>
      </c>
      <c r="E30">
        <f t="shared" si="0"/>
        <v>0</v>
      </c>
      <c r="F30">
        <f t="shared" si="1"/>
        <v>0</v>
      </c>
    </row>
    <row r="31" spans="2:6" x14ac:dyDescent="0.25">
      <c r="B31" t="s">
        <v>7</v>
      </c>
      <c r="C31">
        <f>SUMIF(Бухгалтерия!C:C,B:B,Бухгалтерия!D:D)</f>
        <v>0</v>
      </c>
      <c r="D31">
        <v>80</v>
      </c>
      <c r="E31">
        <f t="shared" si="0"/>
        <v>0</v>
      </c>
      <c r="F31">
        <f t="shared" si="1"/>
        <v>0</v>
      </c>
    </row>
    <row r="32" spans="2:6" x14ac:dyDescent="0.25">
      <c r="B32" t="s">
        <v>40</v>
      </c>
      <c r="C32">
        <f>SUMIF(Бухгалтерия!C:C,B:B,Бухгалтерия!D:D)</f>
        <v>0</v>
      </c>
      <c r="D32">
        <v>168</v>
      </c>
      <c r="E32">
        <f t="shared" si="0"/>
        <v>0</v>
      </c>
      <c r="F32">
        <f t="shared" si="1"/>
        <v>0</v>
      </c>
    </row>
    <row r="33" spans="2:6" x14ac:dyDescent="0.25">
      <c r="B33" t="s">
        <v>41</v>
      </c>
      <c r="C33">
        <f>SUMIF(Бухгалтерия!C:C,B:B,Бухгалтерия!D:D)</f>
        <v>0</v>
      </c>
      <c r="D33">
        <v>88</v>
      </c>
      <c r="E33">
        <f t="shared" si="0"/>
        <v>0</v>
      </c>
      <c r="F33">
        <f t="shared" si="1"/>
        <v>0</v>
      </c>
    </row>
    <row r="34" spans="2:6" x14ac:dyDescent="0.25">
      <c r="B34" t="s">
        <v>44</v>
      </c>
      <c r="C34">
        <f>SUMIF(Бухгалтерия!C:C,B:B,Бухгалтерия!D:D)</f>
        <v>0</v>
      </c>
      <c r="D34">
        <v>88</v>
      </c>
      <c r="E34">
        <f t="shared" si="0"/>
        <v>0</v>
      </c>
      <c r="F34">
        <f t="shared" si="1"/>
        <v>0</v>
      </c>
    </row>
    <row r="35" spans="2:6" x14ac:dyDescent="0.25">
      <c r="B35" t="s">
        <v>42</v>
      </c>
      <c r="C35">
        <f>SUMIF(Бухгалтерия!C:C,B:B,Бухгалтерия!D:D)</f>
        <v>0</v>
      </c>
      <c r="D35">
        <v>80</v>
      </c>
      <c r="E35">
        <f t="shared" si="0"/>
        <v>0</v>
      </c>
      <c r="F35">
        <f t="shared" si="1"/>
        <v>0</v>
      </c>
    </row>
    <row r="36" spans="2:6" x14ac:dyDescent="0.25">
      <c r="B36" t="s">
        <v>12</v>
      </c>
      <c r="C36">
        <f>SUMIF(Бухгалтерия!C:C,B:B,Бухгалтерия!D:D)</f>
        <v>0</v>
      </c>
      <c r="D36">
        <v>168</v>
      </c>
      <c r="E36">
        <f t="shared" si="0"/>
        <v>0</v>
      </c>
      <c r="F36">
        <f t="shared" si="1"/>
        <v>0</v>
      </c>
    </row>
    <row r="37" spans="2:6" x14ac:dyDescent="0.25">
      <c r="B37" t="s">
        <v>45</v>
      </c>
      <c r="C37">
        <f>SUMIF(Бухгалтерия!C:C,B:B,Бухгалтерия!D:D)</f>
        <v>0</v>
      </c>
      <c r="D37">
        <v>168</v>
      </c>
      <c r="E37">
        <f t="shared" si="0"/>
        <v>0</v>
      </c>
      <c r="F37">
        <f t="shared" si="1"/>
        <v>0</v>
      </c>
    </row>
    <row r="38" spans="2:6" x14ac:dyDescent="0.25">
      <c r="B38" t="s">
        <v>57</v>
      </c>
      <c r="C38">
        <f>SUMIF(Бухгалтерия!C:C,B:B,Бухгалтерия!D:D)</f>
        <v>0</v>
      </c>
      <c r="D38">
        <v>72</v>
      </c>
      <c r="E38">
        <f t="shared" si="0"/>
        <v>0</v>
      </c>
      <c r="F38">
        <f t="shared" si="1"/>
        <v>0</v>
      </c>
    </row>
    <row r="39" spans="2:6" x14ac:dyDescent="0.25">
      <c r="B39" t="s">
        <v>49</v>
      </c>
      <c r="C39">
        <f>SUMIF(Бухгалтерия!C:C,B:B,Бухгалтерия!D:D)</f>
        <v>0</v>
      </c>
      <c r="D39">
        <v>36</v>
      </c>
      <c r="E39">
        <f t="shared" si="0"/>
        <v>0</v>
      </c>
      <c r="F39">
        <f t="shared" si="1"/>
        <v>0</v>
      </c>
    </row>
    <row r="40" spans="2:6" x14ac:dyDescent="0.25">
      <c r="B40" t="s">
        <v>54</v>
      </c>
      <c r="C40">
        <f>SUMIF(Бухгалтерия!C:C,B:B,Бухгалтерия!D:D)</f>
        <v>0</v>
      </c>
      <c r="D40">
        <v>168</v>
      </c>
      <c r="E40">
        <f t="shared" si="0"/>
        <v>0</v>
      </c>
      <c r="F40">
        <f t="shared" si="1"/>
        <v>0</v>
      </c>
    </row>
    <row r="41" spans="2:6" x14ac:dyDescent="0.25">
      <c r="B41" t="s">
        <v>55</v>
      </c>
      <c r="C41">
        <f>SUMIF(Бухгалтерия!C:C,B:B,Бухгалтерия!D:D)</f>
        <v>0</v>
      </c>
      <c r="D41">
        <v>48</v>
      </c>
      <c r="E41">
        <f t="shared" si="0"/>
        <v>0</v>
      </c>
      <c r="F41">
        <f t="shared" si="1"/>
        <v>0</v>
      </c>
    </row>
    <row r="42" spans="2:6" x14ac:dyDescent="0.25">
      <c r="B42" t="s">
        <v>11</v>
      </c>
      <c r="C42">
        <f>SUMIF(Бухгалтерия!C:C,B:B,Бухгалтерия!D:D)</f>
        <v>0</v>
      </c>
      <c r="D42">
        <v>40</v>
      </c>
      <c r="E42">
        <f t="shared" si="0"/>
        <v>0</v>
      </c>
      <c r="F42">
        <f t="shared" si="1"/>
        <v>0</v>
      </c>
    </row>
    <row r="43" spans="2:6" x14ac:dyDescent="0.25">
      <c r="B43" t="s">
        <v>47</v>
      </c>
      <c r="C43">
        <f>SUMIF(Бухгалтерия!C:C,B:B,Бухгалтерия!D:D)</f>
        <v>0</v>
      </c>
      <c r="D43">
        <v>60</v>
      </c>
      <c r="E43">
        <f t="shared" si="0"/>
        <v>0</v>
      </c>
      <c r="F43">
        <f t="shared" si="1"/>
        <v>0</v>
      </c>
    </row>
    <row r="44" spans="2:6" x14ac:dyDescent="0.25">
      <c r="B44" t="s">
        <v>56</v>
      </c>
      <c r="C44">
        <f>SUMIF(Бухгалтерия!C:C,B:B,Бухгалтерия!D:D)</f>
        <v>0</v>
      </c>
      <c r="D44">
        <v>96</v>
      </c>
      <c r="E44">
        <f t="shared" si="0"/>
        <v>0</v>
      </c>
      <c r="F44">
        <f t="shared" si="1"/>
        <v>0</v>
      </c>
    </row>
    <row r="45" spans="2:6" x14ac:dyDescent="0.25">
      <c r="B45" t="s">
        <v>58</v>
      </c>
      <c r="C45">
        <f>SUMIF(Бухгалтерия!C:C,B:B,Бухгалтерия!D:D)</f>
        <v>0</v>
      </c>
      <c r="D45">
        <v>96</v>
      </c>
      <c r="E45">
        <f t="shared" si="0"/>
        <v>0</v>
      </c>
      <c r="F45">
        <f t="shared" si="1"/>
        <v>0</v>
      </c>
    </row>
    <row r="46" spans="2:6" x14ac:dyDescent="0.25">
      <c r="B46" t="s">
        <v>48</v>
      </c>
      <c r="C46">
        <f>SUMIF(Бухгалтерия!C:C,B:B,Бухгалтерия!D:D)</f>
        <v>0</v>
      </c>
      <c r="D46">
        <v>48</v>
      </c>
      <c r="E46">
        <f t="shared" si="0"/>
        <v>0</v>
      </c>
      <c r="F46">
        <f t="shared" si="1"/>
        <v>0</v>
      </c>
    </row>
    <row r="47" spans="2:6" x14ac:dyDescent="0.25">
      <c r="B47" t="s">
        <v>9</v>
      </c>
      <c r="C47">
        <f>SUMIF(Бухгалтерия!C:C,B:B,Бухгалтерия!D:D)</f>
        <v>0</v>
      </c>
      <c r="D47">
        <v>80</v>
      </c>
      <c r="E47">
        <f t="shared" si="0"/>
        <v>0</v>
      </c>
      <c r="F47">
        <f t="shared" si="1"/>
        <v>0</v>
      </c>
    </row>
    <row r="48" spans="2:6" x14ac:dyDescent="0.25">
      <c r="B48" t="s">
        <v>26</v>
      </c>
      <c r="C48">
        <f>SUMIF(Бухгалтерия!C:C,B:B,Бухгалтерия!D:D)</f>
        <v>0</v>
      </c>
      <c r="D48">
        <v>88</v>
      </c>
      <c r="E48">
        <f t="shared" si="0"/>
        <v>0</v>
      </c>
      <c r="F48">
        <f t="shared" si="1"/>
        <v>0</v>
      </c>
    </row>
    <row r="49" spans="2:6" x14ac:dyDescent="0.25">
      <c r="B49" t="s">
        <v>27</v>
      </c>
      <c r="C49">
        <f>SUMIF(Бухгалтерия!C:C,B:B,Бухгалтерия!D:D)</f>
        <v>0</v>
      </c>
      <c r="D49">
        <v>88</v>
      </c>
      <c r="E49">
        <f>C49/D49</f>
        <v>0</v>
      </c>
      <c r="F49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3</vt:i4>
      </vt:variant>
    </vt:vector>
  </HeadingPairs>
  <TitlesOfParts>
    <vt:vector size="6" baseType="lpstr">
      <vt:lpstr>Сотув</vt:lpstr>
      <vt:lpstr>Бухгалтерия</vt:lpstr>
      <vt:lpstr>справка</vt:lpstr>
      <vt:lpstr>наим</vt:lpstr>
      <vt:lpstr>Бухгалтерия!Область_печати</vt:lpstr>
      <vt:lpstr>таб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ugp</dc:creator>
  <cp:lastModifiedBy>Пользователь</cp:lastModifiedBy>
  <cp:lastPrinted>2023-03-14T09:59:44Z</cp:lastPrinted>
  <dcterms:created xsi:type="dcterms:W3CDTF">2019-01-09T04:52:54Z</dcterms:created>
  <dcterms:modified xsi:type="dcterms:W3CDTF">2024-04-04T04:19:53Z</dcterms:modified>
</cp:coreProperties>
</file>