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расходы ЖЕЛЕЗО ФЕВРАЛЬ 2016\"/>
    </mc:Choice>
  </mc:AlternateContent>
  <bookViews>
    <workbookView xWindow="390" yWindow="360" windowWidth="14850" windowHeight="9975" activeTab="1"/>
  </bookViews>
  <sheets>
    <sheet name="сварные" sheetId="1" r:id="rId1"/>
    <sheet name="разборные" sheetId="2" r:id="rId2"/>
  </sheets>
  <definedNames>
    <definedName name="_xlnm.Print_Area" localSheetId="1">разборные!$A$1:$H$47</definedName>
    <definedName name="_xlnm.Print_Area" localSheetId="0">сварные!$A$1:$H$29</definedName>
  </definedNames>
  <calcPr calcId="152511"/>
</workbook>
</file>

<file path=xl/calcChain.xml><?xml version="1.0" encoding="utf-8"?>
<calcChain xmlns="http://schemas.openxmlformats.org/spreadsheetml/2006/main">
  <c r="I28" i="2" l="1"/>
  <c r="I27" i="2"/>
  <c r="I26" i="2"/>
  <c r="I25" i="2"/>
  <c r="I24" i="2"/>
  <c r="I23" i="2"/>
  <c r="I22" i="2"/>
  <c r="I21" i="2"/>
  <c r="I20" i="2"/>
  <c r="I19" i="2"/>
  <c r="I18" i="2"/>
  <c r="I14" i="2"/>
  <c r="I12" i="2"/>
  <c r="F67" i="1"/>
  <c r="E67" i="1" s="1"/>
  <c r="F15" i="1"/>
  <c r="F13" i="1"/>
  <c r="E35" i="2"/>
  <c r="E36" i="2"/>
  <c r="E37" i="2"/>
  <c r="E38" i="2"/>
  <c r="E39" i="2"/>
  <c r="E40" i="2"/>
  <c r="E41" i="2"/>
  <c r="E43" i="2"/>
  <c r="E45" i="2"/>
  <c r="E49" i="2" s="1"/>
  <c r="I49" i="2" s="1"/>
  <c r="E31" i="1"/>
  <c r="E32" i="1"/>
  <c r="E33" i="1"/>
  <c r="E34" i="1"/>
  <c r="E35" i="1"/>
  <c r="E36" i="1"/>
  <c r="E69" i="1"/>
  <c r="E37" i="1" s="1"/>
  <c r="E40" i="1" s="1"/>
  <c r="E38" i="1"/>
  <c r="F18" i="2"/>
  <c r="F27" i="2"/>
  <c r="F28" i="2"/>
  <c r="E73" i="2"/>
  <c r="F65" i="1"/>
  <c r="E64" i="1" s="1"/>
  <c r="E72" i="2"/>
  <c r="F16" i="2" s="1"/>
  <c r="I16" i="2" s="1"/>
  <c r="E68" i="2"/>
  <c r="F12" i="2" s="1"/>
  <c r="E70" i="2"/>
  <c r="E69" i="2"/>
  <c r="F13" i="2"/>
  <c r="I13" i="2" s="1"/>
  <c r="I73" i="2"/>
  <c r="I72" i="2"/>
  <c r="F24" i="2"/>
  <c r="F22" i="2"/>
  <c r="F21" i="2"/>
  <c r="F19" i="2" s="1"/>
  <c r="F26" i="2"/>
  <c r="F25" i="2"/>
  <c r="F17" i="2"/>
  <c r="I17" i="2" s="1"/>
  <c r="F18" i="1"/>
  <c r="F17" i="1"/>
  <c r="F23" i="2"/>
  <c r="F23" i="1"/>
  <c r="F22" i="1"/>
  <c r="I67" i="1"/>
  <c r="E62" i="1"/>
  <c r="E61" i="1"/>
  <c r="E60" i="1"/>
  <c r="F20" i="2"/>
  <c r="F66" i="1"/>
  <c r="E66" i="1" s="1"/>
  <c r="F16" i="1"/>
  <c r="F19" i="1"/>
  <c r="F20" i="1"/>
  <c r="F15" i="2"/>
  <c r="I15" i="2" s="1"/>
  <c r="F14" i="2"/>
  <c r="F12" i="1"/>
  <c r="I29" i="2" l="1"/>
  <c r="I36" i="2" s="1"/>
  <c r="I37" i="2" s="1"/>
  <c r="I65" i="1"/>
  <c r="F24" i="1" s="1"/>
  <c r="E47" i="2"/>
  <c r="E44" i="1"/>
  <c r="E45" i="1"/>
  <c r="E43" i="1"/>
  <c r="E65" i="1"/>
  <c r="F14" i="1" s="1"/>
  <c r="E48" i="2"/>
</calcChain>
</file>

<file path=xl/sharedStrings.xml><?xml version="1.0" encoding="utf-8"?>
<sst xmlns="http://schemas.openxmlformats.org/spreadsheetml/2006/main" count="184" uniqueCount="92">
  <si>
    <t>итого</t>
  </si>
  <si>
    <t>Упаковочные</t>
  </si>
  <si>
    <t>Комплектовочные</t>
  </si>
  <si>
    <t>Слесарные(зачистка полировка)</t>
  </si>
  <si>
    <t>Полимерная</t>
  </si>
  <si>
    <t>Гибочные</t>
  </si>
  <si>
    <t>Штамповочные</t>
  </si>
  <si>
    <t>Заготовительные</t>
  </si>
  <si>
    <t>врем.час.</t>
  </si>
  <si>
    <t>п/п</t>
  </si>
  <si>
    <t>Норма</t>
  </si>
  <si>
    <t>Наименование операции</t>
  </si>
  <si>
    <t>№</t>
  </si>
  <si>
    <t>шт.</t>
  </si>
  <si>
    <t>Гайка М5</t>
  </si>
  <si>
    <t>кг</t>
  </si>
  <si>
    <t>Порошковая краска 7035 89/70220</t>
  </si>
  <si>
    <r>
      <t>Сифон универсальный (</t>
    </r>
    <r>
      <rPr>
        <sz val="10"/>
        <color indexed="10"/>
        <rFont val="Arial Cyr"/>
        <charset val="204"/>
      </rPr>
      <t>по требованию заказчика</t>
    </r>
    <r>
      <rPr>
        <sz val="10"/>
        <rFont val="Arial Cyr"/>
        <charset val="204"/>
      </rPr>
      <t>)</t>
    </r>
  </si>
  <si>
    <t>Опора пластиковая уголок 40х40 с грибком (Лида)</t>
  </si>
  <si>
    <t>л</t>
  </si>
  <si>
    <t>Углекислота  л</t>
  </si>
  <si>
    <t>Проволока сварочн.нерж.Ф 0,8</t>
  </si>
  <si>
    <t>Проволока  Св08Г2С-0</t>
  </si>
  <si>
    <t>гр</t>
  </si>
  <si>
    <t>Вольфрам лантана Ф2 г</t>
  </si>
  <si>
    <t>Газ аргон л</t>
  </si>
  <si>
    <t>Проволока сварочн.нерж.Ф1,2 кг</t>
  </si>
  <si>
    <t>Лист 0,8 оцинк</t>
  </si>
  <si>
    <t>Лист 1,5 чёрн</t>
  </si>
  <si>
    <t>Лист 0,8  ст 430</t>
  </si>
  <si>
    <t>измерен.</t>
  </si>
  <si>
    <t>материалов</t>
  </si>
  <si>
    <t>Количество с коэффициентом</t>
  </si>
  <si>
    <t>Единица</t>
  </si>
  <si>
    <t>Наименование</t>
  </si>
  <si>
    <t>Сырьё и материалы</t>
  </si>
  <si>
    <t>Каркас</t>
  </si>
  <si>
    <t>Размеры ванны, мм</t>
  </si>
  <si>
    <t>глубина</t>
  </si>
  <si>
    <t>высота</t>
  </si>
  <si>
    <t>ширина</t>
  </si>
  <si>
    <t>длина</t>
  </si>
  <si>
    <t>Обозначение</t>
  </si>
  <si>
    <t>Размеры, мм.</t>
  </si>
  <si>
    <t>Длина</t>
  </si>
  <si>
    <t>Ширина</t>
  </si>
  <si>
    <t>Глубина</t>
  </si>
  <si>
    <t>1/500</t>
  </si>
  <si>
    <t>1/600</t>
  </si>
  <si>
    <t>1/700</t>
  </si>
  <si>
    <t>1/800</t>
  </si>
  <si>
    <t>2/500</t>
  </si>
  <si>
    <t>2/600</t>
  </si>
  <si>
    <t>3/500</t>
  </si>
  <si>
    <t>3/600</t>
  </si>
  <si>
    <t>НЕ УДАЛЯТЬ!!! Цифры не менять!!!</t>
  </si>
  <si>
    <t>Стенка  передняя 0,8</t>
  </si>
  <si>
    <t>Скоба 0,8</t>
  </si>
  <si>
    <t>Стенка задняя 0,8</t>
  </si>
  <si>
    <t xml:space="preserve">Швеллер 1,5 392.001.002 (ВСМ 3) </t>
  </si>
  <si>
    <t>Количество ванн</t>
  </si>
  <si>
    <r>
      <t>1-</t>
    </r>
    <r>
      <rPr>
        <b/>
        <sz val="16"/>
        <color indexed="10"/>
        <rFont val="Arial Cyr"/>
        <charset val="204"/>
      </rPr>
      <t>1</t>
    </r>
    <r>
      <rPr>
        <b/>
        <sz val="16"/>
        <rFont val="Arial Cyr"/>
        <charset val="204"/>
      </rPr>
      <t>; 2-</t>
    </r>
    <r>
      <rPr>
        <b/>
        <sz val="16"/>
        <color indexed="10"/>
        <rFont val="Arial Cyr"/>
        <charset val="204"/>
      </rPr>
      <t>2</t>
    </r>
    <r>
      <rPr>
        <b/>
        <sz val="16"/>
        <rFont val="Arial Cyr"/>
        <charset val="204"/>
      </rPr>
      <t>; 3-</t>
    </r>
    <r>
      <rPr>
        <b/>
        <sz val="16"/>
        <color indexed="10"/>
        <rFont val="Arial Cyr"/>
        <charset val="204"/>
      </rPr>
      <t>3</t>
    </r>
  </si>
  <si>
    <t xml:space="preserve">Ванны моечные сварные </t>
  </si>
  <si>
    <t>ВСМ, ВСМН</t>
  </si>
  <si>
    <t>Ванны моечные разборные</t>
  </si>
  <si>
    <t>ВСМ, ВСМН, ВСМо</t>
  </si>
  <si>
    <t>обвязка (группа)</t>
  </si>
  <si>
    <t>Лист 0,8 чёрн</t>
  </si>
  <si>
    <t>Тр. 25х25х1,2нерж</t>
  </si>
  <si>
    <t>Болт М6х40</t>
  </si>
  <si>
    <t>Гайка М6</t>
  </si>
  <si>
    <r>
      <t xml:space="preserve">полимер. </t>
    </r>
    <r>
      <rPr>
        <sz val="14"/>
        <rFont val="Arial Cyr"/>
        <charset val="204"/>
      </rPr>
      <t xml:space="preserve">- </t>
    </r>
    <r>
      <rPr>
        <b/>
        <sz val="14"/>
        <color indexed="10"/>
        <rFont val="Arial Cyr"/>
        <charset val="204"/>
      </rPr>
      <t>0</t>
    </r>
    <r>
      <rPr>
        <sz val="14"/>
        <rFont val="Arial Cyr"/>
        <charset val="204"/>
      </rPr>
      <t xml:space="preserve">, </t>
    </r>
    <r>
      <rPr>
        <b/>
        <sz val="14"/>
        <rFont val="Arial Cyr"/>
        <charset val="204"/>
      </rPr>
      <t>нерж.</t>
    </r>
    <r>
      <rPr>
        <sz val="14"/>
        <rFont val="Arial Cyr"/>
        <charset val="204"/>
      </rPr>
      <t xml:space="preserve"> -</t>
    </r>
    <r>
      <rPr>
        <b/>
        <sz val="14"/>
        <rFont val="Arial Cyr"/>
        <charset val="204"/>
      </rPr>
      <t xml:space="preserve"> </t>
    </r>
    <r>
      <rPr>
        <b/>
        <sz val="14"/>
        <color indexed="10"/>
        <rFont val="Arial Cyr"/>
        <charset val="204"/>
      </rPr>
      <t>1</t>
    </r>
    <r>
      <rPr>
        <b/>
        <sz val="14"/>
        <rFont val="Arial Cyr"/>
        <charset val="204"/>
      </rPr>
      <t xml:space="preserve">, оцинк. - </t>
    </r>
    <r>
      <rPr>
        <b/>
        <sz val="14"/>
        <color indexed="10"/>
        <rFont val="Arial Cyr"/>
        <charset val="204"/>
      </rPr>
      <t>2</t>
    </r>
  </si>
  <si>
    <r>
      <t xml:space="preserve">полимер. </t>
    </r>
    <r>
      <rPr>
        <sz val="14"/>
        <rFont val="Arial Cyr"/>
        <charset val="204"/>
      </rPr>
      <t xml:space="preserve">- </t>
    </r>
    <r>
      <rPr>
        <b/>
        <sz val="14"/>
        <color indexed="10"/>
        <rFont val="Arial Cyr"/>
        <charset val="204"/>
      </rPr>
      <t>0</t>
    </r>
    <r>
      <rPr>
        <sz val="14"/>
        <rFont val="Arial Cyr"/>
        <charset val="204"/>
      </rPr>
      <t xml:space="preserve">, </t>
    </r>
    <r>
      <rPr>
        <b/>
        <sz val="14"/>
        <rFont val="Arial Cyr"/>
        <charset val="204"/>
      </rPr>
      <t>нерж.</t>
    </r>
    <r>
      <rPr>
        <sz val="14"/>
        <rFont val="Arial Cyr"/>
        <charset val="204"/>
      </rPr>
      <t xml:space="preserve"> -</t>
    </r>
    <r>
      <rPr>
        <b/>
        <sz val="14"/>
        <rFont val="Arial Cyr"/>
        <charset val="204"/>
      </rPr>
      <t xml:space="preserve"> </t>
    </r>
    <r>
      <rPr>
        <b/>
        <sz val="14"/>
        <color indexed="10"/>
        <rFont val="Arial Cyr"/>
        <charset val="204"/>
      </rPr>
      <t>1</t>
    </r>
    <r>
      <rPr>
        <b/>
        <sz val="10"/>
        <rFont val="Arial Cyr"/>
        <charset val="204"/>
      </rPr>
      <t/>
    </r>
  </si>
  <si>
    <t>Транспортные</t>
  </si>
  <si>
    <t>Лист 1,2 оцинк</t>
  </si>
  <si>
    <t>Лист 1,2 чёрн</t>
  </si>
  <si>
    <t xml:space="preserve">Лист 1,2 ст 430  </t>
  </si>
  <si>
    <t>Стойка 1,2  390.002.002</t>
  </si>
  <si>
    <t>Винт ww М5х16 КВ-РН</t>
  </si>
  <si>
    <t xml:space="preserve">кол-во </t>
  </si>
  <si>
    <t>рабочих</t>
  </si>
  <si>
    <t>Обварка</t>
  </si>
  <si>
    <t>Слесарно-сварочные (контактная сварка)</t>
  </si>
  <si>
    <t>Слесарно-сварочные (каркас)</t>
  </si>
  <si>
    <t>полимерная</t>
  </si>
  <si>
    <t>Трудоемкость изготовления 1-го изделия</t>
  </si>
  <si>
    <t>Трудоемкость изготовления до 10 изделий</t>
  </si>
  <si>
    <t xml:space="preserve">Трудоемкость изготовления до 30 изделий </t>
  </si>
  <si>
    <t>Трудоемкость изготовления свыше 30 изделий</t>
  </si>
  <si>
    <t>Уголок 1,2  390.002.101</t>
  </si>
  <si>
    <t>Уголок 1,5  390.002.101</t>
  </si>
  <si>
    <t>03 02 2015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</si>
</sst>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7" x14ac:knownFonts="1">
    <font>
      <sz val="10"/>
      <name val="Arial Cyr"/>
      <charset val="204"/>
    </font>
    <font>
      <sz val="10"/>
      <name val="Arial Cyr"/>
      <charset val="204"/>
    </font>
    <font>
      <b/>
      <sz val="14"/>
      <name val="Arial Cyr"/>
      <charset val="204"/>
    </font>
    <font>
      <b/>
      <sz val="10"/>
      <color indexed="10"/>
      <name val="Arial Cyr"/>
      <charset val="204"/>
    </font>
    <font>
      <b/>
      <sz val="12"/>
      <name val="Arial Cyr"/>
      <charset val="204"/>
    </font>
    <font>
      <b/>
      <sz val="8"/>
      <name val="Arial Cyr"/>
      <charset val="204"/>
    </font>
    <font>
      <b/>
      <sz val="10"/>
      <name val="Arial Cyr"/>
      <charset val="204"/>
    </font>
    <font>
      <b/>
      <sz val="11"/>
      <name val="Arial Cyr"/>
      <charset val="204"/>
    </font>
    <font>
      <sz val="10"/>
      <color indexed="10"/>
      <name val="Arial Cyr"/>
      <charset val="204"/>
    </font>
    <font>
      <sz val="10"/>
      <name val="Arial"/>
      <family val="2"/>
      <charset val="204"/>
    </font>
    <font>
      <b/>
      <sz val="9"/>
      <name val="Arial Cyr"/>
      <charset val="204"/>
    </font>
    <font>
      <b/>
      <sz val="16"/>
      <name val="Arial Cyr"/>
      <charset val="204"/>
    </font>
    <font>
      <i/>
      <sz val="16"/>
      <name val="Arial Cyr"/>
      <charset val="204"/>
    </font>
    <font>
      <b/>
      <sz val="16"/>
      <color indexed="10"/>
      <name val="Arial Cyr"/>
      <charset val="204"/>
    </font>
    <font>
      <sz val="14"/>
      <name val="Arial Cyr"/>
      <charset val="204"/>
    </font>
    <font>
      <b/>
      <sz val="18"/>
      <name val="Arial Cyr"/>
      <charset val="204"/>
    </font>
    <font>
      <sz val="11"/>
      <color indexed="8"/>
      <name val="Calibri"/>
      <family val="2"/>
      <charset val="204"/>
    </font>
    <font>
      <sz val="11"/>
      <color indexed="21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21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62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4"/>
      <color indexed="10"/>
      <name val="Arial Cyr"/>
      <charset val="204"/>
    </font>
    <font>
      <b/>
      <sz val="20"/>
      <name val="Arial Cyr"/>
      <charset val="204"/>
    </font>
    <font>
      <sz val="8"/>
      <name val="Arial Cyr"/>
      <charset val="204"/>
    </font>
    <font>
      <sz val="16"/>
      <name val="Arial Cyr"/>
      <charset val="204"/>
    </font>
  </fonts>
  <fills count="22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5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5">
    <xf numFmtId="0" fontId="0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2" borderId="0" applyNumberFormat="0" applyBorder="0" applyAlignment="0" applyProtection="0"/>
    <xf numFmtId="0" fontId="16" fillId="5" borderId="0" applyNumberFormat="0" applyBorder="0" applyAlignment="0" applyProtection="0"/>
    <xf numFmtId="0" fontId="16" fillId="3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3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2" borderId="0" applyNumberFormat="0" applyBorder="0" applyAlignment="0" applyProtection="0"/>
    <xf numFmtId="0" fontId="17" fillId="3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8" fillId="6" borderId="0" applyNumberFormat="0" applyBorder="0" applyAlignment="0" applyProtection="0"/>
    <xf numFmtId="0" fontId="19" fillId="2" borderId="1" applyNumberFormat="0" applyAlignment="0" applyProtection="0"/>
    <xf numFmtId="0" fontId="20" fillId="17" borderId="2" applyNumberFormat="0" applyAlignment="0" applyProtection="0"/>
    <xf numFmtId="0" fontId="21" fillId="0" borderId="0" applyNumberFormat="0" applyFill="0" applyBorder="0" applyAlignment="0" applyProtection="0"/>
    <xf numFmtId="0" fontId="22" fillId="7" borderId="0" applyNumberFormat="0" applyBorder="0" applyAlignment="0" applyProtection="0"/>
    <xf numFmtId="0" fontId="23" fillId="0" borderId="3" applyNumberFormat="0" applyFill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26" fillId="3" borderId="1" applyNumberFormat="0" applyAlignment="0" applyProtection="0"/>
    <xf numFmtId="0" fontId="27" fillId="0" borderId="6" applyNumberFormat="0" applyFill="0" applyAlignment="0" applyProtection="0"/>
    <xf numFmtId="0" fontId="28" fillId="10" borderId="0" applyNumberFormat="0" applyBorder="0" applyAlignment="0" applyProtection="0"/>
    <xf numFmtId="0" fontId="1" fillId="4" borderId="7" applyNumberFormat="0" applyFont="0" applyAlignment="0" applyProtection="0"/>
    <xf numFmtId="0" fontId="29" fillId="2" borderId="8" applyNumberFormat="0" applyAlignment="0" applyProtection="0"/>
    <xf numFmtId="0" fontId="30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1" fillId="0" borderId="0"/>
    <xf numFmtId="0" fontId="9" fillId="0" borderId="0"/>
    <xf numFmtId="0" fontId="9" fillId="0" borderId="0"/>
  </cellStyleXfs>
  <cellXfs count="178">
    <xf numFmtId="0" fontId="0" fillId="0" borderId="0" xfId="0"/>
    <xf numFmtId="0" fontId="0" fillId="0" borderId="0" xfId="0" applyFill="1"/>
    <xf numFmtId="10" fontId="0" fillId="0" borderId="0" xfId="0" applyNumberFormat="1"/>
    <xf numFmtId="0" fontId="2" fillId="0" borderId="0" xfId="0" applyFont="1"/>
    <xf numFmtId="14" fontId="3" fillId="0" borderId="0" xfId="42" applyNumberFormat="1" applyFont="1" applyFill="1"/>
    <xf numFmtId="0" fontId="0" fillId="0" borderId="0" xfId="0" applyFill="1" applyAlignment="1">
      <alignment horizontal="right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6" fillId="0" borderId="13" xfId="0" applyFont="1" applyFill="1" applyBorder="1"/>
    <xf numFmtId="0" fontId="7" fillId="0" borderId="0" xfId="0" applyFont="1" applyFill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6" fillId="0" borderId="14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11" xfId="0" applyFont="1" applyFill="1" applyBorder="1" applyAlignment="1">
      <alignment horizontal="center"/>
    </xf>
    <xf numFmtId="0" fontId="0" fillId="0" borderId="0" xfId="0" applyFont="1" applyFill="1" applyBorder="1"/>
    <xf numFmtId="0" fontId="1" fillId="0" borderId="11" xfId="43" applyFont="1" applyFill="1" applyBorder="1" applyAlignment="1">
      <alignment horizontal="center"/>
    </xf>
    <xf numFmtId="0" fontId="1" fillId="0" borderId="11" xfId="44" applyFont="1" applyFill="1" applyBorder="1" applyAlignment="1">
      <alignment horizontal="center"/>
    </xf>
    <xf numFmtId="2" fontId="0" fillId="0" borderId="0" xfId="0" applyNumberFormat="1"/>
    <xf numFmtId="0" fontId="1" fillId="0" borderId="12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10" fillId="0" borderId="17" xfId="0" applyFont="1" applyFill="1" applyBorder="1"/>
    <xf numFmtId="0" fontId="6" fillId="0" borderId="13" xfId="0" applyFont="1" applyFill="1" applyBorder="1" applyAlignment="1">
      <alignment horizontal="left"/>
    </xf>
    <xf numFmtId="0" fontId="10" fillId="0" borderId="0" xfId="0" applyFont="1" applyFill="1" applyBorder="1"/>
    <xf numFmtId="0" fontId="10" fillId="0" borderId="14" xfId="0" applyFont="1" applyFill="1" applyBorder="1"/>
    <xf numFmtId="0" fontId="6" fillId="0" borderId="14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1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13" fillId="18" borderId="18" xfId="0" applyFont="1" applyFill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11" fillId="0" borderId="0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0" fontId="15" fillId="0" borderId="0" xfId="0" applyFont="1"/>
    <xf numFmtId="0" fontId="4" fillId="19" borderId="21" xfId="0" applyFont="1" applyFill="1" applyBorder="1" applyAlignment="1">
      <alignment horizontal="center"/>
    </xf>
    <xf numFmtId="0" fontId="4" fillId="19" borderId="13" xfId="0" applyFont="1" applyFill="1" applyBorder="1" applyAlignment="1">
      <alignment horizontal="center"/>
    </xf>
    <xf numFmtId="0" fontId="14" fillId="19" borderId="18" xfId="0" applyFont="1" applyFill="1" applyBorder="1"/>
    <xf numFmtId="0" fontId="2" fillId="19" borderId="12" xfId="0" applyFont="1" applyFill="1" applyBorder="1" applyAlignment="1">
      <alignment horizontal="center"/>
    </xf>
    <xf numFmtId="0" fontId="33" fillId="19" borderId="12" xfId="0" applyFont="1" applyFill="1" applyBorder="1" applyAlignment="1">
      <alignment horizontal="center"/>
    </xf>
    <xf numFmtId="0" fontId="2" fillId="19" borderId="11" xfId="0" applyFont="1" applyFill="1" applyBorder="1" applyAlignment="1">
      <alignment horizontal="center"/>
    </xf>
    <xf numFmtId="0" fontId="33" fillId="19" borderId="11" xfId="0" applyFont="1" applyFill="1" applyBorder="1" applyAlignment="1">
      <alignment horizontal="center"/>
    </xf>
    <xf numFmtId="0" fontId="2" fillId="19" borderId="22" xfId="0" applyFont="1" applyFill="1" applyBorder="1" applyAlignment="1">
      <alignment horizontal="center"/>
    </xf>
    <xf numFmtId="0" fontId="33" fillId="19" borderId="10" xfId="0" applyFont="1" applyFill="1" applyBorder="1" applyAlignment="1">
      <alignment horizontal="center"/>
    </xf>
    <xf numFmtId="0" fontId="8" fillId="20" borderId="23" xfId="0" applyFont="1" applyFill="1" applyBorder="1"/>
    <xf numFmtId="0" fontId="8" fillId="21" borderId="23" xfId="0" applyFont="1" applyFill="1" applyBorder="1"/>
    <xf numFmtId="0" fontId="8" fillId="20" borderId="23" xfId="0" applyFont="1" applyFill="1" applyBorder="1" applyAlignment="1">
      <alignment horizontal="center"/>
    </xf>
    <xf numFmtId="0" fontId="11" fillId="0" borderId="24" xfId="0" applyFont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31" fillId="0" borderId="14" xfId="0" applyFont="1" applyFill="1" applyBorder="1" applyAlignment="1">
      <alignment horizontal="center"/>
    </xf>
    <xf numFmtId="0" fontId="31" fillId="0" borderId="13" xfId="0" applyFont="1" applyFill="1" applyBorder="1" applyAlignment="1">
      <alignment horizontal="center"/>
    </xf>
    <xf numFmtId="0" fontId="0" fillId="0" borderId="11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>
      <alignment horizontal="left"/>
    </xf>
    <xf numFmtId="0" fontId="8" fillId="0" borderId="0" xfId="0" applyFont="1" applyFill="1" applyBorder="1"/>
    <xf numFmtId="0" fontId="8" fillId="19" borderId="0" xfId="0" applyFont="1" applyFill="1" applyBorder="1"/>
    <xf numFmtId="0" fontId="0" fillId="19" borderId="0" xfId="0" applyFill="1"/>
    <xf numFmtId="0" fontId="2" fillId="19" borderId="18" xfId="0" applyFont="1" applyFill="1" applyBorder="1" applyAlignment="1">
      <alignment horizontal="center"/>
    </xf>
    <xf numFmtId="2" fontId="11" fillId="0" borderId="17" xfId="0" applyNumberFormat="1" applyFont="1" applyFill="1" applyBorder="1" applyAlignment="1">
      <alignment horizontal="center"/>
    </xf>
    <xf numFmtId="0" fontId="36" fillId="0" borderId="12" xfId="0" applyFont="1" applyFill="1" applyBorder="1" applyAlignment="1">
      <alignment horizontal="center" vertical="center"/>
    </xf>
    <xf numFmtId="0" fontId="36" fillId="0" borderId="11" xfId="0" applyFont="1" applyFill="1" applyBorder="1" applyAlignment="1">
      <alignment horizontal="center" vertical="center"/>
    </xf>
    <xf numFmtId="0" fontId="36" fillId="0" borderId="10" xfId="0" applyFont="1" applyFill="1" applyBorder="1" applyAlignment="1">
      <alignment horizontal="center" vertical="center"/>
    </xf>
    <xf numFmtId="2" fontId="11" fillId="0" borderId="12" xfId="0" applyNumberFormat="1" applyFont="1" applyFill="1" applyBorder="1" applyAlignment="1">
      <alignment horizontal="center" vertical="center"/>
    </xf>
    <xf numFmtId="2" fontId="11" fillId="0" borderId="11" xfId="0" applyNumberFormat="1" applyFont="1" applyFill="1" applyBorder="1" applyAlignment="1">
      <alignment horizontal="center" vertical="center"/>
    </xf>
    <xf numFmtId="2" fontId="11" fillId="0" borderId="10" xfId="0" applyNumberFormat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4" fillId="19" borderId="14" xfId="0" applyFont="1" applyFill="1" applyBorder="1" applyAlignment="1">
      <alignment vertical="center"/>
    </xf>
    <xf numFmtId="0" fontId="4" fillId="19" borderId="13" xfId="0" applyFont="1" applyFill="1" applyBorder="1" applyAlignment="1">
      <alignment vertical="center"/>
    </xf>
    <xf numFmtId="0" fontId="4" fillId="19" borderId="28" xfId="0" applyFont="1" applyFill="1" applyBorder="1" applyAlignment="1">
      <alignment horizontal="center"/>
    </xf>
    <xf numFmtId="0" fontId="4" fillId="19" borderId="24" xfId="0" applyFont="1" applyFill="1" applyBorder="1" applyAlignment="1">
      <alignment horizontal="center"/>
    </xf>
    <xf numFmtId="0" fontId="34" fillId="20" borderId="0" xfId="0" applyFont="1" applyFill="1" applyAlignment="1">
      <alignment horizontal="center" vertical="top"/>
    </xf>
    <xf numFmtId="0" fontId="34" fillId="20" borderId="26" xfId="0" applyFont="1" applyFill="1" applyBorder="1" applyAlignment="1">
      <alignment horizontal="center" vertical="top"/>
    </xf>
    <xf numFmtId="0" fontId="8" fillId="0" borderId="15" xfId="0" applyFont="1" applyFill="1" applyBorder="1"/>
    <xf numFmtId="0" fontId="11" fillId="0" borderId="35" xfId="0" applyFont="1" applyFill="1" applyBorder="1" applyAlignment="1">
      <alignment horizontal="left" vertical="center"/>
    </xf>
    <xf numFmtId="0" fontId="11" fillId="0" borderId="36" xfId="0" applyFont="1" applyFill="1" applyBorder="1" applyAlignment="1">
      <alignment horizontal="left" vertical="center"/>
    </xf>
    <xf numFmtId="0" fontId="11" fillId="0" borderId="37" xfId="0" applyFont="1" applyFill="1" applyBorder="1" applyAlignment="1">
      <alignment horizontal="left" vertical="center"/>
    </xf>
    <xf numFmtId="0" fontId="11" fillId="0" borderId="34" xfId="0" applyFont="1" applyFill="1" applyBorder="1" applyAlignment="1">
      <alignment horizontal="left" vertical="center"/>
    </xf>
    <xf numFmtId="0" fontId="11" fillId="0" borderId="23" xfId="0" applyFont="1" applyFill="1" applyBorder="1" applyAlignment="1">
      <alignment horizontal="left" vertical="center"/>
    </xf>
    <xf numFmtId="0" fontId="11" fillId="0" borderId="38" xfId="0" applyFont="1" applyFill="1" applyBorder="1" applyAlignment="1">
      <alignment horizontal="left" vertical="center"/>
    </xf>
    <xf numFmtId="0" fontId="11" fillId="0" borderId="16" xfId="0" applyFont="1" applyFill="1" applyBorder="1" applyAlignment="1">
      <alignment horizontal="left" vertical="center"/>
    </xf>
    <xf numFmtId="0" fontId="11" fillId="0" borderId="15" xfId="0" applyFont="1" applyFill="1" applyBorder="1" applyAlignment="1">
      <alignment horizontal="left" vertical="center"/>
    </xf>
    <xf numFmtId="0" fontId="11" fillId="0" borderId="39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/>
    </xf>
    <xf numFmtId="2" fontId="1" fillId="0" borderId="29" xfId="43" applyNumberFormat="1" applyFont="1" applyFill="1" applyBorder="1" applyAlignment="1">
      <alignment horizontal="center"/>
    </xf>
    <xf numFmtId="2" fontId="1" fillId="0" borderId="30" xfId="43" applyNumberFormat="1" applyFont="1" applyFill="1" applyBorder="1" applyAlignment="1">
      <alignment horizontal="center"/>
    </xf>
    <xf numFmtId="0" fontId="1" fillId="0" borderId="31" xfId="0" applyFont="1" applyFill="1" applyBorder="1"/>
    <xf numFmtId="0" fontId="1" fillId="0" borderId="32" xfId="0" applyFont="1" applyFill="1" applyBorder="1"/>
    <xf numFmtId="0" fontId="1" fillId="0" borderId="33" xfId="0" applyFont="1" applyFill="1" applyBorder="1"/>
    <xf numFmtId="1" fontId="0" fillId="0" borderId="31" xfId="0" applyNumberFormat="1" applyFill="1" applyBorder="1" applyAlignment="1">
      <alignment horizontal="center"/>
    </xf>
    <xf numFmtId="1" fontId="0" fillId="0" borderId="33" xfId="0" applyNumberFormat="1" applyFill="1" applyBorder="1" applyAlignment="1">
      <alignment horizontal="center"/>
    </xf>
    <xf numFmtId="0" fontId="1" fillId="0" borderId="34" xfId="0" applyFont="1" applyFill="1" applyBorder="1"/>
    <xf numFmtId="0" fontId="1" fillId="0" borderId="23" xfId="0" applyFont="1" applyFill="1" applyBorder="1"/>
    <xf numFmtId="0" fontId="1" fillId="0" borderId="30" xfId="0" applyFont="1" applyFill="1" applyBorder="1"/>
    <xf numFmtId="2" fontId="0" fillId="0" borderId="31" xfId="0" applyNumberFormat="1" applyFill="1" applyBorder="1" applyAlignment="1">
      <alignment horizontal="center"/>
    </xf>
    <xf numFmtId="2" fontId="0" fillId="0" borderId="33" xfId="0" applyNumberFormat="1" applyFill="1" applyBorder="1" applyAlignment="1">
      <alignment horizontal="center"/>
    </xf>
    <xf numFmtId="0" fontId="1" fillId="0" borderId="40" xfId="0" applyFont="1" applyFill="1" applyBorder="1"/>
    <xf numFmtId="0" fontId="1" fillId="0" borderId="41" xfId="0" applyFont="1" applyFill="1" applyBorder="1"/>
    <xf numFmtId="0" fontId="1" fillId="0" borderId="42" xfId="0" applyFont="1" applyFill="1" applyBorder="1"/>
    <xf numFmtId="0" fontId="6" fillId="0" borderId="43" xfId="0" applyFont="1" applyFill="1" applyBorder="1" applyAlignment="1">
      <alignment horizontal="center"/>
    </xf>
    <xf numFmtId="0" fontId="6" fillId="0" borderId="44" xfId="0" applyFont="1" applyFill="1" applyBorder="1" applyAlignment="1">
      <alignment horizontal="center"/>
    </xf>
    <xf numFmtId="0" fontId="6" fillId="0" borderId="45" xfId="0" applyFont="1" applyFill="1" applyBorder="1" applyAlignment="1">
      <alignment horizontal="center"/>
    </xf>
    <xf numFmtId="0" fontId="6" fillId="0" borderId="43" xfId="0" applyFont="1" applyFill="1" applyBorder="1" applyAlignment="1">
      <alignment horizontal="center" vertical="center" wrapText="1"/>
    </xf>
    <xf numFmtId="0" fontId="6" fillId="0" borderId="45" xfId="0" applyFont="1" applyFill="1" applyBorder="1" applyAlignment="1">
      <alignment horizontal="center" vertical="center" wrapText="1"/>
    </xf>
    <xf numFmtId="0" fontId="6" fillId="0" borderId="46" xfId="0" applyFont="1" applyFill="1" applyBorder="1" applyAlignment="1">
      <alignment horizontal="center" vertical="center" wrapText="1"/>
    </xf>
    <xf numFmtId="0" fontId="6" fillId="0" borderId="47" xfId="0" applyFont="1" applyFill="1" applyBorder="1" applyAlignment="1">
      <alignment horizontal="center" vertical="center" wrapText="1"/>
    </xf>
    <xf numFmtId="0" fontId="6" fillId="0" borderId="46" xfId="0" applyFont="1" applyFill="1" applyBorder="1" applyAlignment="1">
      <alignment horizontal="center"/>
    </xf>
    <xf numFmtId="0" fontId="6" fillId="0" borderId="20" xfId="0" applyFont="1" applyFill="1" applyBorder="1" applyAlignment="1">
      <alignment horizontal="center"/>
    </xf>
    <xf numFmtId="0" fontId="6" fillId="0" borderId="47" xfId="0" applyFont="1" applyFill="1" applyBorder="1" applyAlignment="1">
      <alignment horizontal="center"/>
    </xf>
    <xf numFmtId="0" fontId="1" fillId="0" borderId="35" xfId="0" applyFont="1" applyFill="1" applyBorder="1"/>
    <xf numFmtId="0" fontId="1" fillId="0" borderId="36" xfId="0" applyFont="1" applyFill="1" applyBorder="1"/>
    <xf numFmtId="0" fontId="1" fillId="0" borderId="48" xfId="0" applyFont="1" applyFill="1" applyBorder="1"/>
    <xf numFmtId="2" fontId="1" fillId="0" borderId="35" xfId="0" applyNumberFormat="1" applyFont="1" applyFill="1" applyBorder="1" applyAlignment="1">
      <alignment horizontal="center"/>
    </xf>
    <xf numFmtId="2" fontId="1" fillId="0" borderId="48" xfId="0" applyNumberFormat="1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0" fontId="4" fillId="0" borderId="24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2" fontId="1" fillId="0" borderId="40" xfId="0" applyNumberFormat="1" applyFont="1" applyFill="1" applyBorder="1" applyAlignment="1">
      <alignment horizontal="center"/>
    </xf>
    <xf numFmtId="2" fontId="1" fillId="0" borderId="42" xfId="0" applyNumberFormat="1" applyFont="1" applyFill="1" applyBorder="1" applyAlignment="1">
      <alignment horizontal="center"/>
    </xf>
    <xf numFmtId="2" fontId="1" fillId="0" borderId="34" xfId="0" applyNumberFormat="1" applyFont="1" applyFill="1" applyBorder="1" applyAlignment="1">
      <alignment horizontal="center"/>
    </xf>
    <xf numFmtId="2" fontId="1" fillId="0" borderId="30" xfId="0" applyNumberFormat="1" applyFont="1" applyFill="1" applyBorder="1" applyAlignment="1">
      <alignment horizontal="center"/>
    </xf>
    <xf numFmtId="0" fontId="1" fillId="0" borderId="34" xfId="44" applyFont="1" applyFill="1" applyBorder="1"/>
    <xf numFmtId="0" fontId="1" fillId="0" borderId="23" xfId="44" applyFont="1" applyFill="1" applyBorder="1"/>
    <xf numFmtId="0" fontId="1" fillId="0" borderId="30" xfId="44" applyFont="1" applyFill="1" applyBorder="1"/>
    <xf numFmtId="164" fontId="1" fillId="0" borderId="29" xfId="44" applyNumberFormat="1" applyFont="1" applyFill="1" applyBorder="1" applyAlignment="1">
      <alignment horizontal="center"/>
    </xf>
    <xf numFmtId="164" fontId="1" fillId="0" borderId="30" xfId="44" applyNumberFormat="1" applyFont="1" applyFill="1" applyBorder="1" applyAlignment="1">
      <alignment horizontal="center"/>
    </xf>
    <xf numFmtId="2" fontId="1" fillId="0" borderId="31" xfId="0" applyNumberFormat="1" applyFont="1" applyFill="1" applyBorder="1" applyAlignment="1">
      <alignment horizontal="center"/>
    </xf>
    <xf numFmtId="2" fontId="1" fillId="0" borderId="33" xfId="0" applyNumberFormat="1" applyFont="1" applyFill="1" applyBorder="1" applyAlignment="1">
      <alignment horizontal="center"/>
    </xf>
    <xf numFmtId="2" fontId="1" fillId="0" borderId="29" xfId="44" applyNumberFormat="1" applyFont="1" applyFill="1" applyBorder="1" applyAlignment="1">
      <alignment horizontal="center"/>
    </xf>
    <xf numFmtId="2" fontId="1" fillId="0" borderId="30" xfId="44" applyNumberFormat="1" applyFont="1" applyFill="1" applyBorder="1" applyAlignment="1">
      <alignment horizontal="center"/>
    </xf>
    <xf numFmtId="0" fontId="0" fillId="0" borderId="31" xfId="43" applyFont="1" applyFill="1" applyBorder="1" applyAlignment="1">
      <alignment horizontal="left"/>
    </xf>
    <xf numFmtId="0" fontId="0" fillId="0" borderId="32" xfId="43" applyFont="1" applyFill="1" applyBorder="1" applyAlignment="1">
      <alignment horizontal="left"/>
    </xf>
    <xf numFmtId="0" fontId="0" fillId="0" borderId="33" xfId="43" applyFont="1" applyFill="1" applyBorder="1" applyAlignment="1">
      <alignment horizontal="left"/>
    </xf>
    <xf numFmtId="0" fontId="6" fillId="0" borderId="43" xfId="0" applyFont="1" applyFill="1" applyBorder="1" applyAlignment="1">
      <alignment horizontal="center" vertical="center"/>
    </xf>
    <xf numFmtId="0" fontId="6" fillId="0" borderId="44" xfId="0" applyFont="1" applyFill="1" applyBorder="1" applyAlignment="1">
      <alignment horizontal="center" vertical="center"/>
    </xf>
    <xf numFmtId="0" fontId="6" fillId="0" borderId="45" xfId="0" applyFont="1" applyFill="1" applyBorder="1" applyAlignment="1">
      <alignment horizontal="center" vertical="center"/>
    </xf>
    <xf numFmtId="0" fontId="6" fillId="0" borderId="49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0" fillId="0" borderId="16" xfId="0" applyFill="1" applyBorder="1"/>
    <xf numFmtId="0" fontId="0" fillId="0" borderId="15" xfId="0" applyFill="1" applyBorder="1"/>
    <xf numFmtId="0" fontId="0" fillId="0" borderId="27" xfId="0" applyFill="1" applyBorder="1"/>
    <xf numFmtId="0" fontId="0" fillId="0" borderId="34" xfId="0" applyFill="1" applyBorder="1"/>
    <xf numFmtId="0" fontId="0" fillId="0" borderId="23" xfId="0" applyFill="1" applyBorder="1"/>
    <xf numFmtId="0" fontId="0" fillId="0" borderId="30" xfId="0" applyFill="1" applyBorder="1"/>
    <xf numFmtId="0" fontId="0" fillId="0" borderId="31" xfId="0" applyFill="1" applyBorder="1"/>
    <xf numFmtId="0" fontId="0" fillId="0" borderId="32" xfId="0" applyFill="1" applyBorder="1"/>
    <xf numFmtId="0" fontId="0" fillId="0" borderId="33" xfId="0" applyFill="1" applyBorder="1"/>
    <xf numFmtId="0" fontId="0" fillId="0" borderId="50" xfId="0" applyFill="1" applyBorder="1"/>
    <xf numFmtId="0" fontId="0" fillId="0" borderId="51" xfId="0" applyFill="1" applyBorder="1"/>
    <xf numFmtId="0" fontId="0" fillId="0" borderId="52" xfId="0" applyFill="1" applyBorder="1"/>
    <xf numFmtId="0" fontId="0" fillId="0" borderId="35" xfId="0" applyFill="1" applyBorder="1"/>
    <xf numFmtId="0" fontId="0" fillId="0" borderId="36" xfId="0" applyFill="1" applyBorder="1"/>
    <xf numFmtId="0" fontId="0" fillId="0" borderId="48" xfId="0" applyFill="1" applyBorder="1"/>
    <xf numFmtId="0" fontId="0" fillId="0" borderId="40" xfId="0" applyFill="1" applyBorder="1"/>
  </cellXfs>
  <cellStyles count="45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te" xfId="37"/>
    <cellStyle name="Output" xfId="38"/>
    <cellStyle name="Title" xfId="39"/>
    <cellStyle name="Total" xfId="40"/>
    <cellStyle name="Warning Text" xfId="41"/>
    <cellStyle name="Обычный" xfId="0" builtinId="0"/>
    <cellStyle name="Обычный_Автомат 26 июня 2007" xfId="42"/>
    <cellStyle name="Обычный_СПЛ" xfId="43"/>
    <cellStyle name="Обычный_СПЛ_ВСМ ВСМН АВТОМАТ 20 03 2012 для о" xfId="4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opLeftCell="A13" zoomScaleNormal="100" workbookViewId="0">
      <selection activeCell="D48" sqref="D48"/>
    </sheetView>
  </sheetViews>
  <sheetFormatPr defaultRowHeight="12.75" x14ac:dyDescent="0.2"/>
  <cols>
    <col min="1" max="1" width="3.28515625" customWidth="1"/>
    <col min="2" max="2" width="5.28515625" customWidth="1"/>
    <col min="3" max="3" width="11.7109375" customWidth="1"/>
    <col min="4" max="4" width="56.5703125" customWidth="1"/>
    <col min="5" max="5" width="9.42578125" customWidth="1"/>
    <col min="7" max="7" width="8.5703125" customWidth="1"/>
    <col min="8" max="8" width="12.85546875" customWidth="1"/>
    <col min="11" max="11" width="10.28515625" customWidth="1"/>
    <col min="12" max="12" width="10.7109375" customWidth="1"/>
    <col min="13" max="13" width="11.28515625" customWidth="1"/>
  </cols>
  <sheetData>
    <row r="1" spans="1:13" ht="16.5" customHeight="1" thickBot="1" x14ac:dyDescent="0.3">
      <c r="D1" s="102" t="s">
        <v>62</v>
      </c>
      <c r="E1" s="102"/>
      <c r="F1" s="102"/>
      <c r="G1" s="102"/>
      <c r="H1" s="102"/>
      <c r="J1" s="85" t="s">
        <v>42</v>
      </c>
      <c r="K1" s="87" t="s">
        <v>43</v>
      </c>
      <c r="L1" s="87"/>
      <c r="M1" s="88"/>
    </row>
    <row r="2" spans="1:13" ht="26.45" customHeight="1" thickBot="1" x14ac:dyDescent="0.4">
      <c r="D2" s="44" t="s">
        <v>63</v>
      </c>
      <c r="J2" s="86"/>
      <c r="K2" s="45" t="s">
        <v>44</v>
      </c>
      <c r="L2" s="46" t="s">
        <v>45</v>
      </c>
      <c r="M2" s="47" t="s">
        <v>46</v>
      </c>
    </row>
    <row r="3" spans="1:13" ht="21" thickBot="1" x14ac:dyDescent="0.35">
      <c r="A3" s="43"/>
      <c r="B3" s="40"/>
      <c r="C3" s="40"/>
      <c r="D3" s="40"/>
      <c r="E3" s="42"/>
      <c r="F3" s="42"/>
      <c r="G3" s="42"/>
      <c r="H3" s="41"/>
      <c r="J3" s="48" t="s">
        <v>47</v>
      </c>
      <c r="K3" s="49">
        <v>500</v>
      </c>
      <c r="L3" s="49">
        <v>500</v>
      </c>
      <c r="M3" s="49">
        <v>240</v>
      </c>
    </row>
    <row r="4" spans="1:13" ht="18.75" thickBot="1" x14ac:dyDescent="0.3">
      <c r="A4" s="37"/>
      <c r="B4" s="40"/>
      <c r="C4" s="40"/>
      <c r="D4" s="40"/>
      <c r="E4" s="39" t="s">
        <v>41</v>
      </c>
      <c r="F4" s="39" t="s">
        <v>40</v>
      </c>
      <c r="G4" s="39" t="s">
        <v>39</v>
      </c>
      <c r="H4" s="39" t="s">
        <v>38</v>
      </c>
      <c r="J4" s="50" t="s">
        <v>48</v>
      </c>
      <c r="K4" s="51">
        <v>600</v>
      </c>
      <c r="L4" s="51">
        <v>600</v>
      </c>
      <c r="M4" s="51">
        <v>300</v>
      </c>
    </row>
    <row r="5" spans="1:13" ht="21" thickBot="1" x14ac:dyDescent="0.35">
      <c r="A5" s="37"/>
      <c r="D5" s="36" t="s">
        <v>37</v>
      </c>
      <c r="E5" s="35">
        <v>500</v>
      </c>
      <c r="F5" s="35">
        <v>500</v>
      </c>
      <c r="G5" s="35">
        <v>860</v>
      </c>
      <c r="H5" s="35">
        <v>240</v>
      </c>
      <c r="J5" s="50" t="s">
        <v>49</v>
      </c>
      <c r="K5" s="51">
        <v>700</v>
      </c>
      <c r="L5" s="51">
        <v>700</v>
      </c>
      <c r="M5" s="51">
        <v>400</v>
      </c>
    </row>
    <row r="6" spans="1:13" ht="21" thickBot="1" x14ac:dyDescent="0.35">
      <c r="A6" s="133" t="s">
        <v>60</v>
      </c>
      <c r="B6" s="134"/>
      <c r="C6" s="135"/>
      <c r="D6" s="57" t="s">
        <v>61</v>
      </c>
      <c r="E6" s="35">
        <v>1</v>
      </c>
      <c r="F6" s="58"/>
      <c r="G6" s="58"/>
      <c r="H6" s="58"/>
      <c r="J6" s="50" t="s">
        <v>50</v>
      </c>
      <c r="K6" s="51">
        <v>800</v>
      </c>
      <c r="L6" s="51">
        <v>800</v>
      </c>
      <c r="M6" s="51">
        <v>450</v>
      </c>
    </row>
    <row r="7" spans="1:13" ht="21" thickBot="1" x14ac:dyDescent="0.35">
      <c r="A7" s="136" t="s">
        <v>36</v>
      </c>
      <c r="B7" s="137"/>
      <c r="C7" s="138"/>
      <c r="D7" s="59" t="s">
        <v>72</v>
      </c>
      <c r="E7" s="35">
        <v>0</v>
      </c>
      <c r="F7" s="34"/>
      <c r="G7" s="34"/>
      <c r="H7" s="33"/>
      <c r="J7" s="50" t="s">
        <v>51</v>
      </c>
      <c r="K7" s="51">
        <v>1000</v>
      </c>
      <c r="L7" s="51">
        <v>500</v>
      </c>
      <c r="M7" s="51">
        <v>240</v>
      </c>
    </row>
    <row r="8" spans="1:13" ht="18.75" customHeight="1" x14ac:dyDescent="0.25">
      <c r="A8" s="32"/>
      <c r="B8" s="31"/>
      <c r="C8" s="31"/>
      <c r="D8" s="31"/>
      <c r="E8" s="31"/>
      <c r="F8" s="31"/>
      <c r="G8" s="31"/>
      <c r="H8" s="31"/>
      <c r="I8" s="3"/>
      <c r="J8" s="50" t="s">
        <v>52</v>
      </c>
      <c r="K8" s="51">
        <v>1200</v>
      </c>
      <c r="L8" s="51">
        <v>600</v>
      </c>
      <c r="M8" s="51">
        <v>300</v>
      </c>
    </row>
    <row r="9" spans="1:13" ht="18.75" thickBot="1" x14ac:dyDescent="0.3">
      <c r="A9" s="139" t="s">
        <v>35</v>
      </c>
      <c r="B9" s="139"/>
      <c r="C9" s="139"/>
      <c r="D9" s="139"/>
      <c r="E9" s="139"/>
      <c r="F9" s="139"/>
      <c r="G9" s="139"/>
      <c r="H9" s="30"/>
      <c r="J9" s="52" t="s">
        <v>53</v>
      </c>
      <c r="K9" s="51">
        <v>1500</v>
      </c>
      <c r="L9" s="51">
        <v>500</v>
      </c>
      <c r="M9" s="51">
        <v>240</v>
      </c>
    </row>
    <row r="10" spans="1:13" ht="18.75" thickBot="1" x14ac:dyDescent="0.3">
      <c r="A10" s="29" t="s">
        <v>12</v>
      </c>
      <c r="B10" s="118" t="s">
        <v>34</v>
      </c>
      <c r="C10" s="119"/>
      <c r="D10" s="120"/>
      <c r="E10" s="28" t="s">
        <v>33</v>
      </c>
      <c r="F10" s="121" t="s">
        <v>32</v>
      </c>
      <c r="G10" s="122"/>
      <c r="H10" s="27"/>
      <c r="J10" s="75" t="s">
        <v>54</v>
      </c>
      <c r="K10" s="53">
        <v>1800</v>
      </c>
      <c r="L10" s="53">
        <v>600</v>
      </c>
      <c r="M10" s="53">
        <v>300</v>
      </c>
    </row>
    <row r="11" spans="1:13" ht="13.5" thickBot="1" x14ac:dyDescent="0.25">
      <c r="A11" s="26" t="s">
        <v>9</v>
      </c>
      <c r="B11" s="125" t="s">
        <v>31</v>
      </c>
      <c r="C11" s="126"/>
      <c r="D11" s="127"/>
      <c r="E11" s="25" t="s">
        <v>30</v>
      </c>
      <c r="F11" s="123"/>
      <c r="G11" s="124"/>
      <c r="H11" s="17"/>
      <c r="I11" s="24"/>
    </row>
    <row r="12" spans="1:13" x14ac:dyDescent="0.2">
      <c r="A12" s="23">
        <v>1</v>
      </c>
      <c r="B12" s="128" t="s">
        <v>29</v>
      </c>
      <c r="C12" s="129"/>
      <c r="D12" s="130"/>
      <c r="E12" s="23" t="s">
        <v>15</v>
      </c>
      <c r="F12" s="131">
        <f>E60+E61+E62</f>
        <v>5.3191283200000008</v>
      </c>
      <c r="G12" s="132"/>
      <c r="H12" s="17"/>
    </row>
    <row r="13" spans="1:13" ht="18" x14ac:dyDescent="0.25">
      <c r="A13" s="18">
        <v>2</v>
      </c>
      <c r="B13" s="110" t="s">
        <v>76</v>
      </c>
      <c r="C13" s="111"/>
      <c r="D13" s="112"/>
      <c r="E13" s="18" t="s">
        <v>15</v>
      </c>
      <c r="F13" s="140">
        <f>IF(E7=1,E65+E66+E67,0)</f>
        <v>0</v>
      </c>
      <c r="G13" s="141"/>
      <c r="H13" s="17"/>
      <c r="I13" s="3"/>
      <c r="J13" s="22"/>
      <c r="K13" s="22"/>
      <c r="M13" s="22"/>
    </row>
    <row r="14" spans="1:13" ht="18" x14ac:dyDescent="0.25">
      <c r="A14" s="18"/>
      <c r="B14" s="115" t="s">
        <v>75</v>
      </c>
      <c r="C14" s="116"/>
      <c r="D14" s="117"/>
      <c r="E14" s="18" t="s">
        <v>15</v>
      </c>
      <c r="F14" s="149">
        <f>IF(E7=0,IF(E6=1,E65+E66,E66),0)</f>
        <v>4.6516675920000008</v>
      </c>
      <c r="G14" s="150"/>
      <c r="H14" s="17"/>
      <c r="I14" s="3"/>
      <c r="J14" s="22"/>
      <c r="K14" s="22"/>
      <c r="M14" s="22"/>
    </row>
    <row r="15" spans="1:13" x14ac:dyDescent="0.2">
      <c r="A15" s="18">
        <v>3</v>
      </c>
      <c r="B15" s="115" t="s">
        <v>28</v>
      </c>
      <c r="C15" s="116"/>
      <c r="D15" s="117"/>
      <c r="E15" s="18" t="s">
        <v>15</v>
      </c>
      <c r="F15" s="140">
        <f>IF(E7=0,IF(E6=1,0,E64+E67),0)</f>
        <v>0</v>
      </c>
      <c r="G15" s="141"/>
      <c r="H15" s="17"/>
      <c r="I15" s="22"/>
      <c r="J15" s="22"/>
      <c r="K15" s="22"/>
    </row>
    <row r="16" spans="1:13" x14ac:dyDescent="0.2">
      <c r="A16" s="18">
        <v>4</v>
      </c>
      <c r="B16" s="144" t="s">
        <v>26</v>
      </c>
      <c r="C16" s="145"/>
      <c r="D16" s="146"/>
      <c r="E16" s="21" t="s">
        <v>15</v>
      </c>
      <c r="F16" s="151">
        <f>F18*0.12</f>
        <v>5.5968000000000004E-2</v>
      </c>
      <c r="G16" s="152"/>
      <c r="H16" s="17"/>
    </row>
    <row r="17" spans="1:9" x14ac:dyDescent="0.2">
      <c r="A17" s="18">
        <v>5</v>
      </c>
      <c r="B17" s="144" t="s">
        <v>25</v>
      </c>
      <c r="C17" s="145"/>
      <c r="D17" s="146"/>
      <c r="E17" s="21" t="s">
        <v>19</v>
      </c>
      <c r="F17" s="147">
        <f>F18*170/0.27</f>
        <v>293.65925925925927</v>
      </c>
      <c r="G17" s="148"/>
      <c r="H17" s="17"/>
    </row>
    <row r="18" spans="1:9" x14ac:dyDescent="0.2">
      <c r="A18" s="18">
        <v>6</v>
      </c>
      <c r="B18" s="144" t="s">
        <v>24</v>
      </c>
      <c r="C18" s="145"/>
      <c r="D18" s="146"/>
      <c r="E18" s="21" t="s">
        <v>23</v>
      </c>
      <c r="F18" s="151">
        <f>(H5*4*0.22/1000+F5*2*0.22/1000+40*4*0.22/1000)*E6</f>
        <v>0.46640000000000004</v>
      </c>
      <c r="G18" s="152"/>
      <c r="H18" s="17"/>
    </row>
    <row r="19" spans="1:9" x14ac:dyDescent="0.2">
      <c r="A19" s="18">
        <v>7</v>
      </c>
      <c r="B19" s="110" t="s">
        <v>22</v>
      </c>
      <c r="C19" s="111"/>
      <c r="D19" s="112"/>
      <c r="E19" s="18" t="s">
        <v>15</v>
      </c>
      <c r="F19" s="142">
        <f>IF(E7=0,0.03,0)</f>
        <v>0.03</v>
      </c>
      <c r="G19" s="143"/>
      <c r="H19" s="19"/>
    </row>
    <row r="20" spans="1:9" x14ac:dyDescent="0.2">
      <c r="A20" s="18">
        <v>8</v>
      </c>
      <c r="B20" s="153" t="s">
        <v>21</v>
      </c>
      <c r="C20" s="154"/>
      <c r="D20" s="155"/>
      <c r="E20" s="20" t="s">
        <v>15</v>
      </c>
      <c r="F20" s="103">
        <f>IF(E7=1,0.03,0)</f>
        <v>0</v>
      </c>
      <c r="G20" s="104"/>
      <c r="H20" s="17"/>
    </row>
    <row r="21" spans="1:9" x14ac:dyDescent="0.2">
      <c r="A21" s="18">
        <v>9</v>
      </c>
      <c r="B21" s="110" t="s">
        <v>20</v>
      </c>
      <c r="C21" s="111"/>
      <c r="D21" s="112"/>
      <c r="E21" s="18" t="s">
        <v>19</v>
      </c>
      <c r="F21" s="113">
        <v>9</v>
      </c>
      <c r="G21" s="114"/>
      <c r="H21" s="19"/>
    </row>
    <row r="22" spans="1:9" x14ac:dyDescent="0.2">
      <c r="A22" s="18">
        <v>10</v>
      </c>
      <c r="B22" s="105" t="s">
        <v>18</v>
      </c>
      <c r="C22" s="106"/>
      <c r="D22" s="107"/>
      <c r="E22" s="18" t="s">
        <v>13</v>
      </c>
      <c r="F22" s="108">
        <f>IF(E5&lt;1500,4,6)</f>
        <v>4</v>
      </c>
      <c r="G22" s="109"/>
    </row>
    <row r="23" spans="1:9" x14ac:dyDescent="0.2">
      <c r="A23" s="18">
        <v>11</v>
      </c>
      <c r="B23" s="105" t="s">
        <v>17</v>
      </c>
      <c r="C23" s="106"/>
      <c r="D23" s="107"/>
      <c r="E23" s="18" t="s">
        <v>13</v>
      </c>
      <c r="F23" s="108">
        <f>E6</f>
        <v>1</v>
      </c>
      <c r="G23" s="109"/>
    </row>
    <row r="24" spans="1:9" x14ac:dyDescent="0.2">
      <c r="A24" s="18">
        <v>12</v>
      </c>
      <c r="B24" s="105" t="s">
        <v>16</v>
      </c>
      <c r="C24" s="106"/>
      <c r="D24" s="107"/>
      <c r="E24" s="18" t="s">
        <v>15</v>
      </c>
      <c r="F24" s="113">
        <f>IF(E7=0,(I65+I67)*0.11,0)</f>
        <v>9.0247520000000012E-2</v>
      </c>
      <c r="G24" s="114"/>
    </row>
    <row r="25" spans="1:9" ht="13.5" thickBot="1" x14ac:dyDescent="0.25">
      <c r="A25" s="16"/>
      <c r="B25" s="91"/>
      <c r="C25" s="91"/>
      <c r="D25" s="91"/>
      <c r="E25" s="15"/>
      <c r="F25" s="83"/>
      <c r="G25" s="84"/>
      <c r="H25" s="14"/>
    </row>
    <row r="26" spans="1:9" x14ac:dyDescent="0.2">
      <c r="A26" s="71"/>
      <c r="B26" s="72"/>
      <c r="C26" s="72"/>
      <c r="D26" s="72"/>
      <c r="E26" s="14"/>
      <c r="F26" s="14"/>
      <c r="G26" s="14"/>
      <c r="H26" s="14"/>
    </row>
    <row r="27" spans="1:9" ht="20.25" x14ac:dyDescent="0.2">
      <c r="A27" s="101" t="s">
        <v>85</v>
      </c>
      <c r="B27" s="101"/>
      <c r="C27" s="101"/>
      <c r="D27" s="101"/>
      <c r="E27" s="101"/>
      <c r="F27" s="101"/>
      <c r="G27" s="14"/>
      <c r="H27" s="14"/>
    </row>
    <row r="28" spans="1:9" ht="15.75" thickBot="1" x14ac:dyDescent="0.3">
      <c r="A28" s="1"/>
      <c r="B28" s="1"/>
      <c r="C28" s="11"/>
      <c r="D28" s="11"/>
      <c r="E28" s="11"/>
      <c r="F28" s="11"/>
      <c r="G28" s="11"/>
      <c r="H28" s="14"/>
      <c r="I28" s="2"/>
    </row>
    <row r="29" spans="1:9" ht="15" x14ac:dyDescent="0.25">
      <c r="A29" s="13" t="s">
        <v>12</v>
      </c>
      <c r="B29" s="156" t="s">
        <v>11</v>
      </c>
      <c r="C29" s="157"/>
      <c r="D29" s="158"/>
      <c r="E29" s="12" t="s">
        <v>10</v>
      </c>
      <c r="F29" s="65" t="s">
        <v>79</v>
      </c>
      <c r="G29" s="68"/>
      <c r="H29" s="11"/>
    </row>
    <row r="30" spans="1:9" ht="15.75" thickBot="1" x14ac:dyDescent="0.3">
      <c r="A30" s="10" t="s">
        <v>9</v>
      </c>
      <c r="B30" s="159"/>
      <c r="C30" s="160"/>
      <c r="D30" s="161"/>
      <c r="E30" s="9" t="s">
        <v>8</v>
      </c>
      <c r="F30" s="66" t="s">
        <v>80</v>
      </c>
      <c r="G30" s="68"/>
      <c r="H30" s="1"/>
    </row>
    <row r="31" spans="1:9" x14ac:dyDescent="0.2">
      <c r="A31" s="8">
        <v>1</v>
      </c>
      <c r="B31" s="174" t="s">
        <v>7</v>
      </c>
      <c r="C31" s="175"/>
      <c r="D31" s="176"/>
      <c r="E31" s="63">
        <f>(0.15+0.15*E6)*F31</f>
        <v>0.6</v>
      </c>
      <c r="F31" s="8">
        <v>2</v>
      </c>
      <c r="G31" s="69"/>
      <c r="H31" s="1"/>
    </row>
    <row r="32" spans="1:9" x14ac:dyDescent="0.2">
      <c r="A32" s="7">
        <v>2</v>
      </c>
      <c r="B32" s="165" t="s">
        <v>6</v>
      </c>
      <c r="C32" s="166"/>
      <c r="D32" s="167"/>
      <c r="E32" s="60">
        <f>(0.1+0.15*E6)*F32</f>
        <v>0.25</v>
      </c>
      <c r="F32" s="7">
        <v>1</v>
      </c>
      <c r="G32" s="69"/>
      <c r="H32" s="1"/>
    </row>
    <row r="33" spans="1:8" x14ac:dyDescent="0.2">
      <c r="A33" s="7">
        <v>3</v>
      </c>
      <c r="B33" s="165" t="s">
        <v>5</v>
      </c>
      <c r="C33" s="166"/>
      <c r="D33" s="167"/>
      <c r="E33" s="60">
        <f>(0.15+0.2*E6)*F33</f>
        <v>0.7</v>
      </c>
      <c r="F33" s="7">
        <v>2</v>
      </c>
      <c r="G33" s="69"/>
      <c r="H33" s="1"/>
    </row>
    <row r="34" spans="1:8" x14ac:dyDescent="0.2">
      <c r="A34" s="7">
        <v>4</v>
      </c>
      <c r="B34" s="165" t="s">
        <v>82</v>
      </c>
      <c r="C34" s="166"/>
      <c r="D34" s="167"/>
      <c r="E34" s="60">
        <f>0.3*E6*F34</f>
        <v>0.3</v>
      </c>
      <c r="F34" s="7">
        <v>1</v>
      </c>
      <c r="G34" s="69"/>
      <c r="H34" s="1"/>
    </row>
    <row r="35" spans="1:8" x14ac:dyDescent="0.2">
      <c r="A35" s="7">
        <v>5</v>
      </c>
      <c r="B35" s="165" t="s">
        <v>83</v>
      </c>
      <c r="C35" s="166"/>
      <c r="D35" s="167"/>
      <c r="E35" s="60">
        <f>(0.2+E6*0.07)*F35</f>
        <v>0.54</v>
      </c>
      <c r="F35" s="7">
        <v>2</v>
      </c>
      <c r="G35" s="69"/>
      <c r="H35" s="1"/>
    </row>
    <row r="36" spans="1:8" x14ac:dyDescent="0.2">
      <c r="A36" s="7">
        <v>5</v>
      </c>
      <c r="B36" s="168" t="s">
        <v>81</v>
      </c>
      <c r="C36" s="169"/>
      <c r="D36" s="170"/>
      <c r="E36" s="60">
        <f>0.0002*F5*F36*E6</f>
        <v>0.1</v>
      </c>
      <c r="F36" s="7">
        <v>1</v>
      </c>
      <c r="G36" s="69"/>
      <c r="H36" s="1"/>
    </row>
    <row r="37" spans="1:8" x14ac:dyDescent="0.2">
      <c r="A37" s="7">
        <v>6</v>
      </c>
      <c r="B37" s="165" t="s">
        <v>4</v>
      </c>
      <c r="C37" s="166"/>
      <c r="D37" s="167"/>
      <c r="E37" s="60">
        <f>IF(E7=0,E69,0)*F37</f>
        <v>0.2</v>
      </c>
      <c r="F37" s="67">
        <v>1</v>
      </c>
      <c r="G37" s="69"/>
      <c r="H37" s="1"/>
    </row>
    <row r="38" spans="1:8" x14ac:dyDescent="0.2">
      <c r="A38" s="7">
        <v>7</v>
      </c>
      <c r="B38" s="171" t="s">
        <v>3</v>
      </c>
      <c r="C38" s="172"/>
      <c r="D38" s="173"/>
      <c r="E38" s="60">
        <f>0.3*F38</f>
        <v>0.3</v>
      </c>
      <c r="F38" s="7">
        <v>1</v>
      </c>
      <c r="G38" s="69"/>
      <c r="H38" s="1"/>
    </row>
    <row r="39" spans="1:8" ht="13.5" thickBot="1" x14ac:dyDescent="0.25">
      <c r="A39" s="6">
        <v>10</v>
      </c>
      <c r="B39" s="162" t="s">
        <v>73</v>
      </c>
      <c r="C39" s="163"/>
      <c r="D39" s="164"/>
      <c r="E39" s="62">
        <v>0.2</v>
      </c>
      <c r="F39" s="6">
        <v>1</v>
      </c>
      <c r="G39" s="69"/>
    </row>
    <row r="40" spans="1:8" ht="21" thickBot="1" x14ac:dyDescent="0.35">
      <c r="A40" s="1"/>
      <c r="B40" s="1"/>
      <c r="C40" s="1"/>
      <c r="D40" s="5" t="s">
        <v>0</v>
      </c>
      <c r="E40" s="76">
        <f>SUM(E31:E39)</f>
        <v>3.19</v>
      </c>
      <c r="F40" s="1"/>
      <c r="G40" s="70"/>
    </row>
    <row r="42" spans="1:8" ht="13.5" thickBot="1" x14ac:dyDescent="0.25"/>
    <row r="43" spans="1:8" ht="20.25" x14ac:dyDescent="0.2">
      <c r="B43" s="92" t="s">
        <v>86</v>
      </c>
      <c r="C43" s="93"/>
      <c r="D43" s="94"/>
      <c r="E43" s="77">
        <f>E40*0.9</f>
        <v>2.871</v>
      </c>
    </row>
    <row r="44" spans="1:8" ht="20.25" x14ac:dyDescent="0.2">
      <c r="B44" s="95" t="s">
        <v>87</v>
      </c>
      <c r="C44" s="96"/>
      <c r="D44" s="97"/>
      <c r="E44" s="78">
        <f>E40*0.8</f>
        <v>2.552</v>
      </c>
    </row>
    <row r="45" spans="1:8" ht="21" thickBot="1" x14ac:dyDescent="0.25">
      <c r="B45" s="98" t="s">
        <v>88</v>
      </c>
      <c r="C45" s="99"/>
      <c r="D45" s="100"/>
      <c r="E45" s="79">
        <f>E40*0.7</f>
        <v>2.2329999999999997</v>
      </c>
    </row>
    <row r="48" spans="1:8" x14ac:dyDescent="0.2">
      <c r="D48" t="s">
        <v>91</v>
      </c>
    </row>
    <row r="58" spans="4:8" x14ac:dyDescent="0.2">
      <c r="D58" s="89" t="s">
        <v>55</v>
      </c>
      <c r="E58" s="89"/>
      <c r="F58" s="89"/>
      <c r="G58" s="89"/>
      <c r="H58" s="89"/>
    </row>
    <row r="59" spans="4:8" x14ac:dyDescent="0.2">
      <c r="D59" s="90"/>
      <c r="E59" s="90"/>
      <c r="F59" s="90"/>
      <c r="G59" s="90"/>
      <c r="H59" s="90"/>
    </row>
    <row r="60" spans="4:8" x14ac:dyDescent="0.2">
      <c r="D60" s="54" t="s">
        <v>56</v>
      </c>
      <c r="E60" s="55">
        <f>(E5/E6+21)*(H5+40)*0.8*1.1*8*E6/1000000</f>
        <v>1.0269952</v>
      </c>
      <c r="F60" s="56"/>
      <c r="G60" s="56"/>
      <c r="H60" s="56"/>
    </row>
    <row r="61" spans="4:8" x14ac:dyDescent="0.2">
      <c r="D61" s="54" t="s">
        <v>57</v>
      </c>
      <c r="E61" s="55">
        <f>(F5-56)*((E5/E6-36)+H5*2-4+64-4)*0.8*1.1*8*E6/1000000</f>
        <v>3.1257600000000005</v>
      </c>
      <c r="F61" s="56"/>
      <c r="G61" s="56"/>
      <c r="H61" s="56"/>
    </row>
    <row r="62" spans="4:8" x14ac:dyDescent="0.2">
      <c r="D62" s="54" t="s">
        <v>58</v>
      </c>
      <c r="E62" s="55">
        <f>(E5/E6+21)*(H5+78)*0.8*8*1.1*E6/1000000</f>
        <v>1.16637312</v>
      </c>
      <c r="F62" s="56"/>
      <c r="G62" s="56"/>
      <c r="H62" s="56"/>
    </row>
    <row r="63" spans="4:8" x14ac:dyDescent="0.2">
      <c r="D63" s="54"/>
      <c r="E63" s="55"/>
      <c r="F63" s="56"/>
      <c r="G63" s="56"/>
      <c r="H63" s="56"/>
    </row>
    <row r="64" spans="4:8" x14ac:dyDescent="0.2">
      <c r="D64" s="54" t="s">
        <v>90</v>
      </c>
      <c r="E64" s="54">
        <f>IF(E7=0,((43*(F5-50)*6*7.85*1.5*1.1)/1000000+43*(E5-32)*F65*7.85*1.5*1.1/1000000),0)</f>
        <v>2.5464096899999999</v>
      </c>
      <c r="F64" s="56"/>
      <c r="G64" s="56"/>
      <c r="H64" s="56"/>
    </row>
    <row r="65" spans="4:9" x14ac:dyDescent="0.2">
      <c r="D65" s="54" t="s">
        <v>89</v>
      </c>
      <c r="E65" s="55">
        <f>IF(E7=0,((43*(F5-50)*6*7.85*1.2*1.1)/1000000+43*(E5-32)*F65*7.85*1.2*1.1/1000000),((43*(F5-50)*6*1.2*8*1.1)/1000000+43*(E5-27)*F65*8*1.2*1.1/1000000))</f>
        <v>2.037127752</v>
      </c>
      <c r="F65" s="56">
        <f>IF(E5&gt;600,IF(E5&lt;1000,5,6),4)</f>
        <v>4</v>
      </c>
      <c r="G65" s="56"/>
      <c r="H65" s="56"/>
      <c r="I65">
        <f>(43*(F5-50)*F65*2+43*(E5-32)*F65*2+76*(G5-30)*F66*2)/1000000</f>
        <v>0.82043200000000005</v>
      </c>
    </row>
    <row r="66" spans="4:9" x14ac:dyDescent="0.2">
      <c r="D66" s="54" t="s">
        <v>77</v>
      </c>
      <c r="E66" s="55">
        <f>IF(E7=0,((76*(G5-30)*1.2*7.85*1.1*F66)/1000000),((76*(G5-30)*1.2*8*1.1*F66)/1000000))</f>
        <v>2.6145398400000004</v>
      </c>
      <c r="F66" s="56">
        <f>IF(E5&lt;1500,4,6)</f>
        <v>4</v>
      </c>
      <c r="G66" s="56">
        <v>0</v>
      </c>
      <c r="H66" s="56"/>
    </row>
    <row r="67" spans="4:9" x14ac:dyDescent="0.2">
      <c r="D67" s="54" t="s">
        <v>59</v>
      </c>
      <c r="E67" s="55">
        <f>IF(E7=0,((27*(E5-27)*1.5*7.85*1.1)/1000000)*F67,((27*(E5-27)*1.5*8*1.1)/1000000)*F67)</f>
        <v>0</v>
      </c>
      <c r="F67" s="56">
        <f>IF(E6=3,2,0)</f>
        <v>0</v>
      </c>
      <c r="G67" s="56">
        <v>0</v>
      </c>
      <c r="H67" s="56"/>
      <c r="I67">
        <f>70*(E5-27)*F67/1000000*2</f>
        <v>0</v>
      </c>
    </row>
    <row r="69" spans="4:9" x14ac:dyDescent="0.2">
      <c r="D69" s="73" t="s">
        <v>84</v>
      </c>
      <c r="E69" s="74">
        <f>IF(E5&lt;1200,0.2,0.3)*F37</f>
        <v>0.2</v>
      </c>
    </row>
  </sheetData>
  <mergeCells count="52">
    <mergeCell ref="B29:D30"/>
    <mergeCell ref="B39:D39"/>
    <mergeCell ref="B35:D35"/>
    <mergeCell ref="B36:D36"/>
    <mergeCell ref="B37:D37"/>
    <mergeCell ref="B38:D38"/>
    <mergeCell ref="B31:D31"/>
    <mergeCell ref="B32:D32"/>
    <mergeCell ref="B33:D33"/>
    <mergeCell ref="B34:D34"/>
    <mergeCell ref="B24:D24"/>
    <mergeCell ref="F24:G24"/>
    <mergeCell ref="B22:D22"/>
    <mergeCell ref="F22:G22"/>
    <mergeCell ref="B20:D20"/>
    <mergeCell ref="A6:C6"/>
    <mergeCell ref="A7:C7"/>
    <mergeCell ref="A9:G9"/>
    <mergeCell ref="F15:G15"/>
    <mergeCell ref="B19:D19"/>
    <mergeCell ref="F19:G19"/>
    <mergeCell ref="B16:D16"/>
    <mergeCell ref="B17:D17"/>
    <mergeCell ref="F17:G17"/>
    <mergeCell ref="B18:D18"/>
    <mergeCell ref="F14:G14"/>
    <mergeCell ref="F16:G16"/>
    <mergeCell ref="F13:G13"/>
    <mergeCell ref="B13:D13"/>
    <mergeCell ref="B15:D15"/>
    <mergeCell ref="F18:G18"/>
    <mergeCell ref="B10:D10"/>
    <mergeCell ref="F10:G11"/>
    <mergeCell ref="B11:D11"/>
    <mergeCell ref="B12:D12"/>
    <mergeCell ref="F12:G12"/>
    <mergeCell ref="F25:G25"/>
    <mergeCell ref="J1:J2"/>
    <mergeCell ref="K1:M1"/>
    <mergeCell ref="D58:H59"/>
    <mergeCell ref="B25:D25"/>
    <mergeCell ref="B43:D43"/>
    <mergeCell ref="B44:D44"/>
    <mergeCell ref="B45:D45"/>
    <mergeCell ref="A27:F27"/>
    <mergeCell ref="D1:H1"/>
    <mergeCell ref="F20:G20"/>
    <mergeCell ref="B23:D23"/>
    <mergeCell ref="F23:G23"/>
    <mergeCell ref="B21:D21"/>
    <mergeCell ref="F21:G21"/>
    <mergeCell ref="B14:D14"/>
  </mergeCells>
  <phoneticPr fontId="35" type="noConversion"/>
  <pageMargins left="0.75" right="0.75" top="1" bottom="1" header="0.5" footer="0.5"/>
  <pageSetup paperSize="9" scale="95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zoomScaleNormal="100" workbookViewId="0">
      <selection activeCell="L21" sqref="L21"/>
    </sheetView>
  </sheetViews>
  <sheetFormatPr defaultRowHeight="12.75" x14ac:dyDescent="0.2"/>
  <cols>
    <col min="1" max="1" width="3.28515625" customWidth="1"/>
    <col min="2" max="2" width="5.28515625" customWidth="1"/>
    <col min="3" max="3" width="11.7109375" customWidth="1"/>
    <col min="4" max="4" width="55.140625" customWidth="1"/>
    <col min="5" max="5" width="9.5703125" customWidth="1"/>
    <col min="7" max="7" width="8.5703125" customWidth="1"/>
    <col min="8" max="8" width="12.85546875" customWidth="1"/>
    <col min="11" max="11" width="10.28515625" customWidth="1"/>
    <col min="12" max="12" width="10.7109375" customWidth="1"/>
    <col min="13" max="13" width="11.28515625" customWidth="1"/>
  </cols>
  <sheetData>
    <row r="1" spans="1:13" ht="16.5" customHeight="1" thickBot="1" x14ac:dyDescent="0.3">
      <c r="D1" s="102" t="s">
        <v>64</v>
      </c>
      <c r="E1" s="102"/>
      <c r="F1" s="102"/>
      <c r="G1" s="102"/>
      <c r="H1" s="102"/>
      <c r="J1" s="85" t="s">
        <v>42</v>
      </c>
      <c r="K1" s="87" t="s">
        <v>43</v>
      </c>
      <c r="L1" s="87"/>
      <c r="M1" s="88"/>
    </row>
    <row r="2" spans="1:13" ht="26.45" customHeight="1" thickBot="1" x14ac:dyDescent="0.4">
      <c r="D2" s="44" t="s">
        <v>65</v>
      </c>
      <c r="J2" s="86"/>
      <c r="K2" s="45" t="s">
        <v>44</v>
      </c>
      <c r="L2" s="46" t="s">
        <v>45</v>
      </c>
      <c r="M2" s="47" t="s">
        <v>46</v>
      </c>
    </row>
    <row r="3" spans="1:13" ht="21" thickBot="1" x14ac:dyDescent="0.35">
      <c r="A3" s="43"/>
      <c r="B3" s="40"/>
      <c r="C3" s="40"/>
      <c r="D3" s="40"/>
      <c r="E3" s="42"/>
      <c r="F3" s="42"/>
      <c r="G3" s="42"/>
      <c r="H3" s="41"/>
      <c r="J3" s="48" t="s">
        <v>47</v>
      </c>
      <c r="K3" s="49">
        <v>500</v>
      </c>
      <c r="L3" s="49">
        <v>500</v>
      </c>
      <c r="M3" s="49">
        <v>240</v>
      </c>
    </row>
    <row r="4" spans="1:13" ht="18.75" thickBot="1" x14ac:dyDescent="0.3">
      <c r="A4" s="37"/>
      <c r="B4" s="40"/>
      <c r="C4" s="40"/>
      <c r="D4" s="40"/>
      <c r="E4" s="39" t="s">
        <v>41</v>
      </c>
      <c r="F4" s="39" t="s">
        <v>40</v>
      </c>
      <c r="G4" s="39" t="s">
        <v>39</v>
      </c>
      <c r="H4" s="38" t="s">
        <v>38</v>
      </c>
      <c r="J4" s="50" t="s">
        <v>48</v>
      </c>
      <c r="K4" s="51">
        <v>600</v>
      </c>
      <c r="L4" s="51">
        <v>600</v>
      </c>
      <c r="M4" s="51">
        <v>300</v>
      </c>
    </row>
    <row r="5" spans="1:13" ht="21" thickBot="1" x14ac:dyDescent="0.35">
      <c r="A5" s="37"/>
      <c r="D5" s="36" t="s">
        <v>37</v>
      </c>
      <c r="E5" s="35">
        <v>500</v>
      </c>
      <c r="F5" s="35">
        <v>500</v>
      </c>
      <c r="G5" s="35">
        <v>860</v>
      </c>
      <c r="H5" s="35">
        <v>240</v>
      </c>
      <c r="J5" s="50" t="s">
        <v>49</v>
      </c>
      <c r="K5" s="51">
        <v>700</v>
      </c>
      <c r="L5" s="51">
        <v>700</v>
      </c>
      <c r="M5" s="51">
        <v>400</v>
      </c>
    </row>
    <row r="6" spans="1:13" ht="21" thickBot="1" x14ac:dyDescent="0.35">
      <c r="A6" s="133" t="s">
        <v>60</v>
      </c>
      <c r="B6" s="134"/>
      <c r="C6" s="135"/>
      <c r="D6" s="57" t="s">
        <v>61</v>
      </c>
      <c r="E6" s="35">
        <v>1</v>
      </c>
      <c r="F6" s="58"/>
      <c r="G6" s="58"/>
      <c r="H6" s="58"/>
      <c r="J6" s="50" t="s">
        <v>50</v>
      </c>
      <c r="K6" s="51">
        <v>800</v>
      </c>
      <c r="L6" s="51">
        <v>800</v>
      </c>
      <c r="M6" s="51">
        <v>450</v>
      </c>
    </row>
    <row r="7" spans="1:13" ht="21" thickBot="1" x14ac:dyDescent="0.35">
      <c r="A7" s="136" t="s">
        <v>36</v>
      </c>
      <c r="B7" s="137"/>
      <c r="C7" s="138"/>
      <c r="D7" s="59" t="s">
        <v>71</v>
      </c>
      <c r="E7" s="35">
        <v>2</v>
      </c>
      <c r="F7" s="34"/>
      <c r="G7" s="34"/>
      <c r="H7" s="33"/>
      <c r="J7" s="50" t="s">
        <v>51</v>
      </c>
      <c r="K7" s="51">
        <v>1000</v>
      </c>
      <c r="L7" s="51">
        <v>500</v>
      </c>
      <c r="M7" s="51">
        <v>240</v>
      </c>
    </row>
    <row r="8" spans="1:13" ht="18.75" customHeight="1" x14ac:dyDescent="0.25">
      <c r="A8" s="32"/>
      <c r="B8" s="31"/>
      <c r="C8" s="31"/>
      <c r="D8" s="31"/>
      <c r="E8" s="31"/>
      <c r="F8" s="31"/>
      <c r="G8" s="31"/>
      <c r="H8" s="31"/>
      <c r="I8" s="3"/>
      <c r="J8" s="50" t="s">
        <v>52</v>
      </c>
      <c r="K8" s="51">
        <v>1200</v>
      </c>
      <c r="L8" s="51">
        <v>600</v>
      </c>
      <c r="M8" s="51">
        <v>300</v>
      </c>
    </row>
    <row r="9" spans="1:13" ht="18.75" thickBot="1" x14ac:dyDescent="0.3">
      <c r="A9" s="139" t="s">
        <v>35</v>
      </c>
      <c r="B9" s="139"/>
      <c r="C9" s="139"/>
      <c r="D9" s="139"/>
      <c r="E9" s="139"/>
      <c r="F9" s="139"/>
      <c r="G9" s="139"/>
      <c r="H9" s="30"/>
      <c r="J9" s="50" t="s">
        <v>53</v>
      </c>
      <c r="K9" s="51">
        <v>1500</v>
      </c>
      <c r="L9" s="51">
        <v>500</v>
      </c>
      <c r="M9" s="51">
        <v>240</v>
      </c>
    </row>
    <row r="10" spans="1:13" ht="18.75" thickBot="1" x14ac:dyDescent="0.3">
      <c r="A10" s="29" t="s">
        <v>12</v>
      </c>
      <c r="B10" s="118" t="s">
        <v>34</v>
      </c>
      <c r="C10" s="119"/>
      <c r="D10" s="120"/>
      <c r="E10" s="28" t="s">
        <v>33</v>
      </c>
      <c r="F10" s="121" t="s">
        <v>32</v>
      </c>
      <c r="G10" s="122"/>
      <c r="H10" s="27"/>
      <c r="J10" s="52" t="s">
        <v>54</v>
      </c>
      <c r="K10" s="53">
        <v>1800</v>
      </c>
      <c r="L10" s="53">
        <v>600</v>
      </c>
      <c r="M10" s="53">
        <v>300</v>
      </c>
    </row>
    <row r="11" spans="1:13" ht="13.5" thickBot="1" x14ac:dyDescent="0.25">
      <c r="A11" s="26" t="s">
        <v>9</v>
      </c>
      <c r="B11" s="125" t="s">
        <v>31</v>
      </c>
      <c r="C11" s="126"/>
      <c r="D11" s="127"/>
      <c r="E11" s="25" t="s">
        <v>30</v>
      </c>
      <c r="F11" s="123"/>
      <c r="G11" s="124"/>
      <c r="H11" s="17"/>
      <c r="I11" s="24"/>
    </row>
    <row r="12" spans="1:13" ht="14.65" customHeight="1" x14ac:dyDescent="0.2">
      <c r="A12" s="23">
        <v>1</v>
      </c>
      <c r="B12" s="128" t="s">
        <v>29</v>
      </c>
      <c r="C12" s="129"/>
      <c r="D12" s="130"/>
      <c r="E12" s="23" t="s">
        <v>15</v>
      </c>
      <c r="F12" s="131">
        <f>IF(E7=1,E68+E69+E70+E72,E68+E69+E70)</f>
        <v>5.3191283200000008</v>
      </c>
      <c r="G12" s="132"/>
      <c r="H12" s="17">
        <v>2.5</v>
      </c>
      <c r="I12">
        <f>F12*H12</f>
        <v>13.297820800000002</v>
      </c>
    </row>
    <row r="13" spans="1:13" ht="14.65" customHeight="1" x14ac:dyDescent="0.2">
      <c r="A13" s="18">
        <v>2</v>
      </c>
      <c r="B13" s="165" t="s">
        <v>76</v>
      </c>
      <c r="C13" s="111"/>
      <c r="D13" s="112"/>
      <c r="E13" s="18" t="s">
        <v>15</v>
      </c>
      <c r="F13" s="140">
        <f>IF(E7=1,E73,0)</f>
        <v>0</v>
      </c>
      <c r="G13" s="141"/>
      <c r="H13" s="17">
        <v>2.5</v>
      </c>
      <c r="I13">
        <f t="shared" ref="I13:I28" si="0">F13*H13</f>
        <v>0</v>
      </c>
      <c r="J13" s="22"/>
      <c r="K13" s="22"/>
      <c r="M13" s="22"/>
    </row>
    <row r="14" spans="1:13" ht="14.65" customHeight="1" x14ac:dyDescent="0.2">
      <c r="A14" s="18">
        <v>3</v>
      </c>
      <c r="B14" s="177" t="s">
        <v>67</v>
      </c>
      <c r="C14" s="116"/>
      <c r="D14" s="117"/>
      <c r="E14" s="18" t="s">
        <v>15</v>
      </c>
      <c r="F14" s="140">
        <f>IF(E7=0,E72,0)</f>
        <v>0</v>
      </c>
      <c r="G14" s="141"/>
      <c r="H14" s="17">
        <v>0.6</v>
      </c>
      <c r="I14">
        <f t="shared" si="0"/>
        <v>0</v>
      </c>
      <c r="J14" s="22"/>
      <c r="K14" s="22"/>
      <c r="M14" s="22"/>
    </row>
    <row r="15" spans="1:13" ht="14.65" customHeight="1" x14ac:dyDescent="0.2">
      <c r="A15" s="18">
        <v>4</v>
      </c>
      <c r="B15" s="177" t="s">
        <v>75</v>
      </c>
      <c r="C15" s="116"/>
      <c r="D15" s="117"/>
      <c r="E15" s="18" t="s">
        <v>15</v>
      </c>
      <c r="F15" s="140">
        <f>IF(E7=0,E73,0)</f>
        <v>0</v>
      </c>
      <c r="G15" s="141"/>
      <c r="H15" s="19">
        <v>0.6</v>
      </c>
      <c r="I15">
        <f t="shared" si="0"/>
        <v>0</v>
      </c>
      <c r="J15" s="22"/>
      <c r="K15" s="22"/>
    </row>
    <row r="16" spans="1:13" ht="14.65" customHeight="1" x14ac:dyDescent="0.2">
      <c r="A16" s="18">
        <v>5</v>
      </c>
      <c r="B16" s="177" t="s">
        <v>27</v>
      </c>
      <c r="C16" s="116"/>
      <c r="D16" s="117"/>
      <c r="E16" s="18" t="s">
        <v>15</v>
      </c>
      <c r="F16" s="140">
        <f>IF(E7=2,E72,0)</f>
        <v>3.3032806400000005</v>
      </c>
      <c r="G16" s="141"/>
      <c r="H16" s="19">
        <v>0.7</v>
      </c>
      <c r="I16">
        <f t="shared" si="0"/>
        <v>2.3122964480000001</v>
      </c>
      <c r="J16" s="22"/>
      <c r="K16" s="22"/>
    </row>
    <row r="17" spans="1:9" ht="14.65" customHeight="1" x14ac:dyDescent="0.2">
      <c r="A17" s="18">
        <v>6</v>
      </c>
      <c r="B17" s="177" t="s">
        <v>74</v>
      </c>
      <c r="C17" s="116"/>
      <c r="D17" s="117"/>
      <c r="E17" s="18" t="s">
        <v>15</v>
      </c>
      <c r="F17" s="140">
        <f>IF(E7=2,E73,0)</f>
        <v>2.6995584000000004</v>
      </c>
      <c r="G17" s="141"/>
      <c r="H17" s="19">
        <v>0.7</v>
      </c>
      <c r="I17">
        <f t="shared" si="0"/>
        <v>1.8896908800000001</v>
      </c>
    </row>
    <row r="18" spans="1:9" ht="14.65" customHeight="1" x14ac:dyDescent="0.2">
      <c r="A18" s="18">
        <v>7</v>
      </c>
      <c r="B18" s="177" t="s">
        <v>68</v>
      </c>
      <c r="C18" s="116"/>
      <c r="D18" s="117"/>
      <c r="E18" s="18" t="s">
        <v>15</v>
      </c>
      <c r="F18" s="140">
        <f>E6*0.08</f>
        <v>0.08</v>
      </c>
      <c r="G18" s="141"/>
      <c r="H18" s="19">
        <v>3.3</v>
      </c>
      <c r="I18">
        <f t="shared" si="0"/>
        <v>0.26400000000000001</v>
      </c>
    </row>
    <row r="19" spans="1:9" ht="14.65" customHeight="1" x14ac:dyDescent="0.2">
      <c r="A19" s="18">
        <v>8</v>
      </c>
      <c r="B19" s="144" t="s">
        <v>26</v>
      </c>
      <c r="C19" s="145"/>
      <c r="D19" s="146"/>
      <c r="E19" s="21" t="s">
        <v>15</v>
      </c>
      <c r="F19" s="151">
        <f>F21*0.12</f>
        <v>5.5968000000000004E-2</v>
      </c>
      <c r="G19" s="152"/>
      <c r="H19" s="17"/>
      <c r="I19">
        <f t="shared" si="0"/>
        <v>0</v>
      </c>
    </row>
    <row r="20" spans="1:9" ht="14.65" customHeight="1" x14ac:dyDescent="0.2">
      <c r="A20" s="18">
        <v>9</v>
      </c>
      <c r="B20" s="144" t="s">
        <v>25</v>
      </c>
      <c r="C20" s="145"/>
      <c r="D20" s="146"/>
      <c r="E20" s="21" t="s">
        <v>19</v>
      </c>
      <c r="F20" s="147">
        <f>F21*170/0.27</f>
        <v>293.65925925925927</v>
      </c>
      <c r="G20" s="148"/>
      <c r="H20" s="17"/>
      <c r="I20">
        <f t="shared" si="0"/>
        <v>0</v>
      </c>
    </row>
    <row r="21" spans="1:9" ht="14.65" customHeight="1" x14ac:dyDescent="0.2">
      <c r="A21" s="18">
        <v>10</v>
      </c>
      <c r="B21" s="144" t="s">
        <v>24</v>
      </c>
      <c r="C21" s="145"/>
      <c r="D21" s="146"/>
      <c r="E21" s="21" t="s">
        <v>23</v>
      </c>
      <c r="F21" s="151">
        <f>(H5*4*0.22/1000+F5*2*0.22/1000+40*4*0.22/1000)*E6</f>
        <v>0.46640000000000004</v>
      </c>
      <c r="G21" s="152"/>
      <c r="H21" s="17"/>
      <c r="I21">
        <f t="shared" si="0"/>
        <v>0</v>
      </c>
    </row>
    <row r="22" spans="1:9" ht="14.65" customHeight="1" x14ac:dyDescent="0.2">
      <c r="A22" s="18">
        <v>11</v>
      </c>
      <c r="B22" s="105" t="s">
        <v>18</v>
      </c>
      <c r="C22" s="106"/>
      <c r="D22" s="107"/>
      <c r="E22" s="18" t="s">
        <v>13</v>
      </c>
      <c r="F22" s="108">
        <f>4*E6</f>
        <v>4</v>
      </c>
      <c r="G22" s="109"/>
      <c r="H22">
        <v>1</v>
      </c>
      <c r="I22">
        <f t="shared" si="0"/>
        <v>4</v>
      </c>
    </row>
    <row r="23" spans="1:9" ht="14.65" customHeight="1" x14ac:dyDescent="0.2">
      <c r="A23" s="18">
        <v>12</v>
      </c>
      <c r="B23" s="105" t="s">
        <v>17</v>
      </c>
      <c r="C23" s="106"/>
      <c r="D23" s="107"/>
      <c r="E23" s="18" t="s">
        <v>13</v>
      </c>
      <c r="F23" s="108">
        <f>E6</f>
        <v>1</v>
      </c>
      <c r="G23" s="109"/>
      <c r="I23">
        <f t="shared" si="0"/>
        <v>0</v>
      </c>
    </row>
    <row r="24" spans="1:9" ht="14.65" customHeight="1" x14ac:dyDescent="0.2">
      <c r="A24" s="18">
        <v>13</v>
      </c>
      <c r="B24" s="105" t="s">
        <v>16</v>
      </c>
      <c r="C24" s="106"/>
      <c r="D24" s="107"/>
      <c r="E24" s="18" t="s">
        <v>15</v>
      </c>
      <c r="F24" s="113">
        <f>IF(E7=0,(I72+I73)*0.11,0)</f>
        <v>0</v>
      </c>
      <c r="G24" s="114"/>
      <c r="I24">
        <f t="shared" si="0"/>
        <v>0</v>
      </c>
    </row>
    <row r="25" spans="1:9" ht="14.65" customHeight="1" x14ac:dyDescent="0.2">
      <c r="A25" s="18">
        <v>14</v>
      </c>
      <c r="B25" s="168" t="s">
        <v>78</v>
      </c>
      <c r="C25" s="106"/>
      <c r="D25" s="107"/>
      <c r="E25" s="18" t="s">
        <v>13</v>
      </c>
      <c r="F25" s="108">
        <f>16*E6</f>
        <v>16</v>
      </c>
      <c r="G25" s="109"/>
      <c r="I25">
        <f t="shared" si="0"/>
        <v>0</v>
      </c>
    </row>
    <row r="26" spans="1:9" ht="14.65" customHeight="1" x14ac:dyDescent="0.2">
      <c r="A26" s="18">
        <v>15</v>
      </c>
      <c r="B26" s="168" t="s">
        <v>14</v>
      </c>
      <c r="C26" s="106"/>
      <c r="D26" s="107"/>
      <c r="E26" s="18" t="s">
        <v>13</v>
      </c>
      <c r="F26" s="108">
        <f>16*E6</f>
        <v>16</v>
      </c>
      <c r="G26" s="109"/>
      <c r="I26">
        <f t="shared" si="0"/>
        <v>0</v>
      </c>
    </row>
    <row r="27" spans="1:9" ht="14.65" customHeight="1" x14ac:dyDescent="0.2">
      <c r="A27" s="64">
        <v>16</v>
      </c>
      <c r="B27" s="168" t="s">
        <v>69</v>
      </c>
      <c r="C27" s="106"/>
      <c r="D27" s="107"/>
      <c r="E27" s="18" t="s">
        <v>13</v>
      </c>
      <c r="F27" s="108">
        <f>3*E6</f>
        <v>3</v>
      </c>
      <c r="G27" s="109"/>
      <c r="I27">
        <f t="shared" si="0"/>
        <v>0</v>
      </c>
    </row>
    <row r="28" spans="1:9" ht="14.65" customHeight="1" x14ac:dyDescent="0.2">
      <c r="A28" s="64">
        <v>17</v>
      </c>
      <c r="B28" s="168" t="s">
        <v>70</v>
      </c>
      <c r="C28" s="106"/>
      <c r="D28" s="107"/>
      <c r="E28" s="18" t="s">
        <v>13</v>
      </c>
      <c r="F28" s="108">
        <f>3*E6</f>
        <v>3</v>
      </c>
      <c r="G28" s="109"/>
      <c r="I28">
        <f t="shared" si="0"/>
        <v>0</v>
      </c>
    </row>
    <row r="29" spans="1:9" ht="13.5" thickBot="1" x14ac:dyDescent="0.25">
      <c r="A29" s="16"/>
      <c r="B29" s="91"/>
      <c r="C29" s="91"/>
      <c r="D29" s="91"/>
      <c r="E29" s="15"/>
      <c r="F29" s="83"/>
      <c r="G29" s="84"/>
      <c r="H29" s="14"/>
      <c r="I29">
        <f>SUM(I12:I28)</f>
        <v>21.763808128000001</v>
      </c>
    </row>
    <row r="30" spans="1:9" x14ac:dyDescent="0.2">
      <c r="A30" s="71"/>
      <c r="B30" s="72"/>
      <c r="C30" s="72"/>
      <c r="D30" s="72"/>
      <c r="E30" s="14"/>
      <c r="F30" s="14"/>
      <c r="G30" s="14"/>
      <c r="H30" s="14"/>
    </row>
    <row r="31" spans="1:9" ht="20.25" x14ac:dyDescent="0.2">
      <c r="A31" s="101" t="s">
        <v>85</v>
      </c>
      <c r="B31" s="101"/>
      <c r="C31" s="101"/>
      <c r="D31" s="101"/>
      <c r="E31" s="101"/>
      <c r="F31" s="101"/>
      <c r="G31" s="14"/>
      <c r="H31" s="14"/>
    </row>
    <row r="32" spans="1:9" ht="15.75" thickBot="1" x14ac:dyDescent="0.3">
      <c r="A32" s="1"/>
      <c r="B32" s="1"/>
      <c r="C32" s="11"/>
      <c r="D32" s="11"/>
      <c r="E32" s="11"/>
      <c r="F32" s="11"/>
      <c r="G32" s="11"/>
      <c r="H32" s="14"/>
      <c r="I32" s="2"/>
    </row>
    <row r="33" spans="1:9" ht="15" x14ac:dyDescent="0.25">
      <c r="A33" s="13" t="s">
        <v>12</v>
      </c>
      <c r="B33" s="156" t="s">
        <v>11</v>
      </c>
      <c r="C33" s="157"/>
      <c r="D33" s="158"/>
      <c r="E33" s="12" t="s">
        <v>10</v>
      </c>
      <c r="F33" s="65" t="s">
        <v>79</v>
      </c>
      <c r="G33" s="68"/>
      <c r="H33" s="11"/>
    </row>
    <row r="34" spans="1:9" ht="15.75" thickBot="1" x14ac:dyDescent="0.3">
      <c r="A34" s="10" t="s">
        <v>9</v>
      </c>
      <c r="B34" s="159"/>
      <c r="C34" s="160"/>
      <c r="D34" s="161"/>
      <c r="E34" s="9" t="s">
        <v>8</v>
      </c>
      <c r="F34" s="66" t="s">
        <v>80</v>
      </c>
      <c r="G34" s="68"/>
      <c r="H34" s="1"/>
    </row>
    <row r="35" spans="1:9" x14ac:dyDescent="0.2">
      <c r="A35" s="8">
        <v>1</v>
      </c>
      <c r="B35" s="174" t="s">
        <v>7</v>
      </c>
      <c r="C35" s="175"/>
      <c r="D35" s="176"/>
      <c r="E35" s="63">
        <f>(0.15+0.15*E6)*F35</f>
        <v>0.6</v>
      </c>
      <c r="F35" s="8">
        <v>2</v>
      </c>
      <c r="G35" s="69"/>
      <c r="H35" s="1"/>
    </row>
    <row r="36" spans="1:9" x14ac:dyDescent="0.2">
      <c r="A36" s="7">
        <v>2</v>
      </c>
      <c r="B36" s="165" t="s">
        <v>6</v>
      </c>
      <c r="C36" s="166"/>
      <c r="D36" s="167"/>
      <c r="E36" s="60">
        <f>(0.1+0.15*E6)*F36</f>
        <v>0.25</v>
      </c>
      <c r="F36" s="7">
        <v>1</v>
      </c>
      <c r="G36" s="69"/>
      <c r="H36" s="1"/>
      <c r="I36">
        <f>I49+I29</f>
        <v>33.013808128000001</v>
      </c>
    </row>
    <row r="37" spans="1:9" x14ac:dyDescent="0.2">
      <c r="A37" s="7">
        <v>3</v>
      </c>
      <c r="B37" s="165" t="s">
        <v>5</v>
      </c>
      <c r="C37" s="166"/>
      <c r="D37" s="167"/>
      <c r="E37" s="60">
        <f>(0.15+0.2*E6)*F37</f>
        <v>0.7</v>
      </c>
      <c r="F37" s="7">
        <v>2</v>
      </c>
      <c r="G37" s="69"/>
      <c r="H37" s="1"/>
      <c r="I37">
        <f>I36*1.3</f>
        <v>42.917950566400002</v>
      </c>
    </row>
    <row r="38" spans="1:9" x14ac:dyDescent="0.2">
      <c r="A38" s="7">
        <v>4</v>
      </c>
      <c r="B38" s="165" t="s">
        <v>82</v>
      </c>
      <c r="C38" s="166"/>
      <c r="D38" s="167"/>
      <c r="E38" s="60">
        <f>0.3*E6*F38*E6</f>
        <v>0.3</v>
      </c>
      <c r="F38" s="7">
        <v>1</v>
      </c>
      <c r="G38" s="69"/>
      <c r="H38" s="1"/>
    </row>
    <row r="39" spans="1:9" x14ac:dyDescent="0.2">
      <c r="A39" s="7">
        <v>5</v>
      </c>
      <c r="B39" s="168" t="s">
        <v>81</v>
      </c>
      <c r="C39" s="169"/>
      <c r="D39" s="170"/>
      <c r="E39" s="60">
        <f>0.0002*E5*F39*E6</f>
        <v>0.1</v>
      </c>
      <c r="F39" s="7">
        <v>1</v>
      </c>
      <c r="G39" s="69"/>
      <c r="H39" s="1"/>
    </row>
    <row r="40" spans="1:9" x14ac:dyDescent="0.2">
      <c r="A40" s="7">
        <v>6</v>
      </c>
      <c r="B40" s="165" t="s">
        <v>4</v>
      </c>
      <c r="C40" s="166"/>
      <c r="D40" s="167"/>
      <c r="E40" s="60">
        <f>IF(E7=0,0.15*E6,0)*F40</f>
        <v>0</v>
      </c>
      <c r="F40" s="67">
        <v>1</v>
      </c>
      <c r="G40" s="69"/>
      <c r="H40" s="1"/>
    </row>
    <row r="41" spans="1:9" x14ac:dyDescent="0.2">
      <c r="A41" s="7">
        <v>7</v>
      </c>
      <c r="B41" s="171" t="s">
        <v>3</v>
      </c>
      <c r="C41" s="172"/>
      <c r="D41" s="173"/>
      <c r="E41" s="60">
        <f>(0.05+0.05*E6)*F41</f>
        <v>0.1</v>
      </c>
      <c r="F41" s="7">
        <v>1</v>
      </c>
      <c r="G41" s="69"/>
      <c r="H41" s="1"/>
    </row>
    <row r="42" spans="1:9" x14ac:dyDescent="0.2">
      <c r="A42" s="7">
        <v>8</v>
      </c>
      <c r="B42" s="171" t="s">
        <v>2</v>
      </c>
      <c r="C42" s="172"/>
      <c r="D42" s="173"/>
      <c r="E42" s="61">
        <v>0.1</v>
      </c>
      <c r="F42" s="7">
        <v>1</v>
      </c>
      <c r="G42" s="69"/>
      <c r="H42" s="1"/>
    </row>
    <row r="43" spans="1:9" x14ac:dyDescent="0.2">
      <c r="A43" s="7">
        <v>9</v>
      </c>
      <c r="B43" s="171" t="s">
        <v>1</v>
      </c>
      <c r="C43" s="172"/>
      <c r="D43" s="173"/>
      <c r="E43" s="61">
        <f>0.15*E6</f>
        <v>0.15</v>
      </c>
      <c r="F43" s="7">
        <v>1</v>
      </c>
      <c r="G43" s="69"/>
      <c r="H43" s="1"/>
    </row>
    <row r="44" spans="1:9" ht="13.5" thickBot="1" x14ac:dyDescent="0.25">
      <c r="A44" s="6">
        <v>10</v>
      </c>
      <c r="B44" s="162" t="s">
        <v>73</v>
      </c>
      <c r="C44" s="163"/>
      <c r="D44" s="164"/>
      <c r="E44" s="62">
        <v>0.2</v>
      </c>
      <c r="F44" s="6">
        <v>1</v>
      </c>
      <c r="G44" s="69"/>
    </row>
    <row r="45" spans="1:9" ht="21" thickBot="1" x14ac:dyDescent="0.35">
      <c r="A45" s="1"/>
      <c r="B45" s="1"/>
      <c r="C45" s="1"/>
      <c r="D45" s="5" t="s">
        <v>0</v>
      </c>
      <c r="E45" s="76">
        <f>SUM(E35:E44)</f>
        <v>2.5</v>
      </c>
      <c r="F45" s="1"/>
      <c r="G45" s="70"/>
    </row>
    <row r="46" spans="1:9" ht="13.5" thickBot="1" x14ac:dyDescent="0.25">
      <c r="A46" s="1"/>
      <c r="B46" s="1"/>
      <c r="C46" s="1"/>
      <c r="D46" s="4"/>
      <c r="E46" s="1"/>
      <c r="F46" s="1"/>
      <c r="G46" s="70"/>
    </row>
    <row r="47" spans="1:9" ht="20.25" x14ac:dyDescent="0.2">
      <c r="A47" s="1"/>
      <c r="B47" s="92" t="s">
        <v>86</v>
      </c>
      <c r="C47" s="93"/>
      <c r="D47" s="94"/>
      <c r="E47" s="80">
        <f>E45*0.9</f>
        <v>2.25</v>
      </c>
      <c r="F47" s="1"/>
      <c r="G47" s="1"/>
    </row>
    <row r="48" spans="1:9" ht="20.25" x14ac:dyDescent="0.2">
      <c r="B48" s="95" t="s">
        <v>87</v>
      </c>
      <c r="C48" s="96"/>
      <c r="D48" s="97"/>
      <c r="E48" s="81">
        <f>E45*0.8</f>
        <v>2</v>
      </c>
      <c r="F48" s="1"/>
      <c r="G48" s="1"/>
      <c r="H48" s="1"/>
    </row>
    <row r="49" spans="1:9" ht="21" thickBot="1" x14ac:dyDescent="0.25">
      <c r="A49" s="1"/>
      <c r="B49" s="98" t="s">
        <v>88</v>
      </c>
      <c r="C49" s="99"/>
      <c r="D49" s="100"/>
      <c r="E49" s="82">
        <f>E45*0.75</f>
        <v>1.875</v>
      </c>
      <c r="F49" s="1"/>
      <c r="G49" s="1">
        <v>6</v>
      </c>
      <c r="H49" s="1"/>
      <c r="I49">
        <f>E49*G49</f>
        <v>11.25</v>
      </c>
    </row>
    <row r="50" spans="1:9" x14ac:dyDescent="0.2">
      <c r="A50" s="1"/>
      <c r="B50" s="1"/>
      <c r="C50" s="1"/>
      <c r="D50" s="1"/>
      <c r="E50" s="1"/>
      <c r="F50" s="1"/>
      <c r="G50" s="1"/>
      <c r="H50" s="1"/>
    </row>
    <row r="51" spans="1:9" x14ac:dyDescent="0.2">
      <c r="A51" s="1"/>
      <c r="B51" s="1"/>
      <c r="C51" s="1"/>
      <c r="D51" t="s">
        <v>91</v>
      </c>
      <c r="E51" s="1"/>
      <c r="F51" s="1"/>
      <c r="G51" s="1"/>
      <c r="H51" s="1"/>
    </row>
    <row r="52" spans="1:9" x14ac:dyDescent="0.2">
      <c r="A52" s="1"/>
      <c r="B52" s="1"/>
      <c r="C52" s="1"/>
      <c r="D52" s="1"/>
      <c r="E52" s="1"/>
      <c r="F52" s="1"/>
      <c r="G52" s="1"/>
      <c r="H52" s="1"/>
    </row>
    <row r="53" spans="1:9" x14ac:dyDescent="0.2">
      <c r="A53" s="1"/>
      <c r="B53" s="1"/>
      <c r="C53" s="1"/>
      <c r="D53" s="1"/>
      <c r="E53" s="1"/>
      <c r="F53" s="1"/>
      <c r="G53" s="1"/>
      <c r="H53" s="1"/>
    </row>
    <row r="54" spans="1:9" x14ac:dyDescent="0.2">
      <c r="A54" s="1"/>
      <c r="B54" s="1"/>
      <c r="C54" s="1"/>
      <c r="D54" s="1"/>
      <c r="E54" s="1"/>
      <c r="F54" s="1"/>
      <c r="G54" s="1"/>
      <c r="H54" s="1"/>
    </row>
    <row r="55" spans="1:9" x14ac:dyDescent="0.2">
      <c r="H55" s="1"/>
    </row>
    <row r="66" spans="4:9" x14ac:dyDescent="0.2">
      <c r="D66" s="89" t="s">
        <v>55</v>
      </c>
      <c r="E66" s="89"/>
      <c r="F66" s="89"/>
      <c r="G66" s="89"/>
      <c r="H66" s="89"/>
    </row>
    <row r="67" spans="4:9" x14ac:dyDescent="0.2">
      <c r="D67" s="90"/>
      <c r="E67" s="90"/>
      <c r="F67" s="90"/>
      <c r="G67" s="90"/>
      <c r="H67" s="90"/>
    </row>
    <row r="68" spans="4:9" x14ac:dyDescent="0.2">
      <c r="D68" s="54" t="s">
        <v>56</v>
      </c>
      <c r="E68" s="55">
        <f>(E5/E6+21)*(H5+40)*0.8*1.1*8*E6/1000000</f>
        <v>1.0269952</v>
      </c>
      <c r="F68" s="56"/>
      <c r="G68" s="56"/>
      <c r="H68" s="56"/>
    </row>
    <row r="69" spans="4:9" x14ac:dyDescent="0.2">
      <c r="D69" s="54" t="s">
        <v>57</v>
      </c>
      <c r="E69" s="55">
        <f>(F5-56)*((E5/E6-36)+H5*2-4+64-4)*0.8*1.1*8*E6/1000000</f>
        <v>3.1257600000000005</v>
      </c>
      <c r="F69" s="56"/>
      <c r="G69" s="56"/>
      <c r="H69" s="56"/>
    </row>
    <row r="70" spans="4:9" x14ac:dyDescent="0.2">
      <c r="D70" s="54" t="s">
        <v>58</v>
      </c>
      <c r="E70" s="55">
        <f>(E5/E6+21)*(H5+78)*0.8*8*1.1*E6/1000000</f>
        <v>1.16637312</v>
      </c>
      <c r="F70" s="56"/>
      <c r="G70" s="56"/>
      <c r="H70" s="56"/>
    </row>
    <row r="71" spans="4:9" x14ac:dyDescent="0.2">
      <c r="D71" s="54"/>
      <c r="E71" s="54"/>
      <c r="F71" s="56"/>
      <c r="G71" s="56"/>
      <c r="H71" s="56"/>
    </row>
    <row r="72" spans="4:9" x14ac:dyDescent="0.2">
      <c r="D72" s="54" t="s">
        <v>66</v>
      </c>
      <c r="E72" s="55">
        <f>IF(E7=0,(496*(F5*2-54)*7.85*0.8*1.1)/1000000*E6,(496*(F5*2-54)*0.8*8*1.1)/1000000*E6)</f>
        <v>3.3032806400000005</v>
      </c>
      <c r="F72" s="56"/>
      <c r="G72" s="56"/>
      <c r="H72" s="56"/>
      <c r="I72">
        <f>496*(F5-54)*2*E6/1000000</f>
        <v>0.44243199999999999</v>
      </c>
    </row>
    <row r="73" spans="4:9" x14ac:dyDescent="0.2">
      <c r="D73" s="54" t="s">
        <v>77</v>
      </c>
      <c r="E73" s="55">
        <f>IF(E7=0,((77*(G5-30)*1.2*7.85*1.1*4*E6)/1000000),((77*(G5-30)*1.2*8*1.1*4*E6)/1000000))</f>
        <v>2.6995584000000004</v>
      </c>
      <c r="F73" s="56"/>
      <c r="G73" s="56"/>
      <c r="H73" s="56"/>
      <c r="I73">
        <f>77*(G5-30)*2*4*E6/1000000</f>
        <v>0.51127999999999996</v>
      </c>
    </row>
  </sheetData>
  <mergeCells count="61">
    <mergeCell ref="J1:J2"/>
    <mergeCell ref="K1:M1"/>
    <mergeCell ref="A6:C6"/>
    <mergeCell ref="F12:G12"/>
    <mergeCell ref="B14:D14"/>
    <mergeCell ref="F14:G14"/>
    <mergeCell ref="B10:D10"/>
    <mergeCell ref="F10:G11"/>
    <mergeCell ref="B11:D11"/>
    <mergeCell ref="A7:C7"/>
    <mergeCell ref="A9:G9"/>
    <mergeCell ref="D1:H1"/>
    <mergeCell ref="F13:G13"/>
    <mergeCell ref="B21:D21"/>
    <mergeCell ref="F21:G21"/>
    <mergeCell ref="B13:D13"/>
    <mergeCell ref="B12:D12"/>
    <mergeCell ref="B20:D20"/>
    <mergeCell ref="F20:G20"/>
    <mergeCell ref="B17:D17"/>
    <mergeCell ref="F17:G17"/>
    <mergeCell ref="B19:D19"/>
    <mergeCell ref="F19:G19"/>
    <mergeCell ref="B18:D18"/>
    <mergeCell ref="F18:G18"/>
    <mergeCell ref="B15:D15"/>
    <mergeCell ref="F15:G15"/>
    <mergeCell ref="B16:D16"/>
    <mergeCell ref="F16:G16"/>
    <mergeCell ref="B24:D24"/>
    <mergeCell ref="F24:G24"/>
    <mergeCell ref="B25:D25"/>
    <mergeCell ref="F25:G25"/>
    <mergeCell ref="B22:D22"/>
    <mergeCell ref="F22:G22"/>
    <mergeCell ref="B23:D23"/>
    <mergeCell ref="F23:G23"/>
    <mergeCell ref="B26:D26"/>
    <mergeCell ref="F26:G26"/>
    <mergeCell ref="B33:D34"/>
    <mergeCell ref="B28:D28"/>
    <mergeCell ref="F28:G28"/>
    <mergeCell ref="A31:F31"/>
    <mergeCell ref="B27:D27"/>
    <mergeCell ref="F27:G27"/>
    <mergeCell ref="B47:D47"/>
    <mergeCell ref="B48:D48"/>
    <mergeCell ref="B49:D49"/>
    <mergeCell ref="D66:H67"/>
    <mergeCell ref="B29:D29"/>
    <mergeCell ref="F29:G29"/>
    <mergeCell ref="B43:D43"/>
    <mergeCell ref="B44:D44"/>
    <mergeCell ref="B39:D39"/>
    <mergeCell ref="B37:D37"/>
    <mergeCell ref="B38:D38"/>
    <mergeCell ref="B40:D40"/>
    <mergeCell ref="B41:D41"/>
    <mergeCell ref="B42:D42"/>
    <mergeCell ref="B35:D35"/>
    <mergeCell ref="B36:D36"/>
  </mergeCells>
  <phoneticPr fontId="35" type="noConversion"/>
  <pageMargins left="0.75" right="0.75" top="1" bottom="1" header="0.5" footer="0.5"/>
  <pageSetup paperSize="9" scale="95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сварные</vt:lpstr>
      <vt:lpstr>разборные</vt:lpstr>
      <vt:lpstr>разборные!Область_печати</vt:lpstr>
      <vt:lpstr>сварные!Область_печати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RomanS_</dc:creator>
  <cp:lastModifiedBy>user</cp:lastModifiedBy>
  <cp:lastPrinted>2013-08-05T02:20:52Z</cp:lastPrinted>
  <dcterms:created xsi:type="dcterms:W3CDTF">2013-08-03T04:01:55Z</dcterms:created>
  <dcterms:modified xsi:type="dcterms:W3CDTF">2016-03-13T17:12:02Z</dcterms:modified>
</cp:coreProperties>
</file>