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5570" windowHeight="12510" firstSheet="3" activeTab="4"/>
  </bookViews>
  <sheets>
    <sheet name="Лист2" sheetId="2" state="hidden" r:id="rId1"/>
    <sheet name="Лист3" sheetId="3" state="hidden" r:id="rId2"/>
    <sheet name="Лист4" sheetId="4" state="hidden" r:id="rId3"/>
    <sheet name="столы разборные" sheetId="8" r:id="rId4"/>
    <sheet name="столы разборные с обвязкой" sheetId="9" r:id="rId5"/>
  </sheets>
  <calcPr calcId="125725"/>
</workbook>
</file>

<file path=xl/calcChain.xml><?xml version="1.0" encoding="utf-8"?>
<calcChain xmlns="http://schemas.openxmlformats.org/spreadsheetml/2006/main">
  <c r="J10" i="9"/>
  <c r="AE14" s="1"/>
  <c r="K19" s="1"/>
  <c r="AE4"/>
  <c r="J9"/>
  <c r="AE2" s="1"/>
  <c r="J8"/>
  <c r="J34" s="1"/>
  <c r="K27"/>
  <c r="AI8"/>
  <c r="AF8"/>
  <c r="K28" i="8"/>
  <c r="AI8"/>
  <c r="J11"/>
  <c r="AE13" s="1"/>
  <c r="K17" s="1"/>
  <c r="J10"/>
  <c r="AE2" s="1"/>
  <c r="J9"/>
  <c r="AH2" s="1"/>
  <c r="J8"/>
  <c r="AH4" s="1"/>
  <c r="AF8"/>
  <c r="AE4"/>
  <c r="AE13" i="9" l="1"/>
  <c r="K17" s="1"/>
  <c r="AE3"/>
  <c r="AH10"/>
  <c r="AE9"/>
  <c r="AE10"/>
  <c r="AD18"/>
  <c r="AH9"/>
  <c r="K22"/>
  <c r="J36" i="8"/>
  <c r="J35"/>
  <c r="J34"/>
  <c r="J33"/>
  <c r="K27"/>
  <c r="AJ5"/>
  <c r="AH3"/>
  <c r="AH5" s="1"/>
  <c r="AH9"/>
  <c r="K22"/>
  <c r="AE14"/>
  <c r="K19" s="1"/>
  <c r="AH10"/>
  <c r="AH8"/>
  <c r="AE10"/>
  <c r="AE9"/>
  <c r="AE8"/>
  <c r="AE3"/>
  <c r="AH11" i="9" l="1"/>
  <c r="K18" s="1"/>
  <c r="L18" s="1"/>
  <c r="AE11"/>
  <c r="AE18"/>
  <c r="AE19" s="1"/>
  <c r="AE20" s="1"/>
  <c r="AE21" s="1"/>
  <c r="K21"/>
  <c r="K20"/>
  <c r="AD18" i="8"/>
  <c r="AE18" s="1"/>
  <c r="AH11"/>
  <c r="K18" s="1"/>
  <c r="L18" s="1"/>
  <c r="AE11"/>
  <c r="K21"/>
  <c r="K20"/>
  <c r="K16" l="1"/>
  <c r="L16" s="1"/>
  <c r="AE22" i="9"/>
  <c r="AE23" s="1"/>
  <c r="J41"/>
  <c r="K16"/>
  <c r="L16" s="1"/>
  <c r="AE19" i="8"/>
  <c r="AE20" l="1"/>
  <c r="AE21" l="1"/>
  <c r="AE22" s="1"/>
  <c r="AE23" s="1"/>
  <c r="J42" l="1"/>
</calcChain>
</file>

<file path=xl/sharedStrings.xml><?xml version="1.0" encoding="utf-8"?>
<sst xmlns="http://schemas.openxmlformats.org/spreadsheetml/2006/main" count="206" uniqueCount="90">
  <si>
    <t>Высота</t>
  </si>
  <si>
    <t>Ширина</t>
  </si>
  <si>
    <t>Длинна</t>
  </si>
  <si>
    <t>габариты стола мм.</t>
  </si>
  <si>
    <t>Полка</t>
  </si>
  <si>
    <t>№</t>
  </si>
  <si>
    <t>Наименование</t>
  </si>
  <si>
    <t>Единица</t>
  </si>
  <si>
    <t>Количество</t>
  </si>
  <si>
    <t>п/п</t>
  </si>
  <si>
    <t>материалов</t>
  </si>
  <si>
    <t>измерен.</t>
  </si>
  <si>
    <t>шт.</t>
  </si>
  <si>
    <t>Болт М6х12</t>
  </si>
  <si>
    <t>Шайба 6</t>
  </si>
  <si>
    <t>Опора регулируемая 40х40 Лида</t>
  </si>
  <si>
    <t xml:space="preserve">Наименование </t>
  </si>
  <si>
    <t>(вместе с коэфф.)</t>
  </si>
  <si>
    <t>Сырьё и материалы</t>
  </si>
  <si>
    <t>кг.</t>
  </si>
  <si>
    <r>
      <t xml:space="preserve">Проволка сварочная нерж. </t>
    </r>
    <r>
      <rPr>
        <i/>
        <sz val="16"/>
        <color theme="1"/>
        <rFont val="Calibri"/>
        <family val="2"/>
        <charset val="204"/>
        <scheme val="minor"/>
      </rPr>
      <t>Ф</t>
    </r>
    <r>
      <rPr>
        <sz val="16"/>
        <color theme="1"/>
        <rFont val="Calibri"/>
        <family val="2"/>
        <charset val="204"/>
        <scheme val="minor"/>
      </rPr>
      <t xml:space="preserve"> 1,2</t>
    </r>
  </si>
  <si>
    <t>Газ аргон</t>
  </si>
  <si>
    <r>
      <t xml:space="preserve">Вольфрам лантана </t>
    </r>
    <r>
      <rPr>
        <i/>
        <sz val="16"/>
        <color theme="1"/>
        <rFont val="Calibri"/>
        <family val="2"/>
        <charset val="204"/>
        <scheme val="minor"/>
      </rPr>
      <t>Ф</t>
    </r>
    <r>
      <rPr>
        <sz val="16"/>
        <color theme="1"/>
        <rFont val="Calibri"/>
        <family val="2"/>
        <charset val="204"/>
        <scheme val="minor"/>
      </rPr>
      <t xml:space="preserve"> 2</t>
    </r>
  </si>
  <si>
    <t>л.</t>
  </si>
  <si>
    <t>гр.</t>
  </si>
  <si>
    <t>Гайка установочная IS6M30LFKN9 (M6)</t>
  </si>
  <si>
    <t>Заклёпка 3,2х10</t>
  </si>
  <si>
    <t xml:space="preserve">Силикон </t>
  </si>
  <si>
    <t>Трудоёмкость изготовления</t>
  </si>
  <si>
    <t>Норма</t>
  </si>
  <si>
    <t>рабочих</t>
  </si>
  <si>
    <t>Шлифовка</t>
  </si>
  <si>
    <t>Гибочные</t>
  </si>
  <si>
    <t>операции</t>
  </si>
  <si>
    <t>врем. час</t>
  </si>
  <si>
    <t>количество</t>
  </si>
  <si>
    <t>Заготовительные (лист)</t>
  </si>
  <si>
    <t>Штамповка</t>
  </si>
  <si>
    <t>Слесарно сварочные</t>
  </si>
  <si>
    <t>Слесарные</t>
  </si>
  <si>
    <t>Упаковка</t>
  </si>
  <si>
    <t>Комплектовка</t>
  </si>
  <si>
    <t>Перемещение</t>
  </si>
  <si>
    <r>
      <t xml:space="preserve">Лист 0,8 </t>
    </r>
    <r>
      <rPr>
        <b/>
        <sz val="16"/>
        <color theme="1"/>
        <rFont val="Calibri"/>
        <family val="2"/>
        <charset val="204"/>
        <scheme val="minor"/>
      </rPr>
      <t>430</t>
    </r>
  </si>
  <si>
    <r>
      <t xml:space="preserve">Лист 1,2 </t>
    </r>
    <r>
      <rPr>
        <b/>
        <sz val="16"/>
        <color theme="1"/>
        <rFont val="Calibri"/>
        <family val="2"/>
        <charset val="204"/>
        <scheme val="minor"/>
      </rPr>
      <t>430</t>
    </r>
  </si>
  <si>
    <r>
      <t xml:space="preserve">Лист 1,2 </t>
    </r>
    <r>
      <rPr>
        <b/>
        <sz val="16"/>
        <color theme="1"/>
        <rFont val="Calibri"/>
        <family val="2"/>
        <charset val="204"/>
        <scheme val="minor"/>
      </rPr>
      <t>оцинк.</t>
    </r>
  </si>
  <si>
    <r>
      <t xml:space="preserve">Лист 0,8 </t>
    </r>
    <r>
      <rPr>
        <b/>
        <sz val="16"/>
        <color theme="1"/>
        <rFont val="Calibri"/>
        <family val="2"/>
        <charset val="204"/>
        <scheme val="minor"/>
      </rPr>
      <t>оцинк.</t>
    </r>
  </si>
  <si>
    <t>ИТОГО</t>
  </si>
  <si>
    <t>Материал стойки</t>
  </si>
  <si>
    <t>оцинк.</t>
  </si>
  <si>
    <t>Профиль</t>
  </si>
  <si>
    <t>швеллер</t>
  </si>
  <si>
    <t>Материал полки</t>
  </si>
  <si>
    <t>Наличие борта</t>
  </si>
  <si>
    <t>:</t>
  </si>
  <si>
    <t>Для начала расчёта выберите из списка необходимое изделие.</t>
  </si>
  <si>
    <t>Данные которые требуют изменения выделены жёлтым  цветом.</t>
  </si>
  <si>
    <t>СП с решётчатой полкой</t>
  </si>
  <si>
    <t>СПБ с решётчатой полкой</t>
  </si>
  <si>
    <t>СП со сплошной полкой</t>
  </si>
  <si>
    <t>СПБ со сплошной полкой</t>
  </si>
  <si>
    <t>СПН с решётчатой полкой</t>
  </si>
  <si>
    <t>СПН со сплошной полкой</t>
  </si>
  <si>
    <t>СПБН со сплошной полкой</t>
  </si>
  <si>
    <t>СПБН с решётчатой полкой</t>
  </si>
  <si>
    <t>Столешницы</t>
  </si>
  <si>
    <t>с бортом</t>
  </si>
  <si>
    <t>без борта</t>
  </si>
  <si>
    <t>нерж</t>
  </si>
  <si>
    <t>профиль</t>
  </si>
  <si>
    <t>пята</t>
  </si>
  <si>
    <t>решётка нерж</t>
  </si>
  <si>
    <t>решётка оцинк.</t>
  </si>
  <si>
    <t>обвязка</t>
  </si>
  <si>
    <t>стяжка</t>
  </si>
  <si>
    <t>Стойки</t>
  </si>
  <si>
    <t>нерж.</t>
  </si>
  <si>
    <t>0,8 мм.</t>
  </si>
  <si>
    <t>1,2 мм.</t>
  </si>
  <si>
    <t>Слесарь МСР</t>
  </si>
  <si>
    <t>Антаневис С.В.</t>
  </si>
  <si>
    <t>Столешница</t>
  </si>
  <si>
    <t>16.11.2015 г.</t>
  </si>
  <si>
    <t>СП с обвязкой</t>
  </si>
  <si>
    <t>СПБ с обвязкой</t>
  </si>
  <si>
    <t>СПН с обвязкой</t>
  </si>
  <si>
    <t>СПБН с обвязкой</t>
  </si>
  <si>
    <t>Обвязка</t>
  </si>
  <si>
    <r>
      <t xml:space="preserve">Столы производственные </t>
    </r>
    <r>
      <rPr>
        <b/>
        <u/>
        <sz val="20"/>
        <color rgb="FFFF0000"/>
        <rFont val="Calibri"/>
        <family val="2"/>
        <charset val="204"/>
        <scheme val="minor"/>
      </rPr>
      <t>разборные</t>
    </r>
  </si>
  <si>
    <r>
      <t xml:space="preserve">Столы производственные </t>
    </r>
    <r>
      <rPr>
        <b/>
        <u/>
        <sz val="20"/>
        <color rgb="FFFF0000"/>
        <rFont val="Calibri"/>
        <family val="2"/>
        <charset val="204"/>
        <scheme val="minor"/>
      </rPr>
      <t>разборные с обвязкой</t>
    </r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</si>
</sst>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15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i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  <font>
      <b/>
      <i/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u/>
      <sz val="20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59">
    <xf numFmtId="0" fontId="0" fillId="0" borderId="0" xfId="0"/>
    <xf numFmtId="0" fontId="5" fillId="0" borderId="12" xfId="1" applyFont="1" applyFill="1" applyBorder="1"/>
    <xf numFmtId="0" fontId="0" fillId="0" borderId="0" xfId="0" applyProtection="1">
      <protection hidden="1"/>
    </xf>
    <xf numFmtId="0" fontId="0" fillId="5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164" fontId="7" fillId="2" borderId="0" xfId="0" applyNumberFormat="1" applyFont="1" applyFill="1" applyProtection="1">
      <protection hidden="1"/>
    </xf>
    <xf numFmtId="0" fontId="0" fillId="3" borderId="0" xfId="0" applyFill="1" applyProtection="1">
      <protection hidden="1"/>
    </xf>
    <xf numFmtId="164" fontId="7" fillId="3" borderId="0" xfId="0" applyNumberFormat="1" applyFont="1" applyFill="1" applyProtection="1">
      <protection hidden="1"/>
    </xf>
    <xf numFmtId="0" fontId="9" fillId="0" borderId="0" xfId="0" applyFont="1" applyAlignment="1" applyProtection="1">
      <alignment horizontal="center"/>
      <protection hidden="1"/>
    </xf>
    <xf numFmtId="0" fontId="9" fillId="0" borderId="49" xfId="0" applyFon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protection hidden="1"/>
    </xf>
    <xf numFmtId="164" fontId="7" fillId="2" borderId="0" xfId="0" applyNumberFormat="1" applyFont="1" applyFill="1" applyAlignment="1" applyProtection="1">
      <protection hidden="1"/>
    </xf>
    <xf numFmtId="0" fontId="0" fillId="0" borderId="0" xfId="0" applyAlignment="1" applyProtection="1">
      <protection hidden="1"/>
    </xf>
    <xf numFmtId="164" fontId="0" fillId="4" borderId="0" xfId="0" applyNumberFormat="1" applyFill="1" applyAlignment="1" applyProtection="1">
      <protection hidden="1"/>
    </xf>
    <xf numFmtId="164" fontId="0" fillId="4" borderId="0" xfId="0" applyNumberFormat="1" applyFill="1" applyProtection="1">
      <protection hidden="1"/>
    </xf>
    <xf numFmtId="0" fontId="0" fillId="0" borderId="40" xfId="0" applyBorder="1" applyProtection="1">
      <protection hidden="1"/>
    </xf>
    <xf numFmtId="0" fontId="3" fillId="5" borderId="47" xfId="0" applyFont="1" applyFill="1" applyBorder="1" applyAlignment="1" applyProtection="1">
      <protection hidden="1"/>
    </xf>
    <xf numFmtId="0" fontId="8" fillId="3" borderId="11" xfId="0" applyFont="1" applyFill="1" applyBorder="1" applyAlignment="1" applyProtection="1">
      <alignment horizontal="center"/>
      <protection hidden="1"/>
    </xf>
    <xf numFmtId="0" fontId="8" fillId="3" borderId="47" xfId="0" applyFont="1" applyFill="1" applyBorder="1" applyAlignment="1" applyProtection="1">
      <alignment horizontal="center"/>
      <protection hidden="1"/>
    </xf>
    <xf numFmtId="0" fontId="1" fillId="0" borderId="51" xfId="0" applyFont="1" applyBorder="1" applyAlignment="1" applyProtection="1">
      <alignment horizontal="center" vertical="center"/>
      <protection hidden="1"/>
    </xf>
    <xf numFmtId="0" fontId="0" fillId="0" borderId="52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44" xfId="0" applyBorder="1" applyProtection="1">
      <protection hidden="1"/>
    </xf>
    <xf numFmtId="0" fontId="13" fillId="3" borderId="30" xfId="0" applyFont="1" applyFill="1" applyBorder="1" applyAlignment="1" applyProtection="1">
      <alignment horizontal="left" vertical="center"/>
      <protection hidden="1"/>
    </xf>
    <xf numFmtId="0" fontId="13" fillId="3" borderId="34" xfId="0" applyFont="1" applyFill="1" applyBorder="1" applyAlignment="1" applyProtection="1">
      <alignment horizontal="left" vertical="center"/>
      <protection hidden="1"/>
    </xf>
    <xf numFmtId="0" fontId="13" fillId="3" borderId="28" xfId="0" applyFont="1" applyFill="1" applyBorder="1" applyAlignment="1" applyProtection="1">
      <alignment horizontal="center" vertical="center"/>
      <protection hidden="1"/>
    </xf>
    <xf numFmtId="0" fontId="0" fillId="0" borderId="0" xfId="0" applyBorder="1" applyProtection="1">
      <protection hidden="1"/>
    </xf>
    <xf numFmtId="0" fontId="9" fillId="3" borderId="39" xfId="0" applyFont="1" applyFill="1" applyBorder="1" applyAlignment="1" applyProtection="1">
      <alignment horizontal="left" vertical="center"/>
      <protection hidden="1"/>
    </xf>
    <xf numFmtId="0" fontId="9" fillId="3" borderId="40" xfId="0" applyFont="1" applyFill="1" applyBorder="1" applyAlignment="1" applyProtection="1">
      <alignment vertical="center"/>
      <protection hidden="1"/>
    </xf>
    <xf numFmtId="0" fontId="12" fillId="3" borderId="40" xfId="0" applyFont="1" applyFill="1" applyBorder="1" applyAlignment="1" applyProtection="1">
      <alignment horizontal="center"/>
      <protection hidden="1"/>
    </xf>
    <xf numFmtId="0" fontId="0" fillId="0" borderId="47" xfId="0" applyBorder="1" applyProtection="1">
      <protection hidden="1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3" fillId="3" borderId="1" xfId="0" applyFont="1" applyFill="1" applyBorder="1" applyAlignment="1" applyProtection="1">
      <alignment horizontal="left" vertical="center"/>
      <protection hidden="1"/>
    </xf>
    <xf numFmtId="0" fontId="13" fillId="3" borderId="14" xfId="0" applyFont="1" applyFill="1" applyBorder="1" applyAlignment="1" applyProtection="1">
      <alignment horizontal="center" vertical="center"/>
      <protection hidden="1"/>
    </xf>
    <xf numFmtId="0" fontId="9" fillId="3" borderId="41" xfId="0" applyFont="1" applyFill="1" applyBorder="1" applyAlignment="1" applyProtection="1">
      <alignment horizontal="left" vertical="center"/>
      <protection hidden="1"/>
    </xf>
    <xf numFmtId="0" fontId="0" fillId="0" borderId="42" xfId="0" applyBorder="1" applyProtection="1">
      <protection hidden="1"/>
    </xf>
    <xf numFmtId="0" fontId="9" fillId="3" borderId="42" xfId="0" applyFont="1" applyFill="1" applyBorder="1" applyAlignment="1" applyProtection="1">
      <alignment vertical="center"/>
      <protection hidden="1"/>
    </xf>
    <xf numFmtId="0" fontId="12" fillId="3" borderId="42" xfId="0" applyFont="1" applyFill="1" applyBorder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0" fillId="0" borderId="0" xfId="0" applyFill="1" applyProtection="1">
      <protection hidden="1"/>
    </xf>
    <xf numFmtId="0" fontId="13" fillId="3" borderId="16" xfId="0" applyFont="1" applyFill="1" applyBorder="1" applyAlignment="1" applyProtection="1">
      <alignment horizontal="left" vertical="center"/>
      <protection hidden="1"/>
    </xf>
    <xf numFmtId="0" fontId="13" fillId="3" borderId="17" xfId="0" applyFont="1" applyFill="1" applyBorder="1" applyAlignment="1" applyProtection="1">
      <alignment horizontal="left" vertical="center"/>
      <protection hidden="1"/>
    </xf>
    <xf numFmtId="0" fontId="13" fillId="3" borderId="18" xfId="0" applyFont="1" applyFill="1" applyBorder="1" applyAlignment="1" applyProtection="1">
      <alignment horizontal="center" vertical="center"/>
      <protection hidden="1"/>
    </xf>
    <xf numFmtId="0" fontId="9" fillId="3" borderId="33" xfId="0" applyFont="1" applyFill="1" applyBorder="1" applyAlignment="1" applyProtection="1">
      <alignment horizontal="left" vertical="center"/>
      <protection hidden="1"/>
    </xf>
    <xf numFmtId="0" fontId="9" fillId="3" borderId="19" xfId="0" applyFont="1" applyFill="1" applyBorder="1" applyAlignment="1" applyProtection="1">
      <alignment vertical="center"/>
      <protection hidden="1"/>
    </xf>
    <xf numFmtId="0" fontId="12" fillId="3" borderId="19" xfId="0" applyFont="1" applyFill="1" applyBorder="1" applyAlignment="1" applyProtection="1">
      <alignment horizontal="center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2" fillId="3" borderId="26" xfId="0" applyFont="1" applyFill="1" applyBorder="1" applyAlignment="1" applyProtection="1">
      <alignment horizontal="center"/>
      <protection hidden="1"/>
    </xf>
    <xf numFmtId="0" fontId="2" fillId="3" borderId="27" xfId="0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" fillId="0" borderId="5" xfId="0" applyFont="1" applyFill="1" applyBorder="1" applyAlignment="1" applyProtection="1">
      <alignment horizont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0" fontId="2" fillId="0" borderId="5" xfId="0" applyFont="1" applyBorder="1" applyProtection="1">
      <protection hidden="1"/>
    </xf>
    <xf numFmtId="0" fontId="2" fillId="0" borderId="6" xfId="0" applyFont="1" applyBorder="1" applyAlignment="1" applyProtection="1">
      <alignment horizontal="center"/>
      <protection hidden="1"/>
    </xf>
    <xf numFmtId="0" fontId="2" fillId="0" borderId="8" xfId="0" applyFont="1" applyBorder="1" applyAlignment="1" applyProtection="1">
      <alignment horizontal="center"/>
      <protection hidden="1"/>
    </xf>
    <xf numFmtId="0" fontId="2" fillId="0" borderId="9" xfId="0" applyFont="1" applyFill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9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46" xfId="0" applyFont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/>
      <protection hidden="1"/>
    </xf>
    <xf numFmtId="0" fontId="1" fillId="0" borderId="30" xfId="0" applyFont="1" applyBorder="1" applyAlignment="1" applyProtection="1">
      <alignment horizontal="left"/>
      <protection hidden="1"/>
    </xf>
    <xf numFmtId="0" fontId="1" fillId="0" borderId="34" xfId="0" applyFont="1" applyBorder="1" applyAlignment="1" applyProtection="1">
      <alignment horizontal="left"/>
      <protection hidden="1"/>
    </xf>
    <xf numFmtId="0" fontId="1" fillId="0" borderId="28" xfId="0" applyFont="1" applyBorder="1" applyAlignment="1" applyProtection="1">
      <alignment horizontal="left"/>
      <protection hidden="1"/>
    </xf>
    <xf numFmtId="0" fontId="1" fillId="0" borderId="11" xfId="0" applyFont="1" applyBorder="1" applyAlignment="1" applyProtection="1">
      <alignment horizontal="center"/>
      <protection hidden="1"/>
    </xf>
    <xf numFmtId="2" fontId="1" fillId="0" borderId="38" xfId="0" applyNumberFormat="1" applyFont="1" applyBorder="1" applyAlignment="1" applyProtection="1">
      <alignment horizontal="center"/>
      <protection hidden="1"/>
    </xf>
    <xf numFmtId="2" fontId="1" fillId="0" borderId="36" xfId="0" applyNumberFormat="1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/>
      <protection hidden="1"/>
    </xf>
    <xf numFmtId="0" fontId="1" fillId="0" borderId="16" xfId="0" applyFont="1" applyBorder="1" applyAlignment="1" applyProtection="1">
      <alignment horizontal="left"/>
      <protection hidden="1"/>
    </xf>
    <xf numFmtId="0" fontId="1" fillId="0" borderId="17" xfId="0" applyFont="1" applyBorder="1" applyAlignment="1" applyProtection="1">
      <alignment horizontal="left"/>
      <protection hidden="1"/>
    </xf>
    <xf numFmtId="0" fontId="1" fillId="0" borderId="18" xfId="0" applyFont="1" applyBorder="1" applyAlignment="1" applyProtection="1">
      <alignment horizontal="left"/>
      <protection hidden="1"/>
    </xf>
    <xf numFmtId="0" fontId="1" fillId="0" borderId="15" xfId="0" applyFont="1" applyBorder="1" applyAlignment="1" applyProtection="1">
      <alignment horizontal="center"/>
      <protection hidden="1"/>
    </xf>
    <xf numFmtId="2" fontId="1" fillId="0" borderId="29" xfId="0" applyNumberFormat="1" applyFont="1" applyBorder="1" applyAlignment="1" applyProtection="1">
      <alignment horizontal="center"/>
      <protection hidden="1"/>
    </xf>
    <xf numFmtId="2" fontId="1" fillId="0" borderId="37" xfId="0" applyNumberFormat="1" applyFont="1" applyBorder="1" applyAlignment="1" applyProtection="1">
      <alignment horizontal="center" vertical="center"/>
      <protection hidden="1"/>
    </xf>
    <xf numFmtId="164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0" fontId="2" fillId="0" borderId="35" xfId="0" applyFont="1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left"/>
      <protection hidden="1"/>
    </xf>
    <xf numFmtId="0" fontId="1" fillId="0" borderId="3" xfId="0" applyFont="1" applyBorder="1" applyAlignment="1" applyProtection="1">
      <alignment horizontal="left"/>
      <protection hidden="1"/>
    </xf>
    <xf numFmtId="0" fontId="1" fillId="0" borderId="32" xfId="0" applyFont="1" applyBorder="1" applyAlignment="1" applyProtection="1">
      <alignment horizontal="left"/>
      <protection hidden="1"/>
    </xf>
    <xf numFmtId="0" fontId="1" fillId="0" borderId="35" xfId="0" applyFont="1" applyBorder="1" applyAlignment="1" applyProtection="1">
      <alignment horizontal="center"/>
      <protection hidden="1"/>
    </xf>
    <xf numFmtId="2" fontId="1" fillId="0" borderId="2" xfId="0" applyNumberFormat="1" applyFont="1" applyBorder="1" applyAlignment="1" applyProtection="1">
      <alignment horizontal="center"/>
      <protection hidden="1"/>
    </xf>
    <xf numFmtId="2" fontId="1" fillId="0" borderId="48" xfId="0" applyNumberFormat="1" applyFont="1" applyBorder="1" applyAlignment="1" applyProtection="1">
      <alignment horizontal="center"/>
      <protection hidden="1"/>
    </xf>
    <xf numFmtId="0" fontId="2" fillId="0" borderId="12" xfId="0" applyFont="1" applyBorder="1" applyAlignment="1" applyProtection="1">
      <alignment horizontal="center"/>
      <protection hidden="1"/>
    </xf>
    <xf numFmtId="0" fontId="1" fillId="0" borderId="13" xfId="0" applyFont="1" applyBorder="1" applyAlignment="1" applyProtection="1">
      <alignment horizontal="left"/>
      <protection hidden="1"/>
    </xf>
    <xf numFmtId="0" fontId="1" fillId="0" borderId="1" xfId="0" applyFont="1" applyBorder="1" applyAlignment="1" applyProtection="1">
      <alignment horizontal="left"/>
      <protection hidden="1"/>
    </xf>
    <xf numFmtId="0" fontId="1" fillId="0" borderId="14" xfId="0" applyFont="1" applyBorder="1" applyAlignment="1" applyProtection="1">
      <alignment horizontal="left"/>
      <protection hidden="1"/>
    </xf>
    <xf numFmtId="0" fontId="1" fillId="0" borderId="12" xfId="0" applyFont="1" applyBorder="1" applyAlignment="1" applyProtection="1">
      <alignment horizontal="center"/>
      <protection hidden="1"/>
    </xf>
    <xf numFmtId="0" fontId="1" fillId="0" borderId="4" xfId="0" applyFont="1" applyBorder="1" applyAlignment="1" applyProtection="1">
      <alignment horizontal="center"/>
      <protection hidden="1"/>
    </xf>
    <xf numFmtId="0" fontId="1" fillId="0" borderId="48" xfId="0" applyFont="1" applyBorder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0" fillId="0" borderId="0" xfId="0" applyAlignment="1" applyProtection="1">
      <alignment horizontal="left" vertical="center"/>
      <protection hidden="1"/>
    </xf>
    <xf numFmtId="0" fontId="2" fillId="0" borderId="5" xfId="0" applyFont="1" applyBorder="1" applyAlignment="1" applyProtection="1">
      <alignment horizontal="center"/>
      <protection hidden="1"/>
    </xf>
    <xf numFmtId="0" fontId="2" fillId="0" borderId="21" xfId="0" applyFont="1" applyBorder="1" applyAlignment="1" applyProtection="1">
      <alignment horizontal="center"/>
      <protection hidden="1"/>
    </xf>
    <xf numFmtId="0" fontId="2" fillId="0" borderId="22" xfId="0" applyFont="1" applyBorder="1" applyAlignment="1" applyProtection="1">
      <alignment horizontal="center"/>
      <protection hidden="1"/>
    </xf>
    <xf numFmtId="0" fontId="2" fillId="0" borderId="36" xfId="0" applyFont="1" applyBorder="1" applyAlignment="1" applyProtection="1">
      <alignment horizontal="center"/>
      <protection hidden="1"/>
    </xf>
    <xf numFmtId="0" fontId="2" fillId="0" borderId="10" xfId="0" applyFont="1" applyBorder="1" applyAlignment="1" applyProtection="1">
      <alignment horizontal="center"/>
      <protection hidden="1"/>
    </xf>
    <xf numFmtId="0" fontId="2" fillId="0" borderId="23" xfId="0" applyFont="1" applyBorder="1" applyAlignment="1" applyProtection="1">
      <alignment horizont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2" fillId="0" borderId="10" xfId="0" applyFont="1" applyFill="1" applyBorder="1" applyAlignment="1" applyProtection="1">
      <alignment horizontal="center"/>
      <protection hidden="1"/>
    </xf>
    <xf numFmtId="2" fontId="1" fillId="0" borderId="35" xfId="0" applyNumberFormat="1" applyFont="1" applyBorder="1" applyAlignment="1" applyProtection="1">
      <alignment horizontal="center"/>
      <protection hidden="1"/>
    </xf>
    <xf numFmtId="0" fontId="1" fillId="0" borderId="39" xfId="0" applyFont="1" applyBorder="1" applyAlignment="1" applyProtection="1">
      <alignment horizontal="center"/>
      <protection hidden="1"/>
    </xf>
    <xf numFmtId="0" fontId="1" fillId="0" borderId="47" xfId="0" applyFont="1" applyBorder="1" applyAlignment="1" applyProtection="1">
      <alignment horizontal="center"/>
      <protection hidden="1"/>
    </xf>
    <xf numFmtId="2" fontId="1" fillId="0" borderId="12" xfId="0" applyNumberFormat="1" applyFont="1" applyBorder="1" applyAlignment="1" applyProtection="1">
      <alignment horizontal="center"/>
      <protection hidden="1"/>
    </xf>
    <xf numFmtId="0" fontId="1" fillId="0" borderId="41" xfId="0" applyFont="1" applyBorder="1" applyAlignment="1" applyProtection="1">
      <alignment horizontal="center"/>
      <protection hidden="1"/>
    </xf>
    <xf numFmtId="0" fontId="1" fillId="0" borderId="43" xfId="0" applyFont="1" applyBorder="1" applyAlignment="1" applyProtection="1">
      <alignment horizontal="center"/>
      <protection hidden="1"/>
    </xf>
    <xf numFmtId="2" fontId="1" fillId="0" borderId="15" xfId="0" applyNumberFormat="1" applyFont="1" applyBorder="1" applyAlignment="1" applyProtection="1">
      <alignment horizontal="center"/>
      <protection hidden="1"/>
    </xf>
    <xf numFmtId="0" fontId="1" fillId="0" borderId="33" xfId="0" applyFont="1" applyBorder="1" applyAlignment="1" applyProtection="1">
      <alignment horizontal="center"/>
      <protection hidden="1"/>
    </xf>
    <xf numFmtId="0" fontId="1" fillId="0" borderId="44" xfId="0" applyFont="1" applyBorder="1" applyAlignment="1" applyProtection="1">
      <alignment horizontal="center"/>
      <protection hidden="1"/>
    </xf>
    <xf numFmtId="0" fontId="1" fillId="0" borderId="25" xfId="0" applyFont="1" applyBorder="1" applyAlignment="1" applyProtection="1">
      <alignment horizontal="center"/>
      <protection hidden="1"/>
    </xf>
    <xf numFmtId="0" fontId="1" fillId="0" borderId="26" xfId="0" applyFont="1" applyBorder="1" applyProtection="1">
      <protection hidden="1"/>
    </xf>
    <xf numFmtId="0" fontId="2" fillId="0" borderId="27" xfId="0" applyFont="1" applyBorder="1" applyAlignment="1" applyProtection="1">
      <alignment horizontal="right"/>
      <protection hidden="1"/>
    </xf>
    <xf numFmtId="165" fontId="1" fillId="0" borderId="20" xfId="0" applyNumberFormat="1" applyFont="1" applyBorder="1" applyProtection="1">
      <protection hidden="1"/>
    </xf>
    <xf numFmtId="0" fontId="1" fillId="0" borderId="0" xfId="0" applyFont="1" applyProtection="1">
      <protection hidden="1"/>
    </xf>
    <xf numFmtId="0" fontId="11" fillId="5" borderId="39" xfId="0" applyFont="1" applyFill="1" applyBorder="1" applyAlignment="1" applyProtection="1">
      <alignment horizontal="center"/>
      <protection locked="0" hidden="1"/>
    </xf>
    <xf numFmtId="0" fontId="0" fillId="0" borderId="40" xfId="0" applyBorder="1" applyProtection="1">
      <protection locked="0" hidden="1"/>
    </xf>
    <xf numFmtId="0" fontId="10" fillId="5" borderId="15" xfId="0" applyFont="1" applyFill="1" applyBorder="1" applyAlignment="1" applyProtection="1">
      <alignment horizontal="center"/>
      <protection locked="0" hidden="1"/>
    </xf>
    <xf numFmtId="0" fontId="10" fillId="5" borderId="50" xfId="0" applyFont="1" applyFill="1" applyBorder="1" applyAlignment="1" applyProtection="1">
      <alignment horizontal="center"/>
      <protection locked="0" hidden="1"/>
    </xf>
    <xf numFmtId="0" fontId="0" fillId="0" borderId="0" xfId="0" applyFill="1" applyAlignment="1" applyProtection="1">
      <protection hidden="1"/>
    </xf>
    <xf numFmtId="0" fontId="0" fillId="0" borderId="0" xfId="0" applyFill="1" applyAlignment="1" applyProtection="1">
      <alignment horizontal="center" vertical="center"/>
      <protection hidden="1"/>
    </xf>
    <xf numFmtId="164" fontId="7" fillId="0" borderId="0" xfId="0" applyNumberFormat="1" applyFont="1" applyFill="1" applyProtection="1">
      <protection hidden="1"/>
    </xf>
    <xf numFmtId="164" fontId="0" fillId="0" borderId="0" xfId="0" applyNumberFormat="1" applyFill="1" applyAlignment="1" applyProtection="1">
      <protection hidden="1"/>
    </xf>
    <xf numFmtId="164" fontId="0" fillId="0" borderId="0" xfId="0" applyNumberFormat="1" applyFill="1" applyProtection="1">
      <protection hidden="1"/>
    </xf>
    <xf numFmtId="0" fontId="3" fillId="6" borderId="27" xfId="0" applyFont="1" applyFill="1" applyBorder="1" applyAlignment="1" applyProtection="1">
      <protection hidden="1"/>
    </xf>
    <xf numFmtId="0" fontId="1" fillId="0" borderId="45" xfId="0" applyFont="1" applyBorder="1" applyAlignment="1" applyProtection="1">
      <alignment horizontal="center" vertical="center"/>
      <protection hidden="1"/>
    </xf>
    <xf numFmtId="0" fontId="1" fillId="0" borderId="49" xfId="0" applyFont="1" applyBorder="1" applyAlignment="1" applyProtection="1">
      <alignment horizontal="center" vertical="center"/>
      <protection hidden="1"/>
    </xf>
    <xf numFmtId="0" fontId="1" fillId="0" borderId="46" xfId="0" applyFont="1" applyBorder="1" applyAlignment="1" applyProtection="1">
      <alignment horizontal="center" vertical="center"/>
      <protection hidden="1"/>
    </xf>
    <xf numFmtId="0" fontId="13" fillId="3" borderId="30" xfId="0" applyFont="1" applyFill="1" applyBorder="1" applyAlignment="1" applyProtection="1">
      <alignment vertical="center"/>
      <protection hidden="1"/>
    </xf>
    <xf numFmtId="0" fontId="13" fillId="3" borderId="34" xfId="0" applyFont="1" applyFill="1" applyBorder="1" applyAlignment="1" applyProtection="1">
      <alignment vertical="center"/>
      <protection hidden="1"/>
    </xf>
    <xf numFmtId="0" fontId="9" fillId="3" borderId="40" xfId="0" applyFont="1" applyFill="1" applyBorder="1" applyAlignment="1" applyProtection="1">
      <alignment horizontal="left" vertical="center"/>
      <protection hidden="1"/>
    </xf>
    <xf numFmtId="0" fontId="12" fillId="3" borderId="53" xfId="0" applyFont="1" applyFill="1" applyBorder="1" applyAlignment="1" applyProtection="1">
      <alignment horizontal="center"/>
      <protection hidden="1"/>
    </xf>
    <xf numFmtId="0" fontId="12" fillId="3" borderId="54" xfId="0" applyFont="1" applyFill="1" applyBorder="1" applyAlignment="1" applyProtection="1">
      <alignment horizontal="center"/>
      <protection hidden="1"/>
    </xf>
    <xf numFmtId="0" fontId="13" fillId="3" borderId="41" xfId="0" applyFont="1" applyFill="1" applyBorder="1" applyAlignment="1" applyProtection="1">
      <alignment vertical="center"/>
      <protection hidden="1"/>
    </xf>
    <xf numFmtId="0" fontId="13" fillId="3" borderId="4" xfId="0" applyFont="1" applyFill="1" applyBorder="1" applyAlignment="1" applyProtection="1">
      <alignment vertical="center"/>
      <protection hidden="1"/>
    </xf>
    <xf numFmtId="0" fontId="9" fillId="3" borderId="42" xfId="0" applyFont="1" applyFill="1" applyBorder="1" applyAlignment="1" applyProtection="1">
      <alignment horizontal="left" vertical="center"/>
      <protection hidden="1"/>
    </xf>
    <xf numFmtId="0" fontId="12" fillId="3" borderId="43" xfId="0" applyFont="1" applyFill="1" applyBorder="1" applyAlignment="1" applyProtection="1">
      <alignment horizontal="center"/>
      <protection hidden="1"/>
    </xf>
    <xf numFmtId="0" fontId="13" fillId="3" borderId="33" xfId="0" applyFont="1" applyFill="1" applyBorder="1" applyAlignment="1" applyProtection="1">
      <alignment vertical="center"/>
      <protection hidden="1"/>
    </xf>
    <xf numFmtId="0" fontId="13" fillId="3" borderId="29" xfId="0" applyFont="1" applyFill="1" applyBorder="1" applyAlignment="1" applyProtection="1">
      <alignment vertical="center"/>
      <protection hidden="1"/>
    </xf>
    <xf numFmtId="0" fontId="9" fillId="3" borderId="19" xfId="0" applyFont="1" applyFill="1" applyBorder="1" applyAlignment="1" applyProtection="1">
      <alignment horizontal="left" vertical="center"/>
      <protection hidden="1"/>
    </xf>
    <xf numFmtId="0" fontId="12" fillId="3" borderId="44" xfId="0" applyFont="1" applyFill="1" applyBorder="1" applyAlignment="1" applyProtection="1">
      <alignment horizontal="center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2" fillId="3" borderId="26" xfId="0" applyFont="1" applyFill="1" applyBorder="1" applyAlignment="1" applyProtection="1">
      <alignment horizontal="center"/>
      <protection hidden="1"/>
    </xf>
    <xf numFmtId="0" fontId="2" fillId="3" borderId="27" xfId="0" applyFont="1" applyFill="1" applyBorder="1" applyAlignment="1" applyProtection="1">
      <alignment horizontal="center"/>
      <protection hidden="1"/>
    </xf>
    <xf numFmtId="0" fontId="2" fillId="0" borderId="49" xfId="0" applyFont="1" applyBorder="1" applyAlignment="1" applyProtection="1">
      <alignment horizontal="center"/>
      <protection hidden="1"/>
    </xf>
    <xf numFmtId="0" fontId="1" fillId="0" borderId="39" xfId="0" applyFont="1" applyBorder="1" applyAlignment="1" applyProtection="1">
      <alignment horizontal="left"/>
      <protection hidden="1"/>
    </xf>
    <xf numFmtId="0" fontId="1" fillId="0" borderId="40" xfId="0" applyFont="1" applyBorder="1" applyAlignment="1" applyProtection="1">
      <alignment horizontal="left"/>
      <protection hidden="1"/>
    </xf>
    <xf numFmtId="0" fontId="1" fillId="0" borderId="47" xfId="0" applyFont="1" applyBorder="1" applyAlignment="1" applyProtection="1">
      <alignment horizontal="left"/>
      <protection hidden="1"/>
    </xf>
    <xf numFmtId="0" fontId="1" fillId="0" borderId="33" xfId="0" applyFont="1" applyBorder="1" applyAlignment="1" applyProtection="1">
      <alignment horizontal="left"/>
      <protection hidden="1"/>
    </xf>
    <xf numFmtId="0" fontId="1" fillId="0" borderId="19" xfId="0" applyFont="1" applyBorder="1" applyAlignment="1" applyProtection="1">
      <alignment horizontal="left"/>
      <protection hidden="1"/>
    </xf>
    <xf numFmtId="0" fontId="1" fillId="0" borderId="44" xfId="0" applyFont="1" applyBorder="1" applyAlignment="1" applyProtection="1">
      <alignment horizontal="left"/>
      <protection hidden="1"/>
    </xf>
    <xf numFmtId="0" fontId="1" fillId="0" borderId="41" xfId="0" applyFont="1" applyBorder="1" applyAlignment="1" applyProtection="1">
      <alignment horizontal="left"/>
      <protection hidden="1"/>
    </xf>
    <xf numFmtId="0" fontId="1" fillId="0" borderId="42" xfId="0" applyFont="1" applyBorder="1" applyAlignment="1" applyProtection="1">
      <alignment horizontal="left"/>
      <protection hidden="1"/>
    </xf>
    <xf numFmtId="0" fontId="1" fillId="0" borderId="43" xfId="0" applyFont="1" applyBorder="1" applyAlignment="1" applyProtection="1">
      <alignment horizontal="left"/>
      <protection hidden="1"/>
    </xf>
    <xf numFmtId="0" fontId="9" fillId="6" borderId="26" xfId="0" applyFont="1" applyFill="1" applyBorder="1" applyAlignment="1" applyProtection="1">
      <alignment horizontal="center"/>
      <protection locked="0" hidden="1"/>
    </xf>
    <xf numFmtId="0" fontId="10" fillId="6" borderId="15" xfId="0" applyFont="1" applyFill="1" applyBorder="1" applyAlignment="1" applyProtection="1">
      <alignment horizontal="center"/>
      <protection locked="0" hidden="1"/>
    </xf>
  </cellXfs>
  <cellStyles count="2">
    <cellStyle name="Обычный" xfId="0" builtinId="0"/>
    <cellStyle name="Обычный_СПЛ" xfId="1"/>
  </cellStyles>
  <dxfs count="0"/>
  <tableStyles count="0" defaultTableStyle="TableStyleMedium9" defaultPivotStyle="PivotStyleLight16"/>
  <colors>
    <mruColors>
      <color rgb="FFFFCC00"/>
      <color rgb="FFFF9900"/>
      <color rgb="FFCCCC00"/>
      <color rgb="FFFF33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G18:I18"/>
  <sheetViews>
    <sheetView workbookViewId="0">
      <selection activeCell="G18" sqref="G18:I18"/>
    </sheetView>
  </sheetViews>
  <sheetFormatPr defaultRowHeight="15"/>
  <sheetData>
    <row r="18" spans="7:9">
      <c r="G18" s="1"/>
      <c r="H18" s="1"/>
      <c r="I18" s="1"/>
    </row>
  </sheetData>
  <mergeCells count="1">
    <mergeCell ref="G18:I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6"/>
  <sheetViews>
    <sheetView workbookViewId="0">
      <selection activeCell="R11" sqref="R11"/>
    </sheetView>
  </sheetViews>
  <sheetFormatPr defaultRowHeight="15"/>
  <cols>
    <col min="2" max="2" width="8" customWidth="1"/>
    <col min="3" max="3" width="9.5703125" customWidth="1"/>
    <col min="4" max="4" width="8.140625" customWidth="1"/>
    <col min="5" max="5" width="7.28515625" customWidth="1"/>
    <col min="6" max="6" width="6" customWidth="1"/>
    <col min="7" max="7" width="6.5703125" customWidth="1"/>
    <col min="8" max="8" width="6.140625" customWidth="1"/>
    <col min="9" max="9" width="2.42578125" customWidth="1"/>
    <col min="10" max="10" width="15.28515625" customWidth="1"/>
    <col min="11" max="11" width="14.5703125" customWidth="1"/>
    <col min="12" max="12" width="13" customWidth="1"/>
    <col min="13" max="13" width="9.140625" customWidth="1"/>
    <col min="19" max="19" width="13.28515625" customWidth="1"/>
    <col min="20" max="20" width="11.140625" customWidth="1"/>
    <col min="21" max="21" width="15.28515625" customWidth="1"/>
    <col min="30" max="30" width="10.28515625" customWidth="1"/>
    <col min="31" max="31" width="9.5703125" bestFit="1" customWidth="1"/>
  </cols>
  <sheetData>
    <row r="1" spans="1:38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 t="s">
        <v>65</v>
      </c>
      <c r="AE1" s="3"/>
      <c r="AF1" s="4"/>
      <c r="AG1" s="3" t="s">
        <v>4</v>
      </c>
      <c r="AH1" s="3"/>
      <c r="AI1" s="5"/>
      <c r="AJ1" s="2"/>
      <c r="AK1" s="2"/>
      <c r="AL1" s="2"/>
    </row>
    <row r="2" spans="1:38" ht="26.25">
      <c r="A2" s="6" t="s">
        <v>88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7" t="s">
        <v>66</v>
      </c>
      <c r="AE2" s="8">
        <f>IF(J10="есть",(J7+100)*(K7+97)*0.8*8*1.1/1000000,0)</f>
        <v>7.2941440000000011</v>
      </c>
      <c r="AF2" s="4"/>
      <c r="AG2" s="7" t="s">
        <v>68</v>
      </c>
      <c r="AH2" s="8">
        <f>IF(J9="430-ая сталь",(J7+73)*(K7+2)*0.8*8*1.1/1000000,0)</f>
        <v>6.2912678400000006</v>
      </c>
      <c r="AI2" s="5"/>
      <c r="AJ2" s="2"/>
      <c r="AK2" s="2"/>
      <c r="AL2" s="2"/>
    </row>
    <row r="3" spans="1:3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7" t="s">
        <v>67</v>
      </c>
      <c r="AE3" s="8">
        <f>IF(J10="нет",(J7+100)*(K7+100)*0.8*8*1.1/1000000,0)</f>
        <v>0</v>
      </c>
      <c r="AF3" s="4"/>
      <c r="AG3" s="9" t="s">
        <v>49</v>
      </c>
      <c r="AH3" s="10">
        <f>IF(J9="оцинкованная сталь",(J7+73)*(K7+2)*0.8*8*1.1/1000000,0)</f>
        <v>0</v>
      </c>
      <c r="AI3" s="5"/>
      <c r="AJ3" s="2"/>
      <c r="AK3" s="2"/>
      <c r="AL3" s="2"/>
    </row>
    <row r="4" spans="1:38" ht="26.25" customHeight="1">
      <c r="A4" s="11" t="s">
        <v>55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9" t="s">
        <v>69</v>
      </c>
      <c r="AE4" s="10">
        <f>((J7-8)*138*0.8*8*1.1/1000000)*AF4</f>
        <v>2.3161036800000008</v>
      </c>
      <c r="AF4" s="5">
        <v>2</v>
      </c>
      <c r="AG4" s="9" t="s">
        <v>69</v>
      </c>
      <c r="AH4" s="10">
        <f>IF(J8="сплошная",((J7-47)*158*0.8*8*1.1/1000000)*AI4,0)</f>
        <v>2.5650099200000005</v>
      </c>
      <c r="AI4" s="5">
        <v>2</v>
      </c>
      <c r="AJ4" s="2"/>
      <c r="AK4" s="2"/>
      <c r="AL4" s="2"/>
    </row>
    <row r="5" spans="1:38" ht="24" thickBot="1">
      <c r="A5" s="12" t="s">
        <v>56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13" t="s">
        <v>70</v>
      </c>
      <c r="AE5" s="14">
        <v>0.3594</v>
      </c>
      <c r="AF5" s="4"/>
      <c r="AG5" s="15" t="s">
        <v>49</v>
      </c>
      <c r="AH5" s="16">
        <f>IF(J8="сплошная",AH3+AH4,0)</f>
        <v>2.5650099200000005</v>
      </c>
      <c r="AI5" s="7" t="s">
        <v>76</v>
      </c>
      <c r="AJ5" s="17">
        <f>IF(J8="сплошная",AH2,0)</f>
        <v>6.2912678400000006</v>
      </c>
      <c r="AK5" s="2"/>
      <c r="AL5" s="2"/>
    </row>
    <row r="6" spans="1:38" ht="26.25">
      <c r="A6" s="118" t="s">
        <v>63</v>
      </c>
      <c r="B6" s="119"/>
      <c r="C6" s="119"/>
      <c r="D6" s="119"/>
      <c r="E6" s="119"/>
      <c r="F6" s="119"/>
      <c r="G6" s="119"/>
      <c r="H6" s="119"/>
      <c r="I6" s="19"/>
      <c r="J6" s="20" t="s">
        <v>2</v>
      </c>
      <c r="K6" s="20" t="s">
        <v>1</v>
      </c>
      <c r="L6" s="21" t="s"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ht="27" thickBot="1">
      <c r="A7" s="22" t="s">
        <v>3</v>
      </c>
      <c r="B7" s="23"/>
      <c r="C7" s="23"/>
      <c r="D7" s="24"/>
      <c r="E7" s="24"/>
      <c r="F7" s="24"/>
      <c r="G7" s="24"/>
      <c r="H7" s="24"/>
      <c r="I7" s="25"/>
      <c r="J7" s="120">
        <v>1200</v>
      </c>
      <c r="K7" s="120">
        <v>700</v>
      </c>
      <c r="L7" s="121">
        <v>860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3" t="s">
        <v>71</v>
      </c>
      <c r="AE7" s="3"/>
      <c r="AF7" s="2"/>
      <c r="AG7" s="3" t="s">
        <v>72</v>
      </c>
      <c r="AH7" s="3"/>
      <c r="AI7" s="2"/>
      <c r="AJ7" s="2"/>
      <c r="AK7" s="2"/>
      <c r="AL7" s="2"/>
    </row>
    <row r="8" spans="1:38" ht="23.25">
      <c r="A8" s="26" t="s">
        <v>81</v>
      </c>
      <c r="B8" s="27"/>
      <c r="C8" s="28" t="s">
        <v>77</v>
      </c>
      <c r="D8" s="29"/>
      <c r="E8" s="30" t="s">
        <v>4</v>
      </c>
      <c r="F8" s="18"/>
      <c r="G8" s="18"/>
      <c r="H8" s="18"/>
      <c r="I8" s="31" t="s">
        <v>54</v>
      </c>
      <c r="J8" s="32" t="str">
        <f>IF(A6="СП с решётчатой полкой","решётчатая",IF(A6="СПБ с решётчатой полкой","решётчатая",IF(A6="СПН с решётчатой полкой","решётчатая",IF(A6="СПБН с решётчатой полкой","решётчатая","сплошная"))))</f>
        <v>сплошная</v>
      </c>
      <c r="K8" s="18"/>
      <c r="L8" s="33"/>
      <c r="M8" s="2"/>
      <c r="N8" s="2"/>
      <c r="O8" s="2"/>
      <c r="P8" s="29"/>
      <c r="Q8" s="29"/>
      <c r="R8" s="29"/>
      <c r="S8" s="29"/>
      <c r="T8" s="2"/>
      <c r="U8" s="2"/>
      <c r="V8" s="2"/>
      <c r="W8" s="2"/>
      <c r="X8" s="2"/>
      <c r="Y8" s="2"/>
      <c r="Z8" s="2"/>
      <c r="AA8" s="2"/>
      <c r="AB8" s="2"/>
      <c r="AC8" s="2"/>
      <c r="AD8" s="7" t="s">
        <v>51</v>
      </c>
      <c r="AE8" s="8">
        <f>IF(J9="430-ая сталь",((K7-48)*62*0.8*8*1.1/1000000)*AF8,0)</f>
        <v>1.70750976</v>
      </c>
      <c r="AF8" s="5">
        <f>IF(J7&lt;=600,2,IF(J7&lt;=950,4,IF(J7&lt;=1150,5,IF(J7&lt;=1500,6,7))))</f>
        <v>6</v>
      </c>
      <c r="AG8" s="9" t="s">
        <v>51</v>
      </c>
      <c r="AH8" s="10">
        <f>IF(J9="оцинкованная сталь",((K7-48)*62*0.8*8*1.1/1000000)*AI8,0)</f>
        <v>0</v>
      </c>
      <c r="AI8" s="5">
        <f>IF(J7&lt;=600,2,IF(J7&lt;=950,4,IF(J7&lt;=1150,5,IF(J7&lt;=1500,6,7))))</f>
        <v>6</v>
      </c>
      <c r="AJ8" s="2"/>
      <c r="AK8" s="2"/>
      <c r="AL8" s="2"/>
    </row>
    <row r="9" spans="1:38" ht="23.25">
      <c r="A9" s="34" t="s">
        <v>4</v>
      </c>
      <c r="B9" s="35"/>
      <c r="C9" s="36" t="s">
        <v>77</v>
      </c>
      <c r="D9" s="29"/>
      <c r="E9" s="37" t="s">
        <v>52</v>
      </c>
      <c r="F9" s="38"/>
      <c r="G9" s="38"/>
      <c r="H9" s="38"/>
      <c r="I9" s="39" t="s">
        <v>54</v>
      </c>
      <c r="J9" s="40" t="str">
        <f>IF(A6="СП с решётчатой полкой","оцинкованная сталь",IF(A6="СПБ с решётчатой полкой","оцинкованная сталь",IF(A6="СП со сплошной полкой","оцинкованная сталь",IF(A6="СПБ со сплошной полкой","оцинкованная сталь","430-ая сталь"))))</f>
        <v>430-ая сталь</v>
      </c>
      <c r="K9" s="38"/>
      <c r="L9" s="41"/>
      <c r="M9" s="2"/>
      <c r="N9" s="2"/>
      <c r="O9" s="2"/>
      <c r="P9" s="29"/>
      <c r="Q9" s="29"/>
      <c r="R9" s="29"/>
      <c r="S9" s="29"/>
      <c r="T9" s="42"/>
      <c r="U9" s="2"/>
      <c r="V9" s="2"/>
      <c r="W9" s="2"/>
      <c r="X9" s="2"/>
      <c r="Y9" s="2"/>
      <c r="Z9" s="2"/>
      <c r="AA9" s="2"/>
      <c r="AB9" s="2"/>
      <c r="AC9" s="2"/>
      <c r="AD9" s="7" t="s">
        <v>73</v>
      </c>
      <c r="AE9" s="8">
        <f>IF(J9="430-ая сталь",((J7-30)*141*0.8*8*1.1/1000000)*AF9,0)</f>
        <v>2.3227776000000002</v>
      </c>
      <c r="AF9" s="5">
        <v>2</v>
      </c>
      <c r="AG9" s="9" t="s">
        <v>73</v>
      </c>
      <c r="AH9" s="10">
        <f>IF(J9="оцинкованная сталь",((J7-30)*141*0.8*8*1.1/1000000)*AI9,0)</f>
        <v>0</v>
      </c>
      <c r="AI9" s="5">
        <v>2</v>
      </c>
      <c r="AJ9" s="2"/>
      <c r="AK9" s="2"/>
      <c r="AL9" s="2"/>
    </row>
    <row r="10" spans="1:38" ht="23.25">
      <c r="A10" s="34" t="s">
        <v>75</v>
      </c>
      <c r="B10" s="35"/>
      <c r="C10" s="36" t="s">
        <v>78</v>
      </c>
      <c r="D10" s="29"/>
      <c r="E10" s="37" t="s">
        <v>53</v>
      </c>
      <c r="F10" s="38"/>
      <c r="G10" s="38"/>
      <c r="H10" s="38"/>
      <c r="I10" s="39" t="s">
        <v>54</v>
      </c>
      <c r="J10" s="40" t="str">
        <f>IF(A6="СП с решётчатой полкой","нет",IF(A6="СП со сплошной полкой","нет",IF(A6="СПН с решётчатой полкой","нет",IF(A6="СПН со сплошной полкой","нет","есть"))))</f>
        <v>есть</v>
      </c>
      <c r="K10" s="38"/>
      <c r="L10" s="41"/>
      <c r="M10" s="2"/>
      <c r="N10" s="2"/>
      <c r="O10" s="2"/>
      <c r="P10" s="29"/>
      <c r="Q10" s="29"/>
      <c r="R10" s="29"/>
      <c r="S10" s="29"/>
      <c r="T10" s="2"/>
      <c r="U10" s="2"/>
      <c r="V10" s="2"/>
      <c r="W10" s="2"/>
      <c r="X10" s="2"/>
      <c r="Y10" s="2"/>
      <c r="Z10" s="2"/>
      <c r="AA10" s="2"/>
      <c r="AB10" s="2"/>
      <c r="AC10" s="2"/>
      <c r="AD10" s="7" t="s">
        <v>74</v>
      </c>
      <c r="AE10" s="8">
        <f>IF(J9="430-ая сталь",((K7-48)*97*0.8*8*1.1/1000000)*AF10,0)</f>
        <v>0.89047552000000019</v>
      </c>
      <c r="AF10" s="5">
        <v>2</v>
      </c>
      <c r="AG10" s="9" t="s">
        <v>74</v>
      </c>
      <c r="AH10" s="10">
        <f>IF(J9="оцинкованная сталь",((K7-48)*97*0.8*8*1.1/1000000)*AI10,0)</f>
        <v>0</v>
      </c>
      <c r="AI10" s="5">
        <v>2</v>
      </c>
      <c r="AJ10" s="2"/>
      <c r="AK10" s="2"/>
      <c r="AL10" s="2"/>
    </row>
    <row r="11" spans="1:38" ht="24" thickBot="1">
      <c r="A11" s="43" t="s">
        <v>50</v>
      </c>
      <c r="B11" s="44"/>
      <c r="C11" s="45" t="s">
        <v>77</v>
      </c>
      <c r="D11" s="29"/>
      <c r="E11" s="46" t="s">
        <v>48</v>
      </c>
      <c r="F11" s="24"/>
      <c r="G11" s="24"/>
      <c r="H11" s="24"/>
      <c r="I11" s="47" t="s">
        <v>54</v>
      </c>
      <c r="J11" s="48" t="str">
        <f>IF(A6="СП с решётчатой полкой","оцинкованная сталь",IF(A6="СПБ с решётчатой полкой","оцинкованная сталь",IF(A6="СП со сплошной полкой","оцинкованная сталь",IF(A6="СПБ со сплошной полкой","оцинкованная сталь","430-ая сталь"))))</f>
        <v>430-ая сталь</v>
      </c>
      <c r="K11" s="24"/>
      <c r="L11" s="25"/>
      <c r="M11" s="2"/>
      <c r="N11" s="2"/>
      <c r="O11" s="2"/>
      <c r="P11" s="29"/>
      <c r="Q11" s="29"/>
      <c r="R11" s="29"/>
      <c r="S11" s="29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17">
        <f>IF(J8="сплошная",0,AE8+AE9+AE10)</f>
        <v>0</v>
      </c>
      <c r="AF11" s="2"/>
      <c r="AG11" s="2"/>
      <c r="AH11" s="17">
        <f>IF(J8="сплошная",0,AH8+AH9+AH10)</f>
        <v>0</v>
      </c>
      <c r="AI11" s="2"/>
      <c r="AJ11" s="2"/>
      <c r="AK11" s="2"/>
      <c r="AL11" s="2"/>
    </row>
    <row r="12" spans="1:38" ht="15.75" thickBot="1">
      <c r="A12" s="29"/>
      <c r="B12" s="29"/>
      <c r="C12" s="29"/>
      <c r="D12" s="2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9"/>
      <c r="Q12" s="29"/>
      <c r="R12" s="29"/>
      <c r="S12" s="29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 t="s">
        <v>75</v>
      </c>
      <c r="AE12" s="3"/>
      <c r="AF12" s="2"/>
      <c r="AG12" s="2"/>
      <c r="AH12" s="2"/>
      <c r="AI12" s="2"/>
      <c r="AJ12" s="2"/>
      <c r="AK12" s="2"/>
      <c r="AL12" s="2"/>
    </row>
    <row r="13" spans="1:38" ht="21.75" thickBot="1">
      <c r="A13" s="49" t="s">
        <v>18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1"/>
      <c r="M13" s="2"/>
      <c r="N13" s="2"/>
      <c r="O13" s="2"/>
      <c r="P13" s="52"/>
      <c r="Q13" s="29"/>
      <c r="R13" s="29"/>
      <c r="S13" s="29"/>
      <c r="T13" s="2"/>
      <c r="U13" s="2"/>
      <c r="V13" s="2"/>
      <c r="W13" s="2"/>
      <c r="X13" s="2"/>
      <c r="Y13" s="2"/>
      <c r="Z13" s="2"/>
      <c r="AA13" s="2"/>
      <c r="AB13" s="2"/>
      <c r="AC13" s="2"/>
      <c r="AD13" s="7" t="s">
        <v>76</v>
      </c>
      <c r="AE13" s="8">
        <f>IF(J11="430-ая сталь",(L7-35)*328*1.2*8*1.1/1000000,0)</f>
        <v>2.8575360000000001</v>
      </c>
      <c r="AF13" s="2"/>
      <c r="AG13" s="2"/>
      <c r="AH13" s="2"/>
      <c r="AI13" s="2"/>
      <c r="AJ13" s="2"/>
      <c r="AK13" s="2"/>
      <c r="AL13" s="2"/>
    </row>
    <row r="14" spans="1:38" ht="21">
      <c r="A14" s="53" t="s">
        <v>5</v>
      </c>
      <c r="B14" s="54" t="s">
        <v>16</v>
      </c>
      <c r="C14" s="54"/>
      <c r="D14" s="54"/>
      <c r="E14" s="54"/>
      <c r="F14" s="54"/>
      <c r="G14" s="54"/>
      <c r="H14" s="54"/>
      <c r="I14" s="54"/>
      <c r="J14" s="55" t="s">
        <v>7</v>
      </c>
      <c r="K14" s="56" t="s">
        <v>8</v>
      </c>
      <c r="L14" s="57"/>
      <c r="M14" s="2"/>
      <c r="N14" s="2"/>
      <c r="O14" s="2"/>
      <c r="P14" s="29"/>
      <c r="Q14" s="29"/>
      <c r="R14" s="29"/>
      <c r="S14" s="29"/>
      <c r="T14" s="2"/>
      <c r="U14" s="2"/>
      <c r="V14" s="2"/>
      <c r="W14" s="2"/>
      <c r="X14" s="2"/>
      <c r="Y14" s="2"/>
      <c r="Z14" s="2"/>
      <c r="AA14" s="2"/>
      <c r="AB14" s="2"/>
      <c r="AC14" s="2"/>
      <c r="AD14" s="9" t="s">
        <v>49</v>
      </c>
      <c r="AE14" s="10">
        <f>IF(J11="оцинкованная сталь",(L7-35)*328*1.2*8*1.1/1000000,0)</f>
        <v>0</v>
      </c>
      <c r="AF14" s="2"/>
      <c r="AG14" s="2"/>
      <c r="AH14" s="2"/>
      <c r="AI14" s="2"/>
      <c r="AJ14" s="2"/>
      <c r="AK14" s="2"/>
      <c r="AL14" s="2"/>
    </row>
    <row r="15" spans="1:38" ht="21.75" thickBot="1">
      <c r="A15" s="58" t="s">
        <v>9</v>
      </c>
      <c r="B15" s="59" t="s">
        <v>10</v>
      </c>
      <c r="C15" s="59"/>
      <c r="D15" s="59"/>
      <c r="E15" s="59"/>
      <c r="F15" s="59"/>
      <c r="G15" s="59"/>
      <c r="H15" s="59"/>
      <c r="I15" s="59"/>
      <c r="J15" s="60" t="s">
        <v>11</v>
      </c>
      <c r="K15" s="61" t="s">
        <v>17</v>
      </c>
      <c r="L15" s="62"/>
      <c r="M15" s="2"/>
      <c r="N15" s="2"/>
      <c r="O15" s="2"/>
      <c r="P15" s="29"/>
      <c r="Q15" s="29"/>
      <c r="R15" s="29"/>
      <c r="S15" s="29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21">
      <c r="A16" s="63">
        <v>1</v>
      </c>
      <c r="B16" s="64" t="s">
        <v>43</v>
      </c>
      <c r="C16" s="65"/>
      <c r="D16" s="65"/>
      <c r="E16" s="65"/>
      <c r="F16" s="65"/>
      <c r="G16" s="65"/>
      <c r="H16" s="65"/>
      <c r="I16" s="66"/>
      <c r="J16" s="67" t="s">
        <v>19</v>
      </c>
      <c r="K16" s="68">
        <f>AE2+AE3+AJ5+AE11</f>
        <v>13.585411840000003</v>
      </c>
      <c r="L16" s="69">
        <f>K16+K17</f>
        <v>16.802347840000003</v>
      </c>
      <c r="M16" s="2"/>
      <c r="N16" s="2"/>
      <c r="O16" s="2"/>
      <c r="P16" s="29"/>
      <c r="Q16" s="29"/>
      <c r="R16" s="29"/>
      <c r="S16" s="29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21.75" thickBot="1">
      <c r="A17" s="70">
        <v>3</v>
      </c>
      <c r="B17" s="71" t="s">
        <v>44</v>
      </c>
      <c r="C17" s="72"/>
      <c r="D17" s="72"/>
      <c r="E17" s="72"/>
      <c r="F17" s="72"/>
      <c r="G17" s="72"/>
      <c r="H17" s="72"/>
      <c r="I17" s="73"/>
      <c r="J17" s="74" t="s">
        <v>19</v>
      </c>
      <c r="K17" s="75">
        <f>AE5+AE13</f>
        <v>3.216936</v>
      </c>
      <c r="L17" s="76"/>
      <c r="M17" s="2"/>
      <c r="N17" s="2"/>
      <c r="O17" s="2"/>
      <c r="P17" s="29"/>
      <c r="Q17" s="29"/>
      <c r="R17" s="29"/>
      <c r="S17" s="29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21">
      <c r="A18" s="63">
        <v>4</v>
      </c>
      <c r="B18" s="64" t="s">
        <v>46</v>
      </c>
      <c r="C18" s="65"/>
      <c r="D18" s="65"/>
      <c r="E18" s="65"/>
      <c r="F18" s="65"/>
      <c r="G18" s="65"/>
      <c r="H18" s="65"/>
      <c r="I18" s="66"/>
      <c r="J18" s="67" t="s">
        <v>19</v>
      </c>
      <c r="K18" s="68">
        <f>AE4+AH5+AH11</f>
        <v>4.8811136000000008</v>
      </c>
      <c r="L18" s="69">
        <f>K18+K19</f>
        <v>4.8811136000000008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77">
        <f>SUM(J33:J41)</f>
        <v>1.81</v>
      </c>
      <c r="AE18" s="78">
        <f>AD18</f>
        <v>1.81</v>
      </c>
      <c r="AF18" s="2">
        <v>600</v>
      </c>
      <c r="AG18" s="2"/>
      <c r="AH18" s="2"/>
      <c r="AI18" s="2"/>
      <c r="AJ18" s="2"/>
      <c r="AK18" s="2"/>
      <c r="AL18" s="2"/>
    </row>
    <row r="19" spans="1:38" ht="21.75" thickBot="1">
      <c r="A19" s="70">
        <v>6</v>
      </c>
      <c r="B19" s="71" t="s">
        <v>45</v>
      </c>
      <c r="C19" s="72"/>
      <c r="D19" s="72"/>
      <c r="E19" s="72"/>
      <c r="F19" s="72"/>
      <c r="G19" s="72"/>
      <c r="H19" s="72"/>
      <c r="I19" s="73"/>
      <c r="J19" s="74" t="s">
        <v>19</v>
      </c>
      <c r="K19" s="75">
        <f>AE14</f>
        <v>0</v>
      </c>
      <c r="L19" s="7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>
        <f>AE18*1.01</f>
        <v>1.8281000000000001</v>
      </c>
      <c r="AF19" s="2">
        <v>950</v>
      </c>
      <c r="AG19" s="2"/>
      <c r="AH19" s="2"/>
      <c r="AI19" s="2"/>
      <c r="AJ19" s="2"/>
      <c r="AK19" s="2"/>
      <c r="AL19" s="2"/>
    </row>
    <row r="20" spans="1:38" ht="21">
      <c r="A20" s="79">
        <v>7</v>
      </c>
      <c r="B20" s="80" t="s">
        <v>20</v>
      </c>
      <c r="C20" s="81"/>
      <c r="D20" s="81"/>
      <c r="E20" s="81"/>
      <c r="F20" s="81"/>
      <c r="G20" s="81"/>
      <c r="H20" s="81"/>
      <c r="I20" s="82"/>
      <c r="J20" s="83" t="s">
        <v>19</v>
      </c>
      <c r="K20" s="84">
        <f>K22*0.12</f>
        <v>1.9199999999999998E-2</v>
      </c>
      <c r="L20" s="8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>
        <f>AE19*1.01</f>
        <v>1.846381</v>
      </c>
      <c r="AF20" s="2">
        <v>1150</v>
      </c>
      <c r="AG20" s="2"/>
      <c r="AH20" s="2"/>
      <c r="AI20" s="2"/>
      <c r="AJ20" s="2"/>
      <c r="AK20" s="2"/>
      <c r="AL20" s="2"/>
    </row>
    <row r="21" spans="1:38" ht="21">
      <c r="A21" s="86">
        <v>8</v>
      </c>
      <c r="B21" s="87" t="s">
        <v>21</v>
      </c>
      <c r="C21" s="88"/>
      <c r="D21" s="88"/>
      <c r="E21" s="88"/>
      <c r="F21" s="88"/>
      <c r="G21" s="88"/>
      <c r="H21" s="88"/>
      <c r="I21" s="89"/>
      <c r="J21" s="90" t="s">
        <v>23</v>
      </c>
      <c r="K21" s="91">
        <f>K22*170/0.25</f>
        <v>108.8</v>
      </c>
      <c r="L21" s="9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>
        <f>AE20*1.01</f>
        <v>1.8648448100000001</v>
      </c>
      <c r="AF21" s="2">
        <v>1500</v>
      </c>
      <c r="AG21" s="2"/>
      <c r="AH21" s="2"/>
      <c r="AI21" s="2"/>
      <c r="AJ21" s="2"/>
      <c r="AK21" s="2"/>
      <c r="AL21" s="2"/>
    </row>
    <row r="22" spans="1:38" ht="21">
      <c r="A22" s="86">
        <v>9</v>
      </c>
      <c r="B22" s="87" t="s">
        <v>22</v>
      </c>
      <c r="C22" s="88"/>
      <c r="D22" s="88"/>
      <c r="E22" s="88"/>
      <c r="F22" s="88"/>
      <c r="G22" s="88"/>
      <c r="H22" s="88"/>
      <c r="I22" s="89"/>
      <c r="J22" s="90" t="s">
        <v>24</v>
      </c>
      <c r="K22" s="91">
        <f>IF(J11=1,0.12,0.16)</f>
        <v>0.16</v>
      </c>
      <c r="L22" s="9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>
        <f>AE21*1.01</f>
        <v>1.8834932581000001</v>
      </c>
      <c r="AF22" s="2">
        <v>1800</v>
      </c>
      <c r="AG22" s="2"/>
      <c r="AH22" s="2"/>
      <c r="AI22" s="2"/>
      <c r="AJ22" s="2"/>
      <c r="AK22" s="2"/>
      <c r="AL22" s="2"/>
    </row>
    <row r="23" spans="1:38" ht="21">
      <c r="A23" s="86">
        <v>10</v>
      </c>
      <c r="B23" s="87" t="s">
        <v>25</v>
      </c>
      <c r="C23" s="88"/>
      <c r="D23" s="88"/>
      <c r="E23" s="88"/>
      <c r="F23" s="88"/>
      <c r="G23" s="88"/>
      <c r="H23" s="88"/>
      <c r="I23" s="89"/>
      <c r="J23" s="90" t="s">
        <v>12</v>
      </c>
      <c r="K23" s="91">
        <v>24</v>
      </c>
      <c r="L23" s="9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>
        <f>AE22*1.01</f>
        <v>1.9023281906810001</v>
      </c>
      <c r="AF23" s="2">
        <v>2100</v>
      </c>
      <c r="AG23" s="2"/>
      <c r="AH23" s="2"/>
      <c r="AI23" s="2"/>
      <c r="AJ23" s="2"/>
      <c r="AK23" s="2"/>
      <c r="AL23" s="2"/>
    </row>
    <row r="24" spans="1:38" ht="21">
      <c r="A24" s="86">
        <v>11</v>
      </c>
      <c r="B24" s="87" t="s">
        <v>13</v>
      </c>
      <c r="C24" s="88"/>
      <c r="D24" s="88"/>
      <c r="E24" s="88"/>
      <c r="F24" s="88"/>
      <c r="G24" s="88"/>
      <c r="H24" s="88"/>
      <c r="I24" s="89"/>
      <c r="J24" s="90" t="s">
        <v>12</v>
      </c>
      <c r="K24" s="91">
        <v>24</v>
      </c>
      <c r="L24" s="9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ht="21">
      <c r="A25" s="86">
        <v>12</v>
      </c>
      <c r="B25" s="87" t="s">
        <v>14</v>
      </c>
      <c r="C25" s="88"/>
      <c r="D25" s="88"/>
      <c r="E25" s="88"/>
      <c r="F25" s="88"/>
      <c r="G25" s="88"/>
      <c r="H25" s="88"/>
      <c r="I25" s="89"/>
      <c r="J25" s="90" t="s">
        <v>12</v>
      </c>
      <c r="K25" s="91">
        <v>24</v>
      </c>
      <c r="L25" s="9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ht="21">
      <c r="A26" s="86">
        <v>13</v>
      </c>
      <c r="B26" s="87" t="s">
        <v>15</v>
      </c>
      <c r="C26" s="88"/>
      <c r="D26" s="88"/>
      <c r="E26" s="88"/>
      <c r="F26" s="88"/>
      <c r="G26" s="88"/>
      <c r="H26" s="88"/>
      <c r="I26" s="89"/>
      <c r="J26" s="90" t="s">
        <v>12</v>
      </c>
      <c r="K26" s="91">
        <v>4</v>
      </c>
      <c r="L26" s="9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ht="21">
      <c r="A27" s="86">
        <v>14</v>
      </c>
      <c r="B27" s="87" t="s">
        <v>26</v>
      </c>
      <c r="C27" s="88"/>
      <c r="D27" s="88"/>
      <c r="E27" s="88"/>
      <c r="F27" s="88"/>
      <c r="G27" s="88"/>
      <c r="H27" s="88"/>
      <c r="I27" s="89"/>
      <c r="J27" s="90" t="s">
        <v>12</v>
      </c>
      <c r="K27" s="91">
        <f>IF(J8="решётчатая",0,4)</f>
        <v>4</v>
      </c>
      <c r="L27" s="9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ht="21.75" thickBot="1">
      <c r="A28" s="70">
        <v>15</v>
      </c>
      <c r="B28" s="71" t="s">
        <v>27</v>
      </c>
      <c r="C28" s="72"/>
      <c r="D28" s="72"/>
      <c r="E28" s="72"/>
      <c r="F28" s="72"/>
      <c r="G28" s="72"/>
      <c r="H28" s="72"/>
      <c r="I28" s="73"/>
      <c r="J28" s="74" t="s">
        <v>24</v>
      </c>
      <c r="K28" s="75">
        <f>J7/50</f>
        <v>24</v>
      </c>
      <c r="L28" s="85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ht="24" thickBot="1">
      <c r="A29" s="2"/>
      <c r="B29" s="93"/>
      <c r="C29" s="93"/>
      <c r="D29" s="93"/>
      <c r="E29" s="93"/>
      <c r="F29" s="9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ht="21.75" thickBot="1">
      <c r="A30" s="49" t="s">
        <v>28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94" t="s">
        <v>57</v>
      </c>
      <c r="AE30" s="94"/>
      <c r="AF30" s="94"/>
      <c r="AG30" s="94"/>
      <c r="AH30" s="94"/>
      <c r="AI30" s="94"/>
      <c r="AJ30" s="94"/>
      <c r="AK30" s="94"/>
      <c r="AL30" s="2"/>
    </row>
    <row r="31" spans="1:38" ht="21">
      <c r="A31" s="95" t="s">
        <v>5</v>
      </c>
      <c r="B31" s="96" t="s">
        <v>6</v>
      </c>
      <c r="C31" s="97"/>
      <c r="D31" s="97"/>
      <c r="E31" s="97"/>
      <c r="F31" s="97"/>
      <c r="G31" s="97"/>
      <c r="H31" s="97"/>
      <c r="I31" s="98"/>
      <c r="J31" s="53" t="s">
        <v>29</v>
      </c>
      <c r="K31" s="56" t="s">
        <v>35</v>
      </c>
      <c r="L31" s="57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94" t="s">
        <v>58</v>
      </c>
      <c r="AE31" s="94"/>
      <c r="AF31" s="94"/>
      <c r="AG31" s="94"/>
      <c r="AH31" s="94"/>
      <c r="AI31" s="94"/>
      <c r="AJ31" s="94"/>
      <c r="AK31" s="94"/>
      <c r="AL31" s="2"/>
    </row>
    <row r="32" spans="1:38" ht="21.75" thickBot="1">
      <c r="A32" s="99" t="s">
        <v>9</v>
      </c>
      <c r="B32" s="100" t="s">
        <v>33</v>
      </c>
      <c r="C32" s="101"/>
      <c r="D32" s="101"/>
      <c r="E32" s="101"/>
      <c r="F32" s="101"/>
      <c r="G32" s="101"/>
      <c r="H32" s="101"/>
      <c r="I32" s="102"/>
      <c r="J32" s="103" t="s">
        <v>34</v>
      </c>
      <c r="K32" s="61" t="s">
        <v>30</v>
      </c>
      <c r="L32" s="6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94" t="s">
        <v>59</v>
      </c>
      <c r="AE32" s="94"/>
      <c r="AF32" s="94"/>
      <c r="AG32" s="94"/>
      <c r="AH32" s="94"/>
      <c r="AI32" s="94"/>
      <c r="AJ32" s="94"/>
      <c r="AK32" s="94"/>
      <c r="AL32" s="2"/>
    </row>
    <row r="33" spans="1:38" ht="21">
      <c r="A33" s="83">
        <v>1</v>
      </c>
      <c r="B33" s="80" t="s">
        <v>36</v>
      </c>
      <c r="C33" s="81"/>
      <c r="D33" s="81"/>
      <c r="E33" s="81"/>
      <c r="F33" s="81"/>
      <c r="G33" s="81"/>
      <c r="H33" s="81"/>
      <c r="I33" s="82"/>
      <c r="J33" s="104">
        <f>IF(J8="сплошная",0.4,0.4+(0.01*AI8))</f>
        <v>0.4</v>
      </c>
      <c r="K33" s="105">
        <v>2</v>
      </c>
      <c r="L33" s="106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94" t="s">
        <v>60</v>
      </c>
      <c r="AE33" s="94"/>
      <c r="AF33" s="94"/>
      <c r="AG33" s="94"/>
      <c r="AH33" s="94"/>
      <c r="AI33" s="94"/>
      <c r="AJ33" s="94"/>
      <c r="AK33" s="94"/>
      <c r="AL33" s="2"/>
    </row>
    <row r="34" spans="1:38" ht="21">
      <c r="A34" s="90">
        <v>2</v>
      </c>
      <c r="B34" s="87" t="s">
        <v>37</v>
      </c>
      <c r="C34" s="88"/>
      <c r="D34" s="88"/>
      <c r="E34" s="88"/>
      <c r="F34" s="88"/>
      <c r="G34" s="88"/>
      <c r="H34" s="88"/>
      <c r="I34" s="89"/>
      <c r="J34" s="107">
        <f>IF(J8="сплошная",0.15,0.1)</f>
        <v>0.15</v>
      </c>
      <c r="K34" s="108">
        <v>1</v>
      </c>
      <c r="L34" s="10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94" t="s">
        <v>61</v>
      </c>
      <c r="AE34" s="94"/>
      <c r="AF34" s="94"/>
      <c r="AG34" s="94"/>
      <c r="AH34" s="94"/>
      <c r="AI34" s="94"/>
      <c r="AJ34" s="94"/>
      <c r="AK34" s="94"/>
      <c r="AL34" s="2"/>
    </row>
    <row r="35" spans="1:38" ht="21">
      <c r="A35" s="90">
        <v>3</v>
      </c>
      <c r="B35" s="87" t="s">
        <v>31</v>
      </c>
      <c r="C35" s="88"/>
      <c r="D35" s="88"/>
      <c r="E35" s="88"/>
      <c r="F35" s="88"/>
      <c r="G35" s="88"/>
      <c r="H35" s="88"/>
      <c r="I35" s="89"/>
      <c r="J35" s="107">
        <f>IF(J9="оцинкованная сталь",0.1,0.16)</f>
        <v>0.16</v>
      </c>
      <c r="K35" s="108">
        <v>1</v>
      </c>
      <c r="L35" s="109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94" t="s">
        <v>64</v>
      </c>
      <c r="AE35" s="94"/>
      <c r="AF35" s="94"/>
      <c r="AG35" s="94"/>
      <c r="AH35" s="94"/>
      <c r="AI35" s="94"/>
      <c r="AJ35" s="94"/>
      <c r="AK35" s="94"/>
      <c r="AL35" s="2"/>
    </row>
    <row r="36" spans="1:38" ht="21">
      <c r="A36" s="90">
        <v>4</v>
      </c>
      <c r="B36" s="87" t="s">
        <v>32</v>
      </c>
      <c r="C36" s="88"/>
      <c r="D36" s="88"/>
      <c r="E36" s="88"/>
      <c r="F36" s="88"/>
      <c r="G36" s="88"/>
      <c r="H36" s="88"/>
      <c r="I36" s="89"/>
      <c r="J36" s="104">
        <f>IF(J8="сплошная",0.4,0.45+(0.01*AI8))</f>
        <v>0.4</v>
      </c>
      <c r="K36" s="108">
        <v>2</v>
      </c>
      <c r="L36" s="109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94" t="s">
        <v>62</v>
      </c>
      <c r="AE36" s="94"/>
      <c r="AF36" s="94"/>
      <c r="AG36" s="94"/>
      <c r="AH36" s="94"/>
      <c r="AI36" s="94"/>
      <c r="AJ36" s="94"/>
      <c r="AK36" s="94"/>
      <c r="AL36" s="2"/>
    </row>
    <row r="37" spans="1:38" ht="21">
      <c r="A37" s="90">
        <v>5</v>
      </c>
      <c r="B37" s="87" t="s">
        <v>38</v>
      </c>
      <c r="C37" s="88"/>
      <c r="D37" s="88"/>
      <c r="E37" s="88"/>
      <c r="F37" s="88"/>
      <c r="G37" s="88"/>
      <c r="H37" s="88"/>
      <c r="I37" s="89"/>
      <c r="J37" s="107">
        <v>0.2</v>
      </c>
      <c r="K37" s="108">
        <v>2</v>
      </c>
      <c r="L37" s="10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94" t="s">
        <v>63</v>
      </c>
      <c r="AE37" s="94"/>
      <c r="AF37" s="94"/>
      <c r="AG37" s="94"/>
      <c r="AH37" s="94"/>
      <c r="AI37" s="94"/>
      <c r="AJ37" s="94"/>
      <c r="AK37" s="94"/>
      <c r="AL37" s="2"/>
    </row>
    <row r="38" spans="1:38" ht="21">
      <c r="A38" s="90">
        <v>6</v>
      </c>
      <c r="B38" s="87" t="s">
        <v>39</v>
      </c>
      <c r="C38" s="88"/>
      <c r="D38" s="88"/>
      <c r="E38" s="88"/>
      <c r="F38" s="88"/>
      <c r="G38" s="88"/>
      <c r="H38" s="88"/>
      <c r="I38" s="89"/>
      <c r="J38" s="107">
        <v>0.1</v>
      </c>
      <c r="K38" s="108">
        <v>1</v>
      </c>
      <c r="L38" s="109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ht="21">
      <c r="A39" s="90">
        <v>7</v>
      </c>
      <c r="B39" s="87" t="s">
        <v>41</v>
      </c>
      <c r="C39" s="88"/>
      <c r="D39" s="88"/>
      <c r="E39" s="88"/>
      <c r="F39" s="88"/>
      <c r="G39" s="88"/>
      <c r="H39" s="88"/>
      <c r="I39" s="89"/>
      <c r="J39" s="107">
        <v>0.15</v>
      </c>
      <c r="K39" s="108">
        <v>1</v>
      </c>
      <c r="L39" s="109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21">
      <c r="A40" s="90">
        <v>8</v>
      </c>
      <c r="B40" s="87" t="s">
        <v>40</v>
      </c>
      <c r="C40" s="88"/>
      <c r="D40" s="88"/>
      <c r="E40" s="88"/>
      <c r="F40" s="88"/>
      <c r="G40" s="88"/>
      <c r="H40" s="88"/>
      <c r="I40" s="89"/>
      <c r="J40" s="90">
        <v>0.15</v>
      </c>
      <c r="K40" s="108">
        <v>1</v>
      </c>
      <c r="L40" s="109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ht="21.75" thickBot="1">
      <c r="A41" s="74">
        <v>9</v>
      </c>
      <c r="B41" s="71" t="s">
        <v>42</v>
      </c>
      <c r="C41" s="72"/>
      <c r="D41" s="72"/>
      <c r="E41" s="72"/>
      <c r="F41" s="72"/>
      <c r="G41" s="72"/>
      <c r="H41" s="72"/>
      <c r="I41" s="73"/>
      <c r="J41" s="110">
        <v>0.1</v>
      </c>
      <c r="K41" s="111">
        <v>1</v>
      </c>
      <c r="L41" s="11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ht="21.75" thickBot="1">
      <c r="A42" s="113"/>
      <c r="B42" s="114"/>
      <c r="C42" s="114"/>
      <c r="D42" s="114"/>
      <c r="E42" s="114"/>
      <c r="F42" s="114"/>
      <c r="G42" s="114"/>
      <c r="H42" s="114"/>
      <c r="I42" s="115" t="s">
        <v>47</v>
      </c>
      <c r="J42" s="116">
        <f>IF(J7&lt;=600,AE18,IF(J7&lt;=950,AE19,IF(J7&lt;=1150,AE20,IF(J7&lt;=1500,AE21,IF(J7&lt;=1800,AE22,IF(J7&lt;=2100,AE23,AE18))))))</f>
        <v>1.8648448100000001</v>
      </c>
      <c r="K42" s="117"/>
      <c r="L42" s="117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ht="21">
      <c r="A45" s="117" t="s">
        <v>79</v>
      </c>
      <c r="B45" s="117"/>
      <c r="C45" s="117"/>
      <c r="D45" s="117" t="s">
        <v>80</v>
      </c>
      <c r="E45" s="117"/>
      <c r="F45" s="117"/>
      <c r="G45" s="117"/>
      <c r="H45" s="117"/>
      <c r="I45" s="117"/>
      <c r="J45" s="117"/>
      <c r="K45" s="117" t="s">
        <v>82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</sheetData>
  <sheetProtection password="DF20" sheet="1" objects="1" scenarios="1"/>
  <mergeCells count="73">
    <mergeCell ref="B26:I26"/>
    <mergeCell ref="B27:I27"/>
    <mergeCell ref="AG7:AH7"/>
    <mergeCell ref="B21:I21"/>
    <mergeCell ref="B22:I22"/>
    <mergeCell ref="B23:I23"/>
    <mergeCell ref="A13:L13"/>
    <mergeCell ref="B14:I14"/>
    <mergeCell ref="K14:L14"/>
    <mergeCell ref="B15:I15"/>
    <mergeCell ref="K15:L15"/>
    <mergeCell ref="B16:I16"/>
    <mergeCell ref="L16:L17"/>
    <mergeCell ref="B17:I17"/>
    <mergeCell ref="B18:I18"/>
    <mergeCell ref="L18:L19"/>
    <mergeCell ref="B20:I20"/>
    <mergeCell ref="AD12:AE12"/>
    <mergeCell ref="A2:L2"/>
    <mergeCell ref="AD1:AE1"/>
    <mergeCell ref="AG1:AH1"/>
    <mergeCell ref="A4:L4"/>
    <mergeCell ref="A5:L5"/>
    <mergeCell ref="E8:H8"/>
    <mergeCell ref="E9:H9"/>
    <mergeCell ref="E10:H10"/>
    <mergeCell ref="A7:I7"/>
    <mergeCell ref="A6:H6"/>
    <mergeCell ref="E11:H11"/>
    <mergeCell ref="J8:L8"/>
    <mergeCell ref="J9:L9"/>
    <mergeCell ref="J10:L10"/>
    <mergeCell ref="AD7:AE7"/>
    <mergeCell ref="AD32:AK32"/>
    <mergeCell ref="AD31:AK31"/>
    <mergeCell ref="AD30:AK30"/>
    <mergeCell ref="AD37:AK37"/>
    <mergeCell ref="AD36:AK36"/>
    <mergeCell ref="AD35:AK35"/>
    <mergeCell ref="AD34:AK34"/>
    <mergeCell ref="AD33:AK33"/>
    <mergeCell ref="B35:I35"/>
    <mergeCell ref="K35:L35"/>
    <mergeCell ref="B36:I36"/>
    <mergeCell ref="K36:L36"/>
    <mergeCell ref="J11:L11"/>
    <mergeCell ref="A30:L30"/>
    <mergeCell ref="B31:I31"/>
    <mergeCell ref="K31:L31"/>
    <mergeCell ref="B32:I32"/>
    <mergeCell ref="K32:L32"/>
    <mergeCell ref="B33:I33"/>
    <mergeCell ref="K33:L33"/>
    <mergeCell ref="B19:I19"/>
    <mergeCell ref="B28:I28"/>
    <mergeCell ref="B24:I24"/>
    <mergeCell ref="B25:I25"/>
    <mergeCell ref="B40:I40"/>
    <mergeCell ref="K40:L40"/>
    <mergeCell ref="B41:I41"/>
    <mergeCell ref="K41:L41"/>
    <mergeCell ref="A8:B8"/>
    <mergeCell ref="A9:B9"/>
    <mergeCell ref="A10:B10"/>
    <mergeCell ref="A11:B11"/>
    <mergeCell ref="B37:I37"/>
    <mergeCell ref="K37:L37"/>
    <mergeCell ref="B38:I38"/>
    <mergeCell ref="K38:L38"/>
    <mergeCell ref="B39:I39"/>
    <mergeCell ref="K39:L39"/>
    <mergeCell ref="B34:I34"/>
    <mergeCell ref="K34:L34"/>
  </mergeCells>
  <dataValidations count="1">
    <dataValidation type="list" allowBlank="1" showInputMessage="1" showErrorMessage="1" sqref="A6">
      <formula1>$AD$30:$AD$37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46"/>
  <sheetViews>
    <sheetView tabSelected="1" workbookViewId="0">
      <selection activeCell="R13" sqref="R13"/>
    </sheetView>
  </sheetViews>
  <sheetFormatPr defaultRowHeight="15"/>
  <cols>
    <col min="2" max="2" width="8" customWidth="1"/>
    <col min="3" max="3" width="9.5703125" customWidth="1"/>
    <col min="4" max="4" width="8.140625" customWidth="1"/>
    <col min="5" max="5" width="7.28515625" customWidth="1"/>
    <col min="6" max="6" width="6" customWidth="1"/>
    <col min="7" max="7" width="6.5703125" customWidth="1"/>
    <col min="8" max="8" width="6.140625" customWidth="1"/>
    <col min="9" max="9" width="2.42578125" customWidth="1"/>
    <col min="10" max="10" width="15.28515625" customWidth="1"/>
    <col min="11" max="11" width="14.5703125" customWidth="1"/>
    <col min="12" max="12" width="13" customWidth="1"/>
    <col min="13" max="13" width="9.140625" customWidth="1"/>
    <col min="14" max="14" width="15.28515625" customWidth="1"/>
    <col min="15" max="15" width="10" customWidth="1"/>
    <col min="16" max="16" width="11.85546875" customWidth="1"/>
    <col min="17" max="17" width="9.5703125" customWidth="1"/>
    <col min="18" max="18" width="16.5703125" customWidth="1"/>
    <col min="19" max="19" width="16.7109375" customWidth="1"/>
    <col min="20" max="20" width="17.42578125" customWidth="1"/>
    <col min="21" max="21" width="9.140625" customWidth="1"/>
    <col min="22" max="22" width="6.28515625" customWidth="1"/>
    <col min="23" max="23" width="4.85546875" customWidth="1"/>
    <col min="24" max="24" width="4.7109375" customWidth="1"/>
    <col min="25" max="25" width="5.85546875" customWidth="1"/>
    <col min="26" max="26" width="6.5703125" customWidth="1"/>
    <col min="27" max="27" width="9.85546875" customWidth="1"/>
    <col min="28" max="28" width="6.28515625" customWidth="1"/>
    <col min="30" max="30" width="10.28515625" customWidth="1"/>
    <col min="31" max="31" width="9.5703125" bestFit="1" customWidth="1"/>
  </cols>
  <sheetData>
    <row r="1" spans="1:37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 t="s">
        <v>65</v>
      </c>
      <c r="AE1" s="3"/>
      <c r="AF1" s="4"/>
      <c r="AG1" s="122"/>
      <c r="AH1" s="122"/>
      <c r="AI1" s="123"/>
      <c r="AJ1" s="42"/>
      <c r="AK1" s="2"/>
    </row>
    <row r="2" spans="1:37" ht="26.25">
      <c r="A2" s="6" t="s">
        <v>89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7" t="s">
        <v>66</v>
      </c>
      <c r="AE2" s="8">
        <f>IF(J9="есть",(J7+100)*(K7+97)*0.8*8*1.1/1000000,0)</f>
        <v>7.2941440000000011</v>
      </c>
      <c r="AF2" s="4"/>
      <c r="AG2" s="42"/>
      <c r="AH2" s="124"/>
      <c r="AI2" s="123"/>
      <c r="AJ2" s="42"/>
      <c r="AK2" s="2"/>
    </row>
    <row r="3" spans="1:37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7" t="s">
        <v>67</v>
      </c>
      <c r="AE3" s="8">
        <f>IF(J9="нет",(J7+100)*(K7+100)*0.8*8*1.1/1000000,0)</f>
        <v>0</v>
      </c>
      <c r="AF3" s="4"/>
      <c r="AG3" s="42"/>
      <c r="AH3" s="124"/>
      <c r="AI3" s="123"/>
      <c r="AJ3" s="42"/>
      <c r="AK3" s="2"/>
    </row>
    <row r="4" spans="1:37" ht="26.25" customHeight="1">
      <c r="A4" s="11" t="s">
        <v>55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9" t="s">
        <v>69</v>
      </c>
      <c r="AE4" s="10">
        <f>((J7-8)*138*0.8*8*1.1/1000000)*AF4</f>
        <v>2.3161036800000008</v>
      </c>
      <c r="AF4" s="5">
        <v>2</v>
      </c>
      <c r="AG4" s="42"/>
      <c r="AH4" s="124"/>
      <c r="AI4" s="123"/>
      <c r="AJ4" s="42"/>
      <c r="AK4" s="2"/>
    </row>
    <row r="5" spans="1:37" ht="24" thickBot="1">
      <c r="A5" s="12" t="s">
        <v>56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13" t="s">
        <v>70</v>
      </c>
      <c r="AE5" s="14">
        <v>0.3594</v>
      </c>
      <c r="AF5" s="4"/>
      <c r="AG5" s="122"/>
      <c r="AH5" s="125"/>
      <c r="AI5" s="42"/>
      <c r="AJ5" s="126"/>
      <c r="AK5" s="2"/>
    </row>
    <row r="6" spans="1:37" ht="27" thickBot="1">
      <c r="A6" s="157" t="s">
        <v>86</v>
      </c>
      <c r="B6" s="157"/>
      <c r="C6" s="157"/>
      <c r="D6" s="157"/>
      <c r="E6" s="157"/>
      <c r="F6" s="157"/>
      <c r="G6" s="157"/>
      <c r="H6" s="157"/>
      <c r="I6" s="127"/>
      <c r="J6" s="20" t="s">
        <v>2</v>
      </c>
      <c r="K6" s="20" t="s">
        <v>1</v>
      </c>
      <c r="L6" s="20" t="s"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ht="27" thickBot="1">
      <c r="A7" s="128" t="s">
        <v>3</v>
      </c>
      <c r="B7" s="129"/>
      <c r="C7" s="129"/>
      <c r="D7" s="129"/>
      <c r="E7" s="129"/>
      <c r="F7" s="129"/>
      <c r="G7" s="129"/>
      <c r="H7" s="129"/>
      <c r="I7" s="130"/>
      <c r="J7" s="158">
        <v>1200</v>
      </c>
      <c r="K7" s="158">
        <v>700</v>
      </c>
      <c r="L7" s="158">
        <v>860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3" t="s">
        <v>71</v>
      </c>
      <c r="AE7" s="3"/>
      <c r="AF7" s="2"/>
      <c r="AG7" s="3" t="s">
        <v>72</v>
      </c>
      <c r="AH7" s="3"/>
      <c r="AI7" s="2"/>
      <c r="AJ7" s="2"/>
      <c r="AK7" s="2"/>
    </row>
    <row r="8" spans="1:37" ht="23.25">
      <c r="A8" s="131" t="s">
        <v>81</v>
      </c>
      <c r="B8" s="132"/>
      <c r="C8" s="28" t="s">
        <v>77</v>
      </c>
      <c r="D8" s="29"/>
      <c r="E8" s="30" t="s">
        <v>87</v>
      </c>
      <c r="F8" s="133"/>
      <c r="G8" s="133"/>
      <c r="H8" s="133"/>
      <c r="I8" s="39" t="s">
        <v>54</v>
      </c>
      <c r="J8" s="134" t="str">
        <f>IF(A6="СП с обвязкой","оцинкованная сталь",IF(A6="СПБ с обвязкой","оцинкованная сталь","430-ая сталь"))</f>
        <v>430-ая сталь</v>
      </c>
      <c r="K8" s="134"/>
      <c r="L8" s="135"/>
      <c r="M8" s="2"/>
      <c r="N8" s="2"/>
      <c r="O8" s="2"/>
      <c r="P8" s="29"/>
      <c r="Q8" s="29"/>
      <c r="R8" s="29"/>
      <c r="S8" s="29"/>
      <c r="T8" s="2"/>
      <c r="U8" s="2"/>
      <c r="V8" s="2"/>
      <c r="W8" s="2"/>
      <c r="X8" s="2"/>
      <c r="Y8" s="2"/>
      <c r="Z8" s="2"/>
      <c r="AA8" s="2"/>
      <c r="AB8" s="2"/>
      <c r="AC8" s="2"/>
      <c r="AD8" s="7" t="s">
        <v>51</v>
      </c>
      <c r="AE8" s="8">
        <v>0</v>
      </c>
      <c r="AF8" s="5">
        <f>IF(J7&lt;=600,2,IF(J7&lt;=950,4,IF(J7&lt;=1150,5,IF(J7&lt;=1500,6,7))))</f>
        <v>6</v>
      </c>
      <c r="AG8" s="9" t="s">
        <v>51</v>
      </c>
      <c r="AH8" s="10">
        <v>0</v>
      </c>
      <c r="AI8" s="5">
        <f>IF(J7&lt;=600,2,IF(J7&lt;=950,4,IF(J7&lt;=1150,5,IF(J7&lt;=1500,6,7))))</f>
        <v>6</v>
      </c>
      <c r="AJ8" s="2"/>
      <c r="AK8" s="2"/>
    </row>
    <row r="9" spans="1:37" ht="23.25">
      <c r="A9" s="136" t="s">
        <v>75</v>
      </c>
      <c r="B9" s="137"/>
      <c r="C9" s="36" t="s">
        <v>78</v>
      </c>
      <c r="D9" s="29"/>
      <c r="E9" s="37" t="s">
        <v>53</v>
      </c>
      <c r="F9" s="138"/>
      <c r="G9" s="138"/>
      <c r="H9" s="138"/>
      <c r="I9" s="39" t="s">
        <v>54</v>
      </c>
      <c r="J9" s="40" t="str">
        <f>IF(A6="СПБ с обвязкой","есть",IF(A6="СПБН с обвязкой","есть","нет"))</f>
        <v>есть</v>
      </c>
      <c r="K9" s="40"/>
      <c r="L9" s="139"/>
      <c r="M9" s="2"/>
      <c r="N9" s="2"/>
      <c r="O9" s="2"/>
      <c r="P9" s="29"/>
      <c r="Q9" s="29"/>
      <c r="R9" s="29"/>
      <c r="S9" s="29"/>
      <c r="T9" s="42"/>
      <c r="U9" s="2"/>
      <c r="V9" s="2"/>
      <c r="W9" s="2"/>
      <c r="X9" s="2"/>
      <c r="Y9" s="2"/>
      <c r="Z9" s="2"/>
      <c r="AA9" s="2"/>
      <c r="AB9" s="2"/>
      <c r="AC9" s="2"/>
      <c r="AD9" s="7" t="s">
        <v>73</v>
      </c>
      <c r="AE9" s="8">
        <f>IF(J8="430-ая сталь",((J7-30)*141*0.8*8*1.1/1000000)*AF9,0)</f>
        <v>2.3227776000000002</v>
      </c>
      <c r="AF9" s="5">
        <v>2</v>
      </c>
      <c r="AG9" s="9" t="s">
        <v>73</v>
      </c>
      <c r="AH9" s="10">
        <f>IF(J8="оцинкованная сталь",((J7-30)*141*0.8*8*1.1/1000000)*AI9,0)</f>
        <v>0</v>
      </c>
      <c r="AI9" s="5">
        <v>2</v>
      </c>
      <c r="AJ9" s="2"/>
      <c r="AK9" s="2"/>
    </row>
    <row r="10" spans="1:37" ht="24" thickBot="1">
      <c r="A10" s="140" t="s">
        <v>50</v>
      </c>
      <c r="B10" s="141"/>
      <c r="C10" s="45" t="s">
        <v>77</v>
      </c>
      <c r="D10" s="29"/>
      <c r="E10" s="46" t="s">
        <v>48</v>
      </c>
      <c r="F10" s="142"/>
      <c r="G10" s="142"/>
      <c r="H10" s="142"/>
      <c r="I10" s="47" t="s">
        <v>54</v>
      </c>
      <c r="J10" s="48" t="str">
        <f>IF(A6="СП с обвязкой","оцинкованная сталь",IF(A6="СПБ с обвязкой","оцинкованная сталь","430-ая сталь"))</f>
        <v>430-ая сталь</v>
      </c>
      <c r="K10" s="48"/>
      <c r="L10" s="143"/>
      <c r="M10" s="2"/>
      <c r="N10" s="2"/>
      <c r="O10" s="2"/>
      <c r="P10" s="29"/>
      <c r="Q10" s="29"/>
      <c r="R10" s="29"/>
      <c r="S10" s="29"/>
      <c r="T10" s="2"/>
      <c r="U10" s="2"/>
      <c r="V10" s="2"/>
      <c r="W10" s="2"/>
      <c r="X10" s="2"/>
      <c r="Y10" s="2"/>
      <c r="Z10" s="2"/>
      <c r="AA10" s="2"/>
      <c r="AB10" s="2"/>
      <c r="AC10" s="2"/>
      <c r="AD10" s="7" t="s">
        <v>74</v>
      </c>
      <c r="AE10" s="8">
        <f>IF(J8="430-ая сталь",((K7-48)*97*0.8*8*1.1/1000000)*AF10,0)</f>
        <v>0.89047552000000019</v>
      </c>
      <c r="AF10" s="5">
        <v>2</v>
      </c>
      <c r="AG10" s="9" t="s">
        <v>74</v>
      </c>
      <c r="AH10" s="10">
        <f>IF(J8="оцинкованная сталь",((K7-48)*97*0.8*8*1.1/1000000)*AI10,0)</f>
        <v>0</v>
      </c>
      <c r="AI10" s="5">
        <v>2</v>
      </c>
      <c r="AJ10" s="2"/>
      <c r="AK10" s="2"/>
    </row>
    <row r="11" spans="1:37">
      <c r="A11" s="2"/>
      <c r="B11" s="2"/>
      <c r="C11" s="2"/>
      <c r="D11" s="2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9"/>
      <c r="Q11" s="29"/>
      <c r="R11" s="29"/>
      <c r="S11" s="29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17">
        <f>IF(J8="430-ая сталь",AE10+AE9,0)</f>
        <v>3.2132531200000005</v>
      </c>
      <c r="AF11" s="2"/>
      <c r="AG11" s="2"/>
      <c r="AH11" s="17">
        <f>IF(J8="оцинкованная сталь",AH10+AH9,0)</f>
        <v>0</v>
      </c>
      <c r="AI11" s="2"/>
      <c r="AJ11" s="2"/>
      <c r="AK11" s="2"/>
    </row>
    <row r="12" spans="1:37" ht="15.75" thickBot="1">
      <c r="A12" s="29"/>
      <c r="B12" s="29"/>
      <c r="C12" s="29"/>
      <c r="D12" s="2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9"/>
      <c r="Q12" s="29"/>
      <c r="R12" s="29"/>
      <c r="S12" s="29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 t="s">
        <v>75</v>
      </c>
      <c r="AE12" s="3"/>
      <c r="AF12" s="2"/>
      <c r="AG12" s="2"/>
      <c r="AH12" s="2"/>
      <c r="AI12" s="2"/>
      <c r="AJ12" s="2"/>
      <c r="AK12" s="2"/>
    </row>
    <row r="13" spans="1:37" ht="21.75" thickBot="1">
      <c r="A13" s="144" t="s">
        <v>18</v>
      </c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6"/>
      <c r="M13" s="2"/>
      <c r="N13" s="2"/>
      <c r="O13" s="2"/>
      <c r="P13" s="52"/>
      <c r="Q13" s="29"/>
      <c r="R13" s="29"/>
      <c r="S13" s="29"/>
      <c r="T13" s="2"/>
      <c r="U13" s="2"/>
      <c r="V13" s="2"/>
      <c r="W13" s="2"/>
      <c r="X13" s="2"/>
      <c r="Y13" s="2"/>
      <c r="Z13" s="2"/>
      <c r="AA13" s="2"/>
      <c r="AB13" s="2"/>
      <c r="AC13" s="2"/>
      <c r="AD13" s="7" t="s">
        <v>76</v>
      </c>
      <c r="AE13" s="8">
        <f>IF(J10="430-ая сталь",(L7-35)*328*1.2*8*1.1/1000000,0)</f>
        <v>2.8575360000000001</v>
      </c>
      <c r="AF13" s="2"/>
      <c r="AG13" s="2"/>
      <c r="AH13" s="2"/>
      <c r="AI13" s="2"/>
      <c r="AJ13" s="2"/>
      <c r="AK13" s="2"/>
    </row>
    <row r="14" spans="1:37" ht="21">
      <c r="A14" s="53" t="s">
        <v>5</v>
      </c>
      <c r="B14" s="56" t="s">
        <v>16</v>
      </c>
      <c r="C14" s="54"/>
      <c r="D14" s="54"/>
      <c r="E14" s="54"/>
      <c r="F14" s="54"/>
      <c r="G14" s="54"/>
      <c r="H14" s="54"/>
      <c r="I14" s="57"/>
      <c r="J14" s="55" t="s">
        <v>7</v>
      </c>
      <c r="K14" s="56" t="s">
        <v>8</v>
      </c>
      <c r="L14" s="57"/>
      <c r="M14" s="2"/>
      <c r="N14" s="2"/>
      <c r="O14" s="2"/>
      <c r="P14" s="29"/>
      <c r="Q14" s="29"/>
      <c r="R14" s="29"/>
      <c r="S14" s="29"/>
      <c r="T14" s="2"/>
      <c r="U14" s="2"/>
      <c r="V14" s="2"/>
      <c r="W14" s="2"/>
      <c r="X14" s="2"/>
      <c r="Y14" s="2"/>
      <c r="Z14" s="2"/>
      <c r="AA14" s="2"/>
      <c r="AB14" s="2"/>
      <c r="AC14" s="2"/>
      <c r="AD14" s="9" t="s">
        <v>49</v>
      </c>
      <c r="AE14" s="10">
        <f>IF(J10="оцинкованная сталь",(L7-35)*328*1.2*8*1.1/1000000,0)</f>
        <v>0</v>
      </c>
      <c r="AF14" s="2"/>
      <c r="AG14" s="2"/>
      <c r="AH14" s="2"/>
      <c r="AI14" s="2"/>
      <c r="AJ14" s="2"/>
      <c r="AK14" s="2"/>
    </row>
    <row r="15" spans="1:37" ht="21.75" thickBot="1">
      <c r="A15" s="58" t="s">
        <v>9</v>
      </c>
      <c r="B15" s="61" t="s">
        <v>10</v>
      </c>
      <c r="C15" s="147"/>
      <c r="D15" s="147"/>
      <c r="E15" s="147"/>
      <c r="F15" s="147"/>
      <c r="G15" s="147"/>
      <c r="H15" s="147"/>
      <c r="I15" s="62"/>
      <c r="J15" s="60" t="s">
        <v>11</v>
      </c>
      <c r="K15" s="61" t="s">
        <v>17</v>
      </c>
      <c r="L15" s="62"/>
      <c r="M15" s="2"/>
      <c r="N15" s="2"/>
      <c r="O15" s="2"/>
      <c r="P15" s="29"/>
      <c r="Q15" s="29"/>
      <c r="R15" s="29"/>
      <c r="S15" s="29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ht="21">
      <c r="A16" s="63">
        <v>1</v>
      </c>
      <c r="B16" s="148" t="s">
        <v>43</v>
      </c>
      <c r="C16" s="149"/>
      <c r="D16" s="149"/>
      <c r="E16" s="149"/>
      <c r="F16" s="149"/>
      <c r="G16" s="149"/>
      <c r="H16" s="149"/>
      <c r="I16" s="150"/>
      <c r="J16" s="67" t="s">
        <v>19</v>
      </c>
      <c r="K16" s="68">
        <f>AE2+AE3+AE11</f>
        <v>10.507397120000002</v>
      </c>
      <c r="L16" s="69">
        <f>K16+K17</f>
        <v>13.724333120000002</v>
      </c>
      <c r="M16" s="2"/>
      <c r="N16" s="2"/>
      <c r="O16" s="2"/>
      <c r="P16" s="29"/>
      <c r="Q16" s="29"/>
      <c r="R16" s="29"/>
      <c r="S16" s="29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21.75" thickBot="1">
      <c r="A17" s="70">
        <v>3</v>
      </c>
      <c r="B17" s="151" t="s">
        <v>44</v>
      </c>
      <c r="C17" s="152"/>
      <c r="D17" s="152"/>
      <c r="E17" s="152"/>
      <c r="F17" s="152"/>
      <c r="G17" s="152"/>
      <c r="H17" s="152"/>
      <c r="I17" s="153"/>
      <c r="J17" s="74" t="s">
        <v>19</v>
      </c>
      <c r="K17" s="75">
        <f>AE5+AE13</f>
        <v>3.216936</v>
      </c>
      <c r="L17" s="76"/>
      <c r="M17" s="2"/>
      <c r="N17" s="2"/>
      <c r="O17" s="2"/>
      <c r="P17" s="29"/>
      <c r="Q17" s="29"/>
      <c r="R17" s="29"/>
      <c r="S17" s="29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21">
      <c r="A18" s="63">
        <v>4</v>
      </c>
      <c r="B18" s="148" t="s">
        <v>46</v>
      </c>
      <c r="C18" s="149"/>
      <c r="D18" s="149"/>
      <c r="E18" s="149"/>
      <c r="F18" s="149"/>
      <c r="G18" s="149"/>
      <c r="H18" s="149"/>
      <c r="I18" s="150"/>
      <c r="J18" s="67" t="s">
        <v>19</v>
      </c>
      <c r="K18" s="68">
        <f>AE4+AH11</f>
        <v>2.3161036800000008</v>
      </c>
      <c r="L18" s="69">
        <f>K18+K19</f>
        <v>2.3161036800000008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77">
        <f>SUM(J32:J40)</f>
        <v>1.76</v>
      </c>
      <c r="AE18" s="78">
        <f>AD18</f>
        <v>1.76</v>
      </c>
      <c r="AF18" s="2">
        <v>600</v>
      </c>
      <c r="AG18" s="2"/>
      <c r="AH18" s="2"/>
      <c r="AI18" s="2"/>
      <c r="AJ18" s="2"/>
      <c r="AK18" s="2"/>
    </row>
    <row r="19" spans="1:37" ht="21.75" thickBot="1">
      <c r="A19" s="70">
        <v>6</v>
      </c>
      <c r="B19" s="151" t="s">
        <v>45</v>
      </c>
      <c r="C19" s="152"/>
      <c r="D19" s="152"/>
      <c r="E19" s="152"/>
      <c r="F19" s="152"/>
      <c r="G19" s="152"/>
      <c r="H19" s="152"/>
      <c r="I19" s="153"/>
      <c r="J19" s="74" t="s">
        <v>19</v>
      </c>
      <c r="K19" s="75">
        <f>AE14</f>
        <v>0</v>
      </c>
      <c r="L19" s="7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>
        <f>AE18*1.01</f>
        <v>1.7776000000000001</v>
      </c>
      <c r="AF19" s="2">
        <v>950</v>
      </c>
      <c r="AG19" s="2"/>
      <c r="AH19" s="2"/>
      <c r="AI19" s="2"/>
      <c r="AJ19" s="2"/>
      <c r="AK19" s="2"/>
    </row>
    <row r="20" spans="1:37" ht="21">
      <c r="A20" s="79">
        <v>7</v>
      </c>
      <c r="B20" s="148" t="s">
        <v>20</v>
      </c>
      <c r="C20" s="149"/>
      <c r="D20" s="149"/>
      <c r="E20" s="149"/>
      <c r="F20" s="149"/>
      <c r="G20" s="149"/>
      <c r="H20" s="149"/>
      <c r="I20" s="150"/>
      <c r="J20" s="83" t="s">
        <v>19</v>
      </c>
      <c r="K20" s="84">
        <f>K22*0.12</f>
        <v>1.9199999999999998E-2</v>
      </c>
      <c r="L20" s="8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>
        <f>AE19*1.01</f>
        <v>1.7953760000000001</v>
      </c>
      <c r="AF20" s="2">
        <v>1150</v>
      </c>
      <c r="AG20" s="2"/>
      <c r="AH20" s="2"/>
      <c r="AI20" s="2"/>
      <c r="AJ20" s="2"/>
      <c r="AK20" s="2"/>
    </row>
    <row r="21" spans="1:37" ht="21">
      <c r="A21" s="86">
        <v>8</v>
      </c>
      <c r="B21" s="154" t="s">
        <v>21</v>
      </c>
      <c r="C21" s="155"/>
      <c r="D21" s="155"/>
      <c r="E21" s="155"/>
      <c r="F21" s="155"/>
      <c r="G21" s="155"/>
      <c r="H21" s="155"/>
      <c r="I21" s="156"/>
      <c r="J21" s="90" t="s">
        <v>23</v>
      </c>
      <c r="K21" s="91">
        <f>K22*170/0.25</f>
        <v>108.8</v>
      </c>
      <c r="L21" s="9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>
        <f>AE20*1.01</f>
        <v>1.81332976</v>
      </c>
      <c r="AF21" s="2">
        <v>1500</v>
      </c>
      <c r="AG21" s="2"/>
      <c r="AH21" s="2"/>
      <c r="AI21" s="2"/>
      <c r="AJ21" s="2"/>
      <c r="AK21" s="2"/>
    </row>
    <row r="22" spans="1:37" ht="21">
      <c r="A22" s="86">
        <v>9</v>
      </c>
      <c r="B22" s="154" t="s">
        <v>22</v>
      </c>
      <c r="C22" s="155"/>
      <c r="D22" s="155"/>
      <c r="E22" s="155"/>
      <c r="F22" s="155"/>
      <c r="G22" s="155"/>
      <c r="H22" s="155"/>
      <c r="I22" s="156"/>
      <c r="J22" s="90" t="s">
        <v>24</v>
      </c>
      <c r="K22" s="91">
        <f>IF(J10=1,0.12,0.16)</f>
        <v>0.16</v>
      </c>
      <c r="L22" s="9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>
        <f>AE21*1.01</f>
        <v>1.8314630575999999</v>
      </c>
      <c r="AF22" s="2">
        <v>1800</v>
      </c>
      <c r="AG22" s="2"/>
      <c r="AH22" s="2"/>
      <c r="AI22" s="2"/>
      <c r="AJ22" s="2"/>
      <c r="AK22" s="2"/>
    </row>
    <row r="23" spans="1:37" ht="21">
      <c r="A23" s="86">
        <v>10</v>
      </c>
      <c r="B23" s="154" t="s">
        <v>25</v>
      </c>
      <c r="C23" s="155"/>
      <c r="D23" s="155"/>
      <c r="E23" s="155"/>
      <c r="F23" s="155"/>
      <c r="G23" s="155"/>
      <c r="H23" s="155"/>
      <c r="I23" s="156"/>
      <c r="J23" s="90" t="s">
        <v>12</v>
      </c>
      <c r="K23" s="91">
        <v>24</v>
      </c>
      <c r="L23" s="9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>
        <f>AE22*1.01</f>
        <v>1.849777688176</v>
      </c>
      <c r="AF23" s="2">
        <v>2100</v>
      </c>
      <c r="AG23" s="2"/>
      <c r="AH23" s="2"/>
      <c r="AI23" s="2"/>
      <c r="AJ23" s="2"/>
      <c r="AK23" s="2"/>
    </row>
    <row r="24" spans="1:37" ht="21">
      <c r="A24" s="86">
        <v>11</v>
      </c>
      <c r="B24" s="154" t="s">
        <v>13</v>
      </c>
      <c r="C24" s="155"/>
      <c r="D24" s="155"/>
      <c r="E24" s="155"/>
      <c r="F24" s="155"/>
      <c r="G24" s="155"/>
      <c r="H24" s="155"/>
      <c r="I24" s="156"/>
      <c r="J24" s="90" t="s">
        <v>12</v>
      </c>
      <c r="K24" s="91">
        <v>24</v>
      </c>
      <c r="L24" s="9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ht="21">
      <c r="A25" s="86">
        <v>12</v>
      </c>
      <c r="B25" s="154" t="s">
        <v>14</v>
      </c>
      <c r="C25" s="155"/>
      <c r="D25" s="155"/>
      <c r="E25" s="155"/>
      <c r="F25" s="155"/>
      <c r="G25" s="155"/>
      <c r="H25" s="155"/>
      <c r="I25" s="156"/>
      <c r="J25" s="90" t="s">
        <v>12</v>
      </c>
      <c r="K25" s="91">
        <v>24</v>
      </c>
      <c r="L25" s="9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21">
      <c r="A26" s="86">
        <v>13</v>
      </c>
      <c r="B26" s="154" t="s">
        <v>15</v>
      </c>
      <c r="C26" s="155"/>
      <c r="D26" s="155"/>
      <c r="E26" s="155"/>
      <c r="F26" s="155"/>
      <c r="G26" s="155"/>
      <c r="H26" s="155"/>
      <c r="I26" s="156"/>
      <c r="J26" s="90" t="s">
        <v>12</v>
      </c>
      <c r="K26" s="91">
        <v>4</v>
      </c>
      <c r="L26" s="9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ht="21.75" thickBot="1">
      <c r="A27" s="70">
        <v>15</v>
      </c>
      <c r="B27" s="151" t="s">
        <v>27</v>
      </c>
      <c r="C27" s="152"/>
      <c r="D27" s="152"/>
      <c r="E27" s="152"/>
      <c r="F27" s="152"/>
      <c r="G27" s="152"/>
      <c r="H27" s="152"/>
      <c r="I27" s="153"/>
      <c r="J27" s="74" t="s">
        <v>24</v>
      </c>
      <c r="K27" s="75">
        <f>J7/50</f>
        <v>24</v>
      </c>
      <c r="L27" s="85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ht="24" thickBot="1">
      <c r="A28" s="2"/>
      <c r="B28" s="93"/>
      <c r="C28" s="93"/>
      <c r="D28" s="93"/>
      <c r="E28" s="93"/>
      <c r="F28" s="9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ht="21.75" thickBot="1">
      <c r="A29" s="144" t="s">
        <v>28</v>
      </c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6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4" t="s">
        <v>83</v>
      </c>
      <c r="AE29" s="4"/>
      <c r="AF29" s="4"/>
      <c r="AG29" s="4"/>
      <c r="AH29" s="4"/>
      <c r="AI29" s="4"/>
      <c r="AJ29" s="4"/>
      <c r="AK29" s="4"/>
    </row>
    <row r="30" spans="1:37" ht="21">
      <c r="A30" s="95" t="s">
        <v>5</v>
      </c>
      <c r="B30" s="56" t="s">
        <v>6</v>
      </c>
      <c r="C30" s="54"/>
      <c r="D30" s="54"/>
      <c r="E30" s="54"/>
      <c r="F30" s="54"/>
      <c r="G30" s="54"/>
      <c r="H30" s="54"/>
      <c r="I30" s="57"/>
      <c r="J30" s="53" t="s">
        <v>29</v>
      </c>
      <c r="K30" s="56" t="s">
        <v>35</v>
      </c>
      <c r="L30" s="57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4" t="s">
        <v>84</v>
      </c>
      <c r="AE30" s="4"/>
      <c r="AF30" s="4"/>
      <c r="AG30" s="4"/>
      <c r="AH30" s="4"/>
      <c r="AI30" s="4"/>
      <c r="AJ30" s="4"/>
      <c r="AK30" s="4"/>
    </row>
    <row r="31" spans="1:37" ht="21.75" thickBot="1">
      <c r="A31" s="99" t="s">
        <v>9</v>
      </c>
      <c r="B31" s="61" t="s">
        <v>33</v>
      </c>
      <c r="C31" s="147"/>
      <c r="D31" s="147"/>
      <c r="E31" s="147"/>
      <c r="F31" s="147"/>
      <c r="G31" s="147"/>
      <c r="H31" s="147"/>
      <c r="I31" s="62"/>
      <c r="J31" s="103" t="s">
        <v>34</v>
      </c>
      <c r="K31" s="61" t="s">
        <v>30</v>
      </c>
      <c r="L31" s="6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4" t="s">
        <v>85</v>
      </c>
      <c r="AE31" s="4"/>
      <c r="AF31" s="4"/>
      <c r="AG31" s="4"/>
      <c r="AH31" s="4"/>
      <c r="AI31" s="4"/>
      <c r="AJ31" s="4"/>
      <c r="AK31" s="4"/>
    </row>
    <row r="32" spans="1:37" ht="21">
      <c r="A32" s="83">
        <v>1</v>
      </c>
      <c r="B32" s="148" t="s">
        <v>36</v>
      </c>
      <c r="C32" s="149"/>
      <c r="D32" s="149"/>
      <c r="E32" s="149"/>
      <c r="F32" s="149"/>
      <c r="G32" s="149"/>
      <c r="H32" s="149"/>
      <c r="I32" s="150"/>
      <c r="J32" s="104">
        <v>0.4</v>
      </c>
      <c r="K32" s="105">
        <v>2</v>
      </c>
      <c r="L32" s="106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4" t="s">
        <v>86</v>
      </c>
      <c r="AE32" s="4"/>
      <c r="AF32" s="4"/>
      <c r="AG32" s="4"/>
      <c r="AH32" s="4"/>
      <c r="AI32" s="4"/>
      <c r="AJ32" s="4"/>
      <c r="AK32" s="4"/>
    </row>
    <row r="33" spans="1:37" ht="21">
      <c r="A33" s="90">
        <v>2</v>
      </c>
      <c r="B33" s="154" t="s">
        <v>37</v>
      </c>
      <c r="C33" s="155"/>
      <c r="D33" s="155"/>
      <c r="E33" s="155"/>
      <c r="F33" s="155"/>
      <c r="G33" s="155"/>
      <c r="H33" s="155"/>
      <c r="I33" s="156"/>
      <c r="J33" s="107">
        <v>0.1</v>
      </c>
      <c r="K33" s="108">
        <v>1</v>
      </c>
      <c r="L33" s="10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ht="21">
      <c r="A34" s="90">
        <v>3</v>
      </c>
      <c r="B34" s="154" t="s">
        <v>31</v>
      </c>
      <c r="C34" s="155"/>
      <c r="D34" s="155"/>
      <c r="E34" s="155"/>
      <c r="F34" s="155"/>
      <c r="G34" s="155"/>
      <c r="H34" s="155"/>
      <c r="I34" s="156"/>
      <c r="J34" s="107">
        <f>IF(J8="оцинкованная сталь",0.1,0.16)</f>
        <v>0.16</v>
      </c>
      <c r="K34" s="108">
        <v>1</v>
      </c>
      <c r="L34" s="10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t="21">
      <c r="A35" s="90">
        <v>4</v>
      </c>
      <c r="B35" s="154" t="s">
        <v>32</v>
      </c>
      <c r="C35" s="155"/>
      <c r="D35" s="155"/>
      <c r="E35" s="155"/>
      <c r="F35" s="155"/>
      <c r="G35" s="155"/>
      <c r="H35" s="155"/>
      <c r="I35" s="156"/>
      <c r="J35" s="104">
        <v>0.4</v>
      </c>
      <c r="K35" s="108">
        <v>2</v>
      </c>
      <c r="L35" s="109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94"/>
      <c r="AE35" s="94"/>
      <c r="AF35" s="94"/>
      <c r="AG35" s="94"/>
      <c r="AH35" s="94"/>
      <c r="AI35" s="94"/>
      <c r="AJ35" s="94"/>
      <c r="AK35" s="94"/>
    </row>
    <row r="36" spans="1:37" ht="21">
      <c r="A36" s="90">
        <v>5</v>
      </c>
      <c r="B36" s="154" t="s">
        <v>38</v>
      </c>
      <c r="C36" s="155"/>
      <c r="D36" s="155"/>
      <c r="E36" s="155"/>
      <c r="F36" s="155"/>
      <c r="G36" s="155"/>
      <c r="H36" s="155"/>
      <c r="I36" s="156"/>
      <c r="J36" s="107">
        <v>0.2</v>
      </c>
      <c r="K36" s="108">
        <v>2</v>
      </c>
      <c r="L36" s="109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94"/>
      <c r="AE36" s="94"/>
      <c r="AF36" s="94"/>
      <c r="AG36" s="94"/>
      <c r="AH36" s="94"/>
      <c r="AI36" s="94"/>
      <c r="AJ36" s="94"/>
      <c r="AK36" s="94"/>
    </row>
    <row r="37" spans="1:37" ht="21">
      <c r="A37" s="90">
        <v>6</v>
      </c>
      <c r="B37" s="154" t="s">
        <v>39</v>
      </c>
      <c r="C37" s="155"/>
      <c r="D37" s="155"/>
      <c r="E37" s="155"/>
      <c r="F37" s="155"/>
      <c r="G37" s="155"/>
      <c r="H37" s="155"/>
      <c r="I37" s="156"/>
      <c r="J37" s="107">
        <v>0.1</v>
      </c>
      <c r="K37" s="108">
        <v>1</v>
      </c>
      <c r="L37" s="10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ht="21">
      <c r="A38" s="90">
        <v>7</v>
      </c>
      <c r="B38" s="154" t="s">
        <v>41</v>
      </c>
      <c r="C38" s="155"/>
      <c r="D38" s="155"/>
      <c r="E38" s="155"/>
      <c r="F38" s="155"/>
      <c r="G38" s="155"/>
      <c r="H38" s="155"/>
      <c r="I38" s="156"/>
      <c r="J38" s="107">
        <v>0.15</v>
      </c>
      <c r="K38" s="108">
        <v>1</v>
      </c>
      <c r="L38" s="109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ht="21">
      <c r="A39" s="90">
        <v>8</v>
      </c>
      <c r="B39" s="154" t="s">
        <v>40</v>
      </c>
      <c r="C39" s="155"/>
      <c r="D39" s="155"/>
      <c r="E39" s="155"/>
      <c r="F39" s="155"/>
      <c r="G39" s="155"/>
      <c r="H39" s="155"/>
      <c r="I39" s="156"/>
      <c r="J39" s="90">
        <v>0.15</v>
      </c>
      <c r="K39" s="108">
        <v>1</v>
      </c>
      <c r="L39" s="109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ht="21.75" thickBot="1">
      <c r="A40" s="74">
        <v>9</v>
      </c>
      <c r="B40" s="151" t="s">
        <v>42</v>
      </c>
      <c r="C40" s="152"/>
      <c r="D40" s="152"/>
      <c r="E40" s="152"/>
      <c r="F40" s="152"/>
      <c r="G40" s="152"/>
      <c r="H40" s="152"/>
      <c r="I40" s="153"/>
      <c r="J40" s="110">
        <v>0.1</v>
      </c>
      <c r="K40" s="111">
        <v>1</v>
      </c>
      <c r="L40" s="11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ht="21.75" thickBot="1">
      <c r="A41" s="113"/>
      <c r="B41" s="114"/>
      <c r="C41" s="114"/>
      <c r="D41" s="114"/>
      <c r="E41" s="114"/>
      <c r="F41" s="114"/>
      <c r="G41" s="114"/>
      <c r="H41" s="114"/>
      <c r="I41" s="115" t="s">
        <v>47</v>
      </c>
      <c r="J41" s="116">
        <f>IF(J7&lt;=600,AE18,IF(J7&lt;=950,AE19,IF(J7&lt;=1150,AE20,IF(J7&lt;=1500,AE21,IF(J7&lt;=1800,AE22,IF(J7&lt;=2100,AE23,AE18))))))</f>
        <v>1.81332976</v>
      </c>
      <c r="K41" s="117"/>
      <c r="L41" s="117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ht="21">
      <c r="A44" s="117" t="s">
        <v>79</v>
      </c>
      <c r="B44" s="117"/>
      <c r="C44" s="117"/>
      <c r="D44" s="117" t="s">
        <v>80</v>
      </c>
      <c r="E44" s="117"/>
      <c r="F44" s="117"/>
      <c r="G44" s="117"/>
      <c r="H44" s="117"/>
      <c r="I44" s="117"/>
      <c r="J44" s="117"/>
      <c r="K44" s="117" t="s">
        <v>82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</sheetData>
  <sheetProtection password="DF20" sheet="1" objects="1" scenarios="1"/>
  <mergeCells count="38">
    <mergeCell ref="K40:L40"/>
    <mergeCell ref="K37:L37"/>
    <mergeCell ref="K38:L38"/>
    <mergeCell ref="K39:L39"/>
    <mergeCell ref="K34:L34"/>
    <mergeCell ref="K35:L35"/>
    <mergeCell ref="AD35:AK35"/>
    <mergeCell ref="K36:L36"/>
    <mergeCell ref="AD36:AK36"/>
    <mergeCell ref="B31:I31"/>
    <mergeCell ref="K30:L30"/>
    <mergeCell ref="K31:L31"/>
    <mergeCell ref="K32:L32"/>
    <mergeCell ref="K33:L33"/>
    <mergeCell ref="AG7:AH7"/>
    <mergeCell ref="A8:B8"/>
    <mergeCell ref="E8:H8"/>
    <mergeCell ref="J8:L8"/>
    <mergeCell ref="AD12:AE12"/>
    <mergeCell ref="E9:H9"/>
    <mergeCell ref="J9:L9"/>
    <mergeCell ref="E10:H10"/>
    <mergeCell ref="J10:L10"/>
    <mergeCell ref="A6:H6"/>
    <mergeCell ref="A9:B9"/>
    <mergeCell ref="B30:I30"/>
    <mergeCell ref="AD1:AE1"/>
    <mergeCell ref="A2:L2"/>
    <mergeCell ref="A4:L4"/>
    <mergeCell ref="A5:L5"/>
    <mergeCell ref="A7:I7"/>
    <mergeCell ref="AD7:AE7"/>
    <mergeCell ref="B14:I14"/>
    <mergeCell ref="K14:L14"/>
    <mergeCell ref="L18:L19"/>
    <mergeCell ref="B15:I15"/>
    <mergeCell ref="K15:L15"/>
    <mergeCell ref="L16:L17"/>
  </mergeCells>
  <dataValidations count="1">
    <dataValidation type="list" allowBlank="1" showInputMessage="1" showErrorMessage="1" sqref="A6:H6">
      <formula1>$AD$29:$AD$32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Лист2</vt:lpstr>
      <vt:lpstr>Лист3</vt:lpstr>
      <vt:lpstr>Лист4</vt:lpstr>
      <vt:lpstr>столы разборные</vt:lpstr>
      <vt:lpstr>столы разборные с обвязкой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cp:lastPrinted>2015-04-08T06:12:51Z</cp:lastPrinted>
  <dcterms:created xsi:type="dcterms:W3CDTF">2015-04-07T07:27:06Z</dcterms:created>
  <dcterms:modified xsi:type="dcterms:W3CDTF">2016-02-15T13:42:30Z</dcterms:modified>
</cp:coreProperties>
</file>