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lura\Imersao-python\"/>
    </mc:Choice>
  </mc:AlternateContent>
  <xr:revisionPtr revIDLastSave="0" documentId="13_ncr:1_{099015E5-EB19-4FDC-BF3A-DBD2A6D171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incipal" sheetId="1" r:id="rId1"/>
    <sheet name="Analises" sheetId="4" r:id="rId2"/>
    <sheet name="chat_gpt" sheetId="5" r:id="rId3"/>
    <sheet name="Total_de_acoes" sheetId="2" r:id="rId4"/>
    <sheet name="Ticker" sheetId="3" r:id="rId5"/>
  </sheets>
  <definedNames>
    <definedName name="_xlchart.v1.0" hidden="1">Analises!$A$50:$A$53</definedName>
    <definedName name="_xlchart.v1.1" hidden="1">Analises!$B$49</definedName>
    <definedName name="_xlchart.v1.2" hidden="1">Analises!$B$50:$B$53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B5" i="4"/>
  <c r="B4" i="4"/>
  <c r="B2" i="4"/>
  <c r="C2" i="4" s="1"/>
  <c r="B1" i="4"/>
  <c r="C1" i="4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17" i="1"/>
  <c r="AB17" i="1" s="1"/>
  <c r="AA18" i="1"/>
  <c r="AB18" i="1" s="1"/>
  <c r="AA19" i="1"/>
  <c r="AB19" i="1" s="1"/>
  <c r="AA20" i="1"/>
  <c r="AB20" i="1" s="1"/>
  <c r="AA21" i="1"/>
  <c r="AB21" i="1" s="1"/>
  <c r="AA22" i="1"/>
  <c r="AB22" i="1" s="1"/>
  <c r="AA23" i="1"/>
  <c r="AB23" i="1" s="1"/>
  <c r="AA24" i="1"/>
  <c r="AB24" i="1" s="1"/>
  <c r="AA25" i="1"/>
  <c r="AB25" i="1" s="1"/>
  <c r="AA26" i="1"/>
  <c r="AB26" i="1" s="1"/>
  <c r="AA27" i="1"/>
  <c r="AB27" i="1" s="1"/>
  <c r="AA28" i="1"/>
  <c r="AB28" i="1" s="1"/>
  <c r="AA29" i="1"/>
  <c r="AB29" i="1" s="1"/>
  <c r="AA30" i="1"/>
  <c r="AB30" i="1" s="1"/>
  <c r="AA31" i="1"/>
  <c r="AB31" i="1" s="1"/>
  <c r="AA32" i="1"/>
  <c r="AB32" i="1" s="1"/>
  <c r="AA33" i="1"/>
  <c r="AB33" i="1" s="1"/>
  <c r="AA34" i="1"/>
  <c r="AB34" i="1" s="1"/>
  <c r="AA35" i="1"/>
  <c r="AB35" i="1" s="1"/>
  <c r="AA36" i="1"/>
  <c r="AB36" i="1" s="1"/>
  <c r="AA37" i="1"/>
  <c r="AB37" i="1" s="1"/>
  <c r="AA38" i="1"/>
  <c r="AB38" i="1" s="1"/>
  <c r="AA39" i="1"/>
  <c r="AB39" i="1" s="1"/>
  <c r="AA40" i="1"/>
  <c r="AB40" i="1" s="1"/>
  <c r="AA41" i="1"/>
  <c r="AB41" i="1" s="1"/>
  <c r="AA42" i="1"/>
  <c r="AB42" i="1" s="1"/>
  <c r="AA43" i="1"/>
  <c r="AB43" i="1" s="1"/>
  <c r="AA44" i="1"/>
  <c r="AB44" i="1" s="1"/>
  <c r="AA45" i="1"/>
  <c r="AB45" i="1" s="1"/>
  <c r="AA46" i="1"/>
  <c r="AB46" i="1" s="1"/>
  <c r="AA47" i="1"/>
  <c r="AB47" i="1" s="1"/>
  <c r="AA48" i="1"/>
  <c r="AB48" i="1" s="1"/>
  <c r="AA49" i="1"/>
  <c r="AB49" i="1" s="1"/>
  <c r="AA50" i="1"/>
  <c r="AB50" i="1" s="1"/>
  <c r="AA51" i="1"/>
  <c r="AB51" i="1" s="1"/>
  <c r="AA52" i="1"/>
  <c r="AB52" i="1" s="1"/>
  <c r="AA53" i="1"/>
  <c r="AB53" i="1" s="1"/>
  <c r="AA54" i="1"/>
  <c r="AB54" i="1" s="1"/>
  <c r="AA55" i="1"/>
  <c r="AB55" i="1" s="1"/>
  <c r="AA56" i="1"/>
  <c r="AB56" i="1" s="1"/>
  <c r="AA57" i="1"/>
  <c r="AB57" i="1" s="1"/>
  <c r="AA58" i="1"/>
  <c r="AB58" i="1" s="1"/>
  <c r="AA59" i="1"/>
  <c r="AB59" i="1" s="1"/>
  <c r="AA60" i="1"/>
  <c r="AB60" i="1" s="1"/>
  <c r="AA61" i="1"/>
  <c r="AB61" i="1" s="1"/>
  <c r="AA62" i="1"/>
  <c r="AB62" i="1" s="1"/>
  <c r="AA63" i="1"/>
  <c r="AB63" i="1" s="1"/>
  <c r="AA64" i="1"/>
  <c r="AB64" i="1" s="1"/>
  <c r="AA65" i="1"/>
  <c r="AB65" i="1" s="1"/>
  <c r="AA66" i="1"/>
  <c r="AB66" i="1" s="1"/>
  <c r="AA67" i="1"/>
  <c r="AB67" i="1" s="1"/>
  <c r="AA68" i="1"/>
  <c r="AB68" i="1" s="1"/>
  <c r="AA69" i="1"/>
  <c r="AB69" i="1" s="1"/>
  <c r="AA70" i="1"/>
  <c r="AB70" i="1" s="1"/>
  <c r="AA71" i="1"/>
  <c r="AB71" i="1" s="1"/>
  <c r="AA72" i="1"/>
  <c r="AB72" i="1" s="1"/>
  <c r="AA73" i="1"/>
  <c r="AB73" i="1" s="1"/>
  <c r="AA74" i="1"/>
  <c r="AB74" i="1" s="1"/>
  <c r="AA75" i="1"/>
  <c r="AB75" i="1" s="1"/>
  <c r="AA76" i="1"/>
  <c r="AB76" i="1" s="1"/>
  <c r="AA77" i="1"/>
  <c r="AB77" i="1" s="1"/>
  <c r="AA78" i="1"/>
  <c r="AB78" i="1" s="1"/>
  <c r="AA79" i="1"/>
  <c r="AB79" i="1" s="1"/>
  <c r="AA80" i="1"/>
  <c r="AB80" i="1" s="1"/>
  <c r="AA81" i="1"/>
  <c r="AB81" i="1" s="1"/>
  <c r="AA82" i="1"/>
  <c r="AB82" i="1" s="1"/>
  <c r="AA2" i="1"/>
  <c r="AB2" i="1" s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2" i="1"/>
  <c r="X3" i="1" a="1"/>
  <c r="X3" i="1" s="1"/>
  <c r="X4" i="1" a="1"/>
  <c r="X4" i="1"/>
  <c r="X5" i="1" a="1"/>
  <c r="X5" i="1" s="1"/>
  <c r="X6" i="1" a="1"/>
  <c r="X6" i="1" s="1"/>
  <c r="X7" i="1" a="1"/>
  <c r="X7" i="1" s="1"/>
  <c r="X8" i="1" a="1"/>
  <c r="X8" i="1"/>
  <c r="X9" i="1" a="1"/>
  <c r="X9" i="1" s="1"/>
  <c r="X10" i="1" a="1"/>
  <c r="X10" i="1"/>
  <c r="X11" i="1" a="1"/>
  <c r="X11" i="1" s="1"/>
  <c r="X12" i="1" a="1"/>
  <c r="X12" i="1" s="1"/>
  <c r="X13" i="1" a="1"/>
  <c r="X13" i="1" s="1"/>
  <c r="X14" i="1" a="1"/>
  <c r="X14" i="1"/>
  <c r="X15" i="1" a="1"/>
  <c r="X15" i="1" s="1"/>
  <c r="X16" i="1" a="1"/>
  <c r="X16" i="1"/>
  <c r="X17" i="1" a="1"/>
  <c r="X17" i="1" s="1"/>
  <c r="X18" i="1" a="1"/>
  <c r="X18" i="1" s="1"/>
  <c r="X19" i="1" a="1"/>
  <c r="X19" i="1" s="1"/>
  <c r="X20" i="1" a="1"/>
  <c r="X20" i="1"/>
  <c r="X21" i="1" a="1"/>
  <c r="X21" i="1" s="1"/>
  <c r="X22" i="1" a="1"/>
  <c r="X22" i="1"/>
  <c r="X23" i="1" a="1"/>
  <c r="X23" i="1" s="1"/>
  <c r="X24" i="1" a="1"/>
  <c r="X24" i="1" s="1"/>
  <c r="X25" i="1" a="1"/>
  <c r="X25" i="1" s="1"/>
  <c r="X26" i="1" a="1"/>
  <c r="X26" i="1"/>
  <c r="X27" i="1" a="1"/>
  <c r="X27" i="1" s="1"/>
  <c r="X28" i="1" a="1"/>
  <c r="X28" i="1"/>
  <c r="X29" i="1" a="1"/>
  <c r="X29" i="1" s="1"/>
  <c r="X30" i="1" a="1"/>
  <c r="X30" i="1" s="1"/>
  <c r="X31" i="1" a="1"/>
  <c r="X31" i="1" s="1"/>
  <c r="X32" i="1" a="1"/>
  <c r="X32" i="1"/>
  <c r="X33" i="1" a="1"/>
  <c r="X33" i="1" s="1"/>
  <c r="X34" i="1" a="1"/>
  <c r="X34" i="1"/>
  <c r="X35" i="1" a="1"/>
  <c r="X35" i="1" s="1"/>
  <c r="X36" i="1" a="1"/>
  <c r="X36" i="1" s="1"/>
  <c r="X37" i="1" a="1"/>
  <c r="X37" i="1" s="1"/>
  <c r="X38" i="1" a="1"/>
  <c r="X38" i="1"/>
  <c r="X39" i="1" a="1"/>
  <c r="X39" i="1" s="1"/>
  <c r="X40" i="1" a="1"/>
  <c r="X40" i="1"/>
  <c r="X41" i="1" a="1"/>
  <c r="X41" i="1" s="1"/>
  <c r="X42" i="1" a="1"/>
  <c r="X42" i="1" s="1"/>
  <c r="X43" i="1" a="1"/>
  <c r="X43" i="1" s="1"/>
  <c r="X44" i="1" a="1"/>
  <c r="X44" i="1"/>
  <c r="X45" i="1" a="1"/>
  <c r="X45" i="1" s="1"/>
  <c r="X46" i="1" a="1"/>
  <c r="X46" i="1"/>
  <c r="X47" i="1" a="1"/>
  <c r="X47" i="1" s="1"/>
  <c r="X48" i="1" a="1"/>
  <c r="X48" i="1" s="1"/>
  <c r="X49" i="1" a="1"/>
  <c r="X49" i="1" s="1"/>
  <c r="X50" i="1" a="1"/>
  <c r="X50" i="1"/>
  <c r="X51" i="1" a="1"/>
  <c r="X51" i="1" s="1"/>
  <c r="X52" i="1" a="1"/>
  <c r="X52" i="1"/>
  <c r="X53" i="1" a="1"/>
  <c r="X53" i="1" s="1"/>
  <c r="X54" i="1" a="1"/>
  <c r="X54" i="1" s="1"/>
  <c r="X55" i="1" a="1"/>
  <c r="X55" i="1" s="1"/>
  <c r="X56" i="1" a="1"/>
  <c r="X56" i="1"/>
  <c r="X57" i="1" a="1"/>
  <c r="X57" i="1" s="1"/>
  <c r="X58" i="1" a="1"/>
  <c r="X58" i="1"/>
  <c r="X59" i="1" a="1"/>
  <c r="X59" i="1" s="1"/>
  <c r="X60" i="1" a="1"/>
  <c r="X60" i="1" s="1"/>
  <c r="X61" i="1" a="1"/>
  <c r="X61" i="1" s="1"/>
  <c r="X62" i="1" a="1"/>
  <c r="X62" i="1"/>
  <c r="X63" i="1" a="1"/>
  <c r="X63" i="1" s="1"/>
  <c r="X64" i="1" a="1"/>
  <c r="X64" i="1"/>
  <c r="X65" i="1" a="1"/>
  <c r="X65" i="1" s="1"/>
  <c r="X66" i="1" a="1"/>
  <c r="X66" i="1" s="1"/>
  <c r="X67" i="1" a="1"/>
  <c r="X67" i="1" s="1"/>
  <c r="X68" i="1" a="1"/>
  <c r="X68" i="1"/>
  <c r="X69" i="1" a="1"/>
  <c r="X69" i="1" s="1"/>
  <c r="X70" i="1" a="1"/>
  <c r="X70" i="1"/>
  <c r="X71" i="1" a="1"/>
  <c r="X71" i="1" s="1"/>
  <c r="X72" i="1" a="1"/>
  <c r="X72" i="1" s="1"/>
  <c r="X73" i="1" a="1"/>
  <c r="X73" i="1" s="1"/>
  <c r="X74" i="1" a="1"/>
  <c r="X74" i="1"/>
  <c r="X75" i="1" a="1"/>
  <c r="X75" i="1" s="1"/>
  <c r="X76" i="1" a="1"/>
  <c r="X76" i="1"/>
  <c r="X77" i="1" a="1"/>
  <c r="X77" i="1" s="1"/>
  <c r="X78" i="1" a="1"/>
  <c r="X78" i="1" s="1"/>
  <c r="X79" i="1" a="1"/>
  <c r="X79" i="1" s="1"/>
  <c r="X80" i="1" a="1"/>
  <c r="X80" i="1"/>
  <c r="X81" i="1" a="1"/>
  <c r="X81" i="1" s="1"/>
  <c r="X82" i="1" a="1"/>
  <c r="X82" i="1"/>
  <c r="X2" i="1" a="1"/>
  <c r="X2" i="1" s="1"/>
  <c r="A50" i="4" s="1" a="1"/>
  <c r="A50" i="4" s="1"/>
  <c r="B50" i="4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2" i="1"/>
  <c r="B3" i="4" s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R6" i="1"/>
  <c r="S6" i="1"/>
  <c r="R10" i="1"/>
  <c r="S10" i="1"/>
  <c r="S14" i="1"/>
  <c r="R18" i="1"/>
  <c r="S18" i="1"/>
  <c r="R22" i="1"/>
  <c r="S22" i="1"/>
  <c r="S26" i="1"/>
  <c r="R30" i="1"/>
  <c r="S30" i="1"/>
  <c r="R34" i="1"/>
  <c r="S34" i="1"/>
  <c r="S38" i="1"/>
  <c r="R42" i="1"/>
  <c r="S42" i="1"/>
  <c r="R46" i="1"/>
  <c r="S46" i="1"/>
  <c r="S50" i="1"/>
  <c r="R54" i="1"/>
  <c r="S54" i="1"/>
  <c r="R58" i="1"/>
  <c r="S58" i="1"/>
  <c r="S62" i="1"/>
  <c r="R66" i="1"/>
  <c r="S66" i="1"/>
  <c r="R70" i="1"/>
  <c r="S70" i="1"/>
  <c r="S74" i="1"/>
  <c r="R78" i="1"/>
  <c r="S78" i="1"/>
  <c r="R82" i="1"/>
  <c r="S82" i="1"/>
  <c r="L2" i="1"/>
  <c r="Q7" i="1"/>
  <c r="Q8" i="1"/>
  <c r="Q19" i="1"/>
  <c r="Q20" i="1"/>
  <c r="Q31" i="1"/>
  <c r="Q32" i="1"/>
  <c r="Q43" i="1"/>
  <c r="Q44" i="1"/>
  <c r="Q55" i="1"/>
  <c r="Q56" i="1"/>
  <c r="Q67" i="1"/>
  <c r="Q68" i="1"/>
  <c r="Q79" i="1"/>
  <c r="Q80" i="1"/>
  <c r="L3" i="1"/>
  <c r="Q3" i="1" s="1"/>
  <c r="M3" i="1"/>
  <c r="R3" i="1" s="1"/>
  <c r="N3" i="1"/>
  <c r="S3" i="1" s="1"/>
  <c r="O3" i="1"/>
  <c r="T3" i="1" s="1"/>
  <c r="L4" i="1"/>
  <c r="Q4" i="1" s="1"/>
  <c r="M4" i="1"/>
  <c r="R4" i="1" s="1"/>
  <c r="N4" i="1"/>
  <c r="S4" i="1" s="1"/>
  <c r="O4" i="1"/>
  <c r="T4" i="1" s="1"/>
  <c r="L5" i="1"/>
  <c r="Q5" i="1" s="1"/>
  <c r="M5" i="1"/>
  <c r="R5" i="1" s="1"/>
  <c r="N5" i="1"/>
  <c r="S5" i="1" s="1"/>
  <c r="O5" i="1"/>
  <c r="T5" i="1" s="1"/>
  <c r="L6" i="1"/>
  <c r="Q6" i="1" s="1"/>
  <c r="M6" i="1"/>
  <c r="N6" i="1"/>
  <c r="O6" i="1"/>
  <c r="T6" i="1" s="1"/>
  <c r="L7" i="1"/>
  <c r="M7" i="1"/>
  <c r="R7" i="1" s="1"/>
  <c r="N7" i="1"/>
  <c r="S7" i="1" s="1"/>
  <c r="O7" i="1"/>
  <c r="T7" i="1" s="1"/>
  <c r="L8" i="1"/>
  <c r="M8" i="1"/>
  <c r="R8" i="1" s="1"/>
  <c r="N8" i="1"/>
  <c r="S8" i="1" s="1"/>
  <c r="O8" i="1"/>
  <c r="T8" i="1" s="1"/>
  <c r="L9" i="1"/>
  <c r="Q9" i="1" s="1"/>
  <c r="M9" i="1"/>
  <c r="R9" i="1" s="1"/>
  <c r="N9" i="1"/>
  <c r="S9" i="1" s="1"/>
  <c r="O9" i="1"/>
  <c r="T9" i="1" s="1"/>
  <c r="L10" i="1"/>
  <c r="Q10" i="1" s="1"/>
  <c r="M10" i="1"/>
  <c r="N10" i="1"/>
  <c r="O10" i="1"/>
  <c r="T10" i="1" s="1"/>
  <c r="L11" i="1"/>
  <c r="Q11" i="1" s="1"/>
  <c r="M11" i="1"/>
  <c r="R11" i="1" s="1"/>
  <c r="N11" i="1"/>
  <c r="S11" i="1" s="1"/>
  <c r="O11" i="1"/>
  <c r="T11" i="1" s="1"/>
  <c r="L12" i="1"/>
  <c r="Q12" i="1" s="1"/>
  <c r="M12" i="1"/>
  <c r="R12" i="1" s="1"/>
  <c r="N12" i="1"/>
  <c r="S12" i="1" s="1"/>
  <c r="O12" i="1"/>
  <c r="T12" i="1" s="1"/>
  <c r="L13" i="1"/>
  <c r="Q13" i="1" s="1"/>
  <c r="M13" i="1"/>
  <c r="R13" i="1" s="1"/>
  <c r="N13" i="1"/>
  <c r="S13" i="1" s="1"/>
  <c r="O13" i="1"/>
  <c r="T13" i="1" s="1"/>
  <c r="L14" i="1"/>
  <c r="Q14" i="1" s="1"/>
  <c r="M14" i="1"/>
  <c r="R14" i="1" s="1"/>
  <c r="N14" i="1"/>
  <c r="O14" i="1"/>
  <c r="T14" i="1" s="1"/>
  <c r="L15" i="1"/>
  <c r="Q15" i="1" s="1"/>
  <c r="M15" i="1"/>
  <c r="R15" i="1" s="1"/>
  <c r="N15" i="1"/>
  <c r="S15" i="1" s="1"/>
  <c r="O15" i="1"/>
  <c r="T15" i="1" s="1"/>
  <c r="L16" i="1"/>
  <c r="Q16" i="1" s="1"/>
  <c r="M16" i="1"/>
  <c r="R16" i="1" s="1"/>
  <c r="N16" i="1"/>
  <c r="S16" i="1" s="1"/>
  <c r="O16" i="1"/>
  <c r="T16" i="1" s="1"/>
  <c r="L17" i="1"/>
  <c r="Q17" i="1" s="1"/>
  <c r="M17" i="1"/>
  <c r="R17" i="1" s="1"/>
  <c r="N17" i="1"/>
  <c r="S17" i="1" s="1"/>
  <c r="O17" i="1"/>
  <c r="T17" i="1" s="1"/>
  <c r="L18" i="1"/>
  <c r="Q18" i="1" s="1"/>
  <c r="M18" i="1"/>
  <c r="N18" i="1"/>
  <c r="O18" i="1"/>
  <c r="T18" i="1" s="1"/>
  <c r="L19" i="1"/>
  <c r="M19" i="1"/>
  <c r="R19" i="1" s="1"/>
  <c r="N19" i="1"/>
  <c r="S19" i="1" s="1"/>
  <c r="O19" i="1"/>
  <c r="T19" i="1" s="1"/>
  <c r="L20" i="1"/>
  <c r="M20" i="1"/>
  <c r="R20" i="1" s="1"/>
  <c r="N20" i="1"/>
  <c r="S20" i="1" s="1"/>
  <c r="O20" i="1"/>
  <c r="T20" i="1" s="1"/>
  <c r="L21" i="1"/>
  <c r="Q21" i="1" s="1"/>
  <c r="M21" i="1"/>
  <c r="R21" i="1" s="1"/>
  <c r="N21" i="1"/>
  <c r="S21" i="1" s="1"/>
  <c r="O21" i="1"/>
  <c r="T21" i="1" s="1"/>
  <c r="L22" i="1"/>
  <c r="Q22" i="1" s="1"/>
  <c r="M22" i="1"/>
  <c r="N22" i="1"/>
  <c r="O22" i="1"/>
  <c r="T22" i="1" s="1"/>
  <c r="L23" i="1"/>
  <c r="Q23" i="1" s="1"/>
  <c r="M23" i="1"/>
  <c r="R23" i="1" s="1"/>
  <c r="N23" i="1"/>
  <c r="S23" i="1" s="1"/>
  <c r="O23" i="1"/>
  <c r="T23" i="1" s="1"/>
  <c r="L24" i="1"/>
  <c r="Q24" i="1" s="1"/>
  <c r="M24" i="1"/>
  <c r="R24" i="1" s="1"/>
  <c r="N24" i="1"/>
  <c r="S24" i="1" s="1"/>
  <c r="O24" i="1"/>
  <c r="T24" i="1" s="1"/>
  <c r="L25" i="1"/>
  <c r="Q25" i="1" s="1"/>
  <c r="M25" i="1"/>
  <c r="R25" i="1" s="1"/>
  <c r="N25" i="1"/>
  <c r="S25" i="1" s="1"/>
  <c r="O25" i="1"/>
  <c r="T25" i="1" s="1"/>
  <c r="L26" i="1"/>
  <c r="Q26" i="1" s="1"/>
  <c r="M26" i="1"/>
  <c r="R26" i="1" s="1"/>
  <c r="N26" i="1"/>
  <c r="O26" i="1"/>
  <c r="T26" i="1" s="1"/>
  <c r="L27" i="1"/>
  <c r="Q27" i="1" s="1"/>
  <c r="M27" i="1"/>
  <c r="R27" i="1" s="1"/>
  <c r="N27" i="1"/>
  <c r="S27" i="1" s="1"/>
  <c r="O27" i="1"/>
  <c r="T27" i="1" s="1"/>
  <c r="L28" i="1"/>
  <c r="Q28" i="1" s="1"/>
  <c r="M28" i="1"/>
  <c r="R28" i="1" s="1"/>
  <c r="N28" i="1"/>
  <c r="S28" i="1" s="1"/>
  <c r="O28" i="1"/>
  <c r="T28" i="1" s="1"/>
  <c r="L29" i="1"/>
  <c r="Q29" i="1" s="1"/>
  <c r="M29" i="1"/>
  <c r="R29" i="1" s="1"/>
  <c r="N29" i="1"/>
  <c r="S29" i="1" s="1"/>
  <c r="O29" i="1"/>
  <c r="T29" i="1" s="1"/>
  <c r="L30" i="1"/>
  <c r="Q30" i="1" s="1"/>
  <c r="M30" i="1"/>
  <c r="N30" i="1"/>
  <c r="O30" i="1"/>
  <c r="T30" i="1" s="1"/>
  <c r="L31" i="1"/>
  <c r="M31" i="1"/>
  <c r="R31" i="1" s="1"/>
  <c r="N31" i="1"/>
  <c r="S31" i="1" s="1"/>
  <c r="O31" i="1"/>
  <c r="T31" i="1" s="1"/>
  <c r="L32" i="1"/>
  <c r="M32" i="1"/>
  <c r="R32" i="1" s="1"/>
  <c r="N32" i="1"/>
  <c r="S32" i="1" s="1"/>
  <c r="O32" i="1"/>
  <c r="T32" i="1" s="1"/>
  <c r="L33" i="1"/>
  <c r="Q33" i="1" s="1"/>
  <c r="M33" i="1"/>
  <c r="R33" i="1" s="1"/>
  <c r="N33" i="1"/>
  <c r="S33" i="1" s="1"/>
  <c r="O33" i="1"/>
  <c r="T33" i="1" s="1"/>
  <c r="L34" i="1"/>
  <c r="Q34" i="1" s="1"/>
  <c r="M34" i="1"/>
  <c r="N34" i="1"/>
  <c r="O34" i="1"/>
  <c r="T34" i="1" s="1"/>
  <c r="L35" i="1"/>
  <c r="Q35" i="1" s="1"/>
  <c r="M35" i="1"/>
  <c r="R35" i="1" s="1"/>
  <c r="N35" i="1"/>
  <c r="S35" i="1" s="1"/>
  <c r="O35" i="1"/>
  <c r="T35" i="1" s="1"/>
  <c r="L36" i="1"/>
  <c r="Q36" i="1" s="1"/>
  <c r="M36" i="1"/>
  <c r="R36" i="1" s="1"/>
  <c r="N36" i="1"/>
  <c r="S36" i="1" s="1"/>
  <c r="O36" i="1"/>
  <c r="T36" i="1" s="1"/>
  <c r="L37" i="1"/>
  <c r="Q37" i="1" s="1"/>
  <c r="M37" i="1"/>
  <c r="R37" i="1" s="1"/>
  <c r="N37" i="1"/>
  <c r="S37" i="1" s="1"/>
  <c r="O37" i="1"/>
  <c r="T37" i="1" s="1"/>
  <c r="L38" i="1"/>
  <c r="Q38" i="1" s="1"/>
  <c r="M38" i="1"/>
  <c r="R38" i="1" s="1"/>
  <c r="N38" i="1"/>
  <c r="O38" i="1"/>
  <c r="T38" i="1" s="1"/>
  <c r="L39" i="1"/>
  <c r="Q39" i="1" s="1"/>
  <c r="M39" i="1"/>
  <c r="R39" i="1" s="1"/>
  <c r="N39" i="1"/>
  <c r="S39" i="1" s="1"/>
  <c r="O39" i="1"/>
  <c r="T39" i="1" s="1"/>
  <c r="L40" i="1"/>
  <c r="Q40" i="1" s="1"/>
  <c r="M40" i="1"/>
  <c r="R40" i="1" s="1"/>
  <c r="N40" i="1"/>
  <c r="S40" i="1" s="1"/>
  <c r="O40" i="1"/>
  <c r="T40" i="1" s="1"/>
  <c r="L41" i="1"/>
  <c r="Q41" i="1" s="1"/>
  <c r="M41" i="1"/>
  <c r="R41" i="1" s="1"/>
  <c r="N41" i="1"/>
  <c r="S41" i="1" s="1"/>
  <c r="O41" i="1"/>
  <c r="T41" i="1" s="1"/>
  <c r="L42" i="1"/>
  <c r="Q42" i="1" s="1"/>
  <c r="M42" i="1"/>
  <c r="N42" i="1"/>
  <c r="O42" i="1"/>
  <c r="T42" i="1" s="1"/>
  <c r="L43" i="1"/>
  <c r="M43" i="1"/>
  <c r="R43" i="1" s="1"/>
  <c r="N43" i="1"/>
  <c r="S43" i="1" s="1"/>
  <c r="O43" i="1"/>
  <c r="T43" i="1" s="1"/>
  <c r="L44" i="1"/>
  <c r="M44" i="1"/>
  <c r="R44" i="1" s="1"/>
  <c r="N44" i="1"/>
  <c r="S44" i="1" s="1"/>
  <c r="O44" i="1"/>
  <c r="T44" i="1" s="1"/>
  <c r="L45" i="1"/>
  <c r="Q45" i="1" s="1"/>
  <c r="M45" i="1"/>
  <c r="R45" i="1" s="1"/>
  <c r="N45" i="1"/>
  <c r="S45" i="1" s="1"/>
  <c r="O45" i="1"/>
  <c r="T45" i="1" s="1"/>
  <c r="L46" i="1"/>
  <c r="Q46" i="1" s="1"/>
  <c r="M46" i="1"/>
  <c r="N46" i="1"/>
  <c r="O46" i="1"/>
  <c r="T46" i="1" s="1"/>
  <c r="L47" i="1"/>
  <c r="Q47" i="1" s="1"/>
  <c r="M47" i="1"/>
  <c r="R47" i="1" s="1"/>
  <c r="N47" i="1"/>
  <c r="S47" i="1" s="1"/>
  <c r="O47" i="1"/>
  <c r="T47" i="1" s="1"/>
  <c r="L48" i="1"/>
  <c r="Q48" i="1" s="1"/>
  <c r="M48" i="1"/>
  <c r="R48" i="1" s="1"/>
  <c r="N48" i="1"/>
  <c r="S48" i="1" s="1"/>
  <c r="O48" i="1"/>
  <c r="T48" i="1" s="1"/>
  <c r="L49" i="1"/>
  <c r="Q49" i="1" s="1"/>
  <c r="M49" i="1"/>
  <c r="R49" i="1" s="1"/>
  <c r="N49" i="1"/>
  <c r="S49" i="1" s="1"/>
  <c r="O49" i="1"/>
  <c r="T49" i="1" s="1"/>
  <c r="L50" i="1"/>
  <c r="Q50" i="1" s="1"/>
  <c r="M50" i="1"/>
  <c r="R50" i="1" s="1"/>
  <c r="N50" i="1"/>
  <c r="O50" i="1"/>
  <c r="T50" i="1" s="1"/>
  <c r="L51" i="1"/>
  <c r="Q51" i="1" s="1"/>
  <c r="M51" i="1"/>
  <c r="R51" i="1" s="1"/>
  <c r="N51" i="1"/>
  <c r="S51" i="1" s="1"/>
  <c r="O51" i="1"/>
  <c r="T51" i="1" s="1"/>
  <c r="L52" i="1"/>
  <c r="Q52" i="1" s="1"/>
  <c r="M52" i="1"/>
  <c r="R52" i="1" s="1"/>
  <c r="N52" i="1"/>
  <c r="S52" i="1" s="1"/>
  <c r="O52" i="1"/>
  <c r="T52" i="1" s="1"/>
  <c r="L53" i="1"/>
  <c r="Q53" i="1" s="1"/>
  <c r="M53" i="1"/>
  <c r="R53" i="1" s="1"/>
  <c r="N53" i="1"/>
  <c r="S53" i="1" s="1"/>
  <c r="O53" i="1"/>
  <c r="T53" i="1" s="1"/>
  <c r="L54" i="1"/>
  <c r="Q54" i="1" s="1"/>
  <c r="M54" i="1"/>
  <c r="N54" i="1"/>
  <c r="O54" i="1"/>
  <c r="T54" i="1" s="1"/>
  <c r="L55" i="1"/>
  <c r="M55" i="1"/>
  <c r="R55" i="1" s="1"/>
  <c r="N55" i="1"/>
  <c r="S55" i="1" s="1"/>
  <c r="O55" i="1"/>
  <c r="T55" i="1" s="1"/>
  <c r="L56" i="1"/>
  <c r="M56" i="1"/>
  <c r="R56" i="1" s="1"/>
  <c r="N56" i="1"/>
  <c r="S56" i="1" s="1"/>
  <c r="O56" i="1"/>
  <c r="T56" i="1" s="1"/>
  <c r="L57" i="1"/>
  <c r="Q57" i="1" s="1"/>
  <c r="M57" i="1"/>
  <c r="R57" i="1" s="1"/>
  <c r="N57" i="1"/>
  <c r="S57" i="1" s="1"/>
  <c r="O57" i="1"/>
  <c r="T57" i="1" s="1"/>
  <c r="L58" i="1"/>
  <c r="Q58" i="1" s="1"/>
  <c r="M58" i="1"/>
  <c r="N58" i="1"/>
  <c r="O58" i="1"/>
  <c r="T58" i="1" s="1"/>
  <c r="L59" i="1"/>
  <c r="Q59" i="1" s="1"/>
  <c r="M59" i="1"/>
  <c r="R59" i="1" s="1"/>
  <c r="N59" i="1"/>
  <c r="S59" i="1" s="1"/>
  <c r="O59" i="1"/>
  <c r="T59" i="1" s="1"/>
  <c r="L60" i="1"/>
  <c r="Q60" i="1" s="1"/>
  <c r="M60" i="1"/>
  <c r="R60" i="1" s="1"/>
  <c r="N60" i="1"/>
  <c r="S60" i="1" s="1"/>
  <c r="O60" i="1"/>
  <c r="T60" i="1" s="1"/>
  <c r="L61" i="1"/>
  <c r="Q61" i="1" s="1"/>
  <c r="M61" i="1"/>
  <c r="R61" i="1" s="1"/>
  <c r="N61" i="1"/>
  <c r="S61" i="1" s="1"/>
  <c r="O61" i="1"/>
  <c r="T61" i="1" s="1"/>
  <c r="L62" i="1"/>
  <c r="Q62" i="1" s="1"/>
  <c r="M62" i="1"/>
  <c r="R62" i="1" s="1"/>
  <c r="N62" i="1"/>
  <c r="O62" i="1"/>
  <c r="T62" i="1" s="1"/>
  <c r="L63" i="1"/>
  <c r="Q63" i="1" s="1"/>
  <c r="M63" i="1"/>
  <c r="R63" i="1" s="1"/>
  <c r="N63" i="1"/>
  <c r="S63" i="1" s="1"/>
  <c r="O63" i="1"/>
  <c r="T63" i="1" s="1"/>
  <c r="L64" i="1"/>
  <c r="Q64" i="1" s="1"/>
  <c r="M64" i="1"/>
  <c r="R64" i="1" s="1"/>
  <c r="N64" i="1"/>
  <c r="S64" i="1" s="1"/>
  <c r="O64" i="1"/>
  <c r="T64" i="1" s="1"/>
  <c r="L65" i="1"/>
  <c r="Q65" i="1" s="1"/>
  <c r="M65" i="1"/>
  <c r="R65" i="1" s="1"/>
  <c r="N65" i="1"/>
  <c r="S65" i="1" s="1"/>
  <c r="O65" i="1"/>
  <c r="T65" i="1" s="1"/>
  <c r="L66" i="1"/>
  <c r="Q66" i="1" s="1"/>
  <c r="M66" i="1"/>
  <c r="N66" i="1"/>
  <c r="O66" i="1"/>
  <c r="T66" i="1" s="1"/>
  <c r="L67" i="1"/>
  <c r="M67" i="1"/>
  <c r="R67" i="1" s="1"/>
  <c r="N67" i="1"/>
  <c r="S67" i="1" s="1"/>
  <c r="O67" i="1"/>
  <c r="T67" i="1" s="1"/>
  <c r="L68" i="1"/>
  <c r="M68" i="1"/>
  <c r="R68" i="1" s="1"/>
  <c r="N68" i="1"/>
  <c r="S68" i="1" s="1"/>
  <c r="O68" i="1"/>
  <c r="T68" i="1" s="1"/>
  <c r="L69" i="1"/>
  <c r="Q69" i="1" s="1"/>
  <c r="M69" i="1"/>
  <c r="R69" i="1" s="1"/>
  <c r="N69" i="1"/>
  <c r="S69" i="1" s="1"/>
  <c r="O69" i="1"/>
  <c r="T69" i="1" s="1"/>
  <c r="L70" i="1"/>
  <c r="Q70" i="1" s="1"/>
  <c r="M70" i="1"/>
  <c r="N70" i="1"/>
  <c r="O70" i="1"/>
  <c r="T70" i="1" s="1"/>
  <c r="L71" i="1"/>
  <c r="Q71" i="1" s="1"/>
  <c r="M71" i="1"/>
  <c r="R71" i="1" s="1"/>
  <c r="N71" i="1"/>
  <c r="S71" i="1" s="1"/>
  <c r="O71" i="1"/>
  <c r="T71" i="1" s="1"/>
  <c r="L72" i="1"/>
  <c r="Q72" i="1" s="1"/>
  <c r="M72" i="1"/>
  <c r="R72" i="1" s="1"/>
  <c r="N72" i="1"/>
  <c r="S72" i="1" s="1"/>
  <c r="O72" i="1"/>
  <c r="T72" i="1" s="1"/>
  <c r="L73" i="1"/>
  <c r="Q73" i="1" s="1"/>
  <c r="M73" i="1"/>
  <c r="R73" i="1" s="1"/>
  <c r="N73" i="1"/>
  <c r="S73" i="1" s="1"/>
  <c r="O73" i="1"/>
  <c r="T73" i="1" s="1"/>
  <c r="L74" i="1"/>
  <c r="Q74" i="1" s="1"/>
  <c r="M74" i="1"/>
  <c r="R74" i="1" s="1"/>
  <c r="N74" i="1"/>
  <c r="O74" i="1"/>
  <c r="T74" i="1" s="1"/>
  <c r="L75" i="1"/>
  <c r="Q75" i="1" s="1"/>
  <c r="M75" i="1"/>
  <c r="R75" i="1" s="1"/>
  <c r="N75" i="1"/>
  <c r="S75" i="1" s="1"/>
  <c r="O75" i="1"/>
  <c r="T75" i="1" s="1"/>
  <c r="L76" i="1"/>
  <c r="Q76" i="1" s="1"/>
  <c r="M76" i="1"/>
  <c r="R76" i="1" s="1"/>
  <c r="N76" i="1"/>
  <c r="S76" i="1" s="1"/>
  <c r="O76" i="1"/>
  <c r="T76" i="1" s="1"/>
  <c r="L77" i="1"/>
  <c r="Q77" i="1" s="1"/>
  <c r="M77" i="1"/>
  <c r="R77" i="1" s="1"/>
  <c r="N77" i="1"/>
  <c r="S77" i="1" s="1"/>
  <c r="O77" i="1"/>
  <c r="T77" i="1" s="1"/>
  <c r="L78" i="1"/>
  <c r="Q78" i="1" s="1"/>
  <c r="M78" i="1"/>
  <c r="N78" i="1"/>
  <c r="O78" i="1"/>
  <c r="T78" i="1" s="1"/>
  <c r="L79" i="1"/>
  <c r="M79" i="1"/>
  <c r="R79" i="1" s="1"/>
  <c r="N79" i="1"/>
  <c r="S79" i="1" s="1"/>
  <c r="O79" i="1"/>
  <c r="T79" i="1" s="1"/>
  <c r="L80" i="1"/>
  <c r="M80" i="1"/>
  <c r="R80" i="1" s="1"/>
  <c r="N80" i="1"/>
  <c r="S80" i="1" s="1"/>
  <c r="O80" i="1"/>
  <c r="T80" i="1" s="1"/>
  <c r="L81" i="1"/>
  <c r="Q81" i="1" s="1"/>
  <c r="M81" i="1"/>
  <c r="R81" i="1" s="1"/>
  <c r="N81" i="1"/>
  <c r="S81" i="1" s="1"/>
  <c r="O81" i="1"/>
  <c r="T81" i="1" s="1"/>
  <c r="L82" i="1"/>
  <c r="Q82" i="1" s="1"/>
  <c r="M82" i="1"/>
  <c r="N82" i="1"/>
  <c r="O82" i="1"/>
  <c r="T82" i="1" s="1"/>
  <c r="M2" i="1"/>
  <c r="R2" i="1" s="1"/>
  <c r="N2" i="1"/>
  <c r="S2" i="1" s="1"/>
  <c r="O2" i="1"/>
  <c r="T2" i="1" s="1"/>
  <c r="A10" i="4" l="1" a="1"/>
  <c r="A10" i="4" s="1"/>
  <c r="C10" i="4" s="1"/>
  <c r="A56" i="4" a="1"/>
  <c r="B52" i="4"/>
  <c r="B53" i="4" s="1"/>
  <c r="B51" i="4"/>
  <c r="C22" i="4" l="1"/>
  <c r="B39" i="4"/>
  <c r="C17" i="4"/>
  <c r="B45" i="4"/>
  <c r="C24" i="4"/>
  <c r="B25" i="4"/>
  <c r="C46" i="4"/>
  <c r="C11" i="4"/>
  <c r="C36" i="4"/>
  <c r="B37" i="4"/>
  <c r="C26" i="4"/>
  <c r="B21" i="4"/>
  <c r="C41" i="4"/>
  <c r="B33" i="4"/>
  <c r="C23" i="4"/>
  <c r="B11" i="4"/>
  <c r="C15" i="4"/>
  <c r="B19" i="4"/>
  <c r="B43" i="4"/>
  <c r="B18" i="4"/>
  <c r="C35" i="4"/>
  <c r="B23" i="4"/>
  <c r="C27" i="4"/>
  <c r="B29" i="4"/>
  <c r="B41" i="4"/>
  <c r="B31" i="4"/>
  <c r="C34" i="4"/>
  <c r="C21" i="4"/>
  <c r="B40" i="4"/>
  <c r="B30" i="4"/>
  <c r="C33" i="4"/>
  <c r="B22" i="4"/>
  <c r="B35" i="4"/>
  <c r="C39" i="4"/>
  <c r="C44" i="4"/>
  <c r="B13" i="4"/>
  <c r="C18" i="4"/>
  <c r="C45" i="4"/>
  <c r="B34" i="4"/>
  <c r="B10" i="4"/>
  <c r="B14" i="4"/>
  <c r="B27" i="4"/>
  <c r="B24" i="4"/>
  <c r="C19" i="4"/>
  <c r="B16" i="4"/>
  <c r="B42" i="4"/>
  <c r="C28" i="4"/>
  <c r="C30" i="4"/>
  <c r="B20" i="4"/>
  <c r="B46" i="4"/>
  <c r="C13" i="4"/>
  <c r="B26" i="4"/>
  <c r="B12" i="4"/>
  <c r="C12" i="4"/>
  <c r="C31" i="4"/>
  <c r="B28" i="4"/>
  <c r="C40" i="4"/>
  <c r="C42" i="4"/>
  <c r="C20" i="4"/>
  <c r="B32" i="4"/>
  <c r="C25" i="4"/>
  <c r="B36" i="4"/>
  <c r="B38" i="4"/>
  <c r="C38" i="4"/>
  <c r="C29" i="4"/>
  <c r="C43" i="4"/>
  <c r="C16" i="4"/>
  <c r="B15" i="4"/>
  <c r="B17" i="4"/>
  <c r="C32" i="4"/>
  <c r="B44" i="4"/>
  <c r="C37" i="4"/>
  <c r="C14" i="4"/>
  <c r="A56" i="4"/>
  <c r="C57" i="4"/>
  <c r="B58" i="4"/>
  <c r="C58" i="4"/>
  <c r="B57" i="4"/>
  <c r="C56" i="4" l="1"/>
  <c r="B5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<sst xmlns="http://schemas.openxmlformats.org/spreadsheetml/2006/main" count="1528" uniqueCount="1075">
  <si>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</si>
  <si>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</si>
  <si>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</si>
  <si>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</si>
  <si>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</si>
  <si>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</si>
  <si>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</si>
  <si>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</si>
  <si>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</si>
  <si>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</si>
  <si>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</si>
  <si>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</si>
  <si>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</si>
  <si>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</si>
  <si>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</si>
  <si>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</si>
  <si>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</si>
  <si>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</si>
  <si>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</si>
  <si>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</si>
  <si>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</si>
  <si>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</si>
  <si>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</si>
  <si>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</si>
  <si>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</si>
  <si>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</si>
  <si>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</si>
  <si>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</si>
  <si>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</si>
  <si>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</si>
  <si>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</si>
  <si>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</si>
  <si>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</si>
  <si>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</si>
  <si>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</si>
  <si>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</si>
  <si>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</si>
  <si>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</si>
  <si>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</si>
  <si>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</si>
  <si>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</si>
  <si>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</si>
  <si>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</si>
  <si>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</si>
  <si>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</si>
  <si>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</si>
  <si>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</si>
  <si>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</si>
  <si>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</si>
  <si>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</si>
  <si>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</si>
  <si>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</si>
  <si>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</si>
  <si>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</si>
  <si>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</si>
  <si>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</si>
  <si>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</si>
  <si>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</si>
  <si>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</si>
  <si>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</si>
  <si>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</si>
  <si>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</si>
  <si>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</si>
  <si>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</si>
  <si>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</si>
  <si>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</si>
  <si>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</si>
  <si>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</si>
  <si>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</si>
  <si>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</si>
  <si>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</si>
  <si>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</si>
  <si>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</si>
  <si>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</si>
  <si>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</si>
  <si>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</si>
  <si>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</si>
  <si>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</si>
  <si>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</si>
  <si>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</si>
  <si>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</si>
  <si>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</si>
  <si>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</si>
  <si>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</si>
  <si>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</si>
  <si>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</si>
  <si>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</si>
  <si>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</si>
  <si>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</si>
  <si>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</si>
  <si>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</si>
  <si>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</si>
  <si>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</si>
  <si>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</si>
  <si>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</si>
  <si>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</si>
  <si>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</si>
  <si>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</si>
  <si>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</si>
  <si>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</si>
  <si>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</si>
  <si>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</si>
  <si>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</si>
  <si>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</si>
  <si>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</si>
  <si>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</si>
  <si>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</si>
  <si>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</si>
  <si>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</si>
  <si>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</si>
  <si>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</si>
  <si>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</si>
  <si>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</si>
  <si>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</si>
  <si>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</si>
  <si>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</si>
  <si>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</si>
  <si>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</si>
  <si>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</si>
  <si>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</si>
  <si>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</si>
  <si>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</si>
  <si>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</si>
  <si>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</si>
  <si>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</si>
  <si>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</si>
  <si>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</si>
  <si>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</si>
  <si>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</si>
  <si>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</si>
  <si>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</si>
  <si>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</si>
  <si>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</si>
  <si>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</si>
  <si>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</si>
  <si>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</si>
  <si>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</si>
  <si>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</si>
  <si>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</si>
  <si>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</si>
  <si>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</si>
  <si>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</si>
  <si>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</si>
  <si>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</si>
  <si>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</si>
  <si>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</si>
  <si>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</si>
  <si>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</si>
  <si>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</si>
  <si>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</si>
  <si>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</si>
  <si>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</si>
  <si>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</si>
  <si>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</si>
  <si>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</si>
  <si>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</si>
  <si>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</si>
  <si>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</si>
  <si>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</si>
  <si>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</si>
  <si>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</si>
  <si>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</si>
  <si>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</si>
  <si>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</si>
  <si>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</si>
  <si>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</si>
  <si>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</si>
  <si>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</si>
  <si>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</si>
  <si>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</si>
  <si>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</si>
  <si>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</si>
  <si>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</si>
  <si>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</si>
  <si>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</si>
  <si>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</si>
  <si>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</si>
  <si>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</si>
  <si>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</si>
  <si>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</si>
  <si>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</si>
  <si>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</si>
  <si>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</si>
  <si>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</si>
  <si>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</si>
  <si>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</si>
  <si>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</si>
  <si>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</si>
  <si>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</si>
  <si>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</si>
  <si>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</si>
  <si>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</si>
  <si>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</si>
  <si>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</si>
  <si>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</si>
  <si>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</si>
  <si>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</si>
  <si>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</si>
  <si>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</si>
  <si>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</si>
  <si>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</si>
  <si>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</si>
  <si>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</si>
  <si>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</si>
  <si>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</si>
  <si>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</si>
  <si>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</si>
  <si>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</si>
  <si>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</si>
  <si>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</si>
  <si>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</si>
  <si>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</si>
  <si>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</si>
  <si>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</si>
  <si>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</si>
  <si>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</si>
  <si>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</si>
  <si>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</si>
  <si>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</si>
  <si>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</si>
  <si>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</si>
  <si>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</si>
  <si>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</si>
  <si>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</si>
  <si>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</si>
  <si>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</si>
  <si>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</si>
  <si>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</si>
  <si>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</si>
  <si>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</si>
  <si>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</si>
  <si>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</si>
  <si>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</si>
  <si>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</si>
  <si>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</si>
  <si>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</si>
  <si>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</si>
  <si>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</si>
  <si>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</si>
  <si>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</si>
  <si>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</si>
  <si>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</si>
  <si>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</si>
  <si>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</si>
  <si>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</si>
  <si>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</si>
  <si>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</si>
  <si>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</si>
  <si>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</si>
  <si>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</si>
  <si>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</si>
  <si>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</si>
  <si>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</si>
  <si>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</si>
  <si>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</si>
  <si>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</si>
  <si>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</si>
  <si>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</si>
  <si>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</si>
  <si>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</si>
  <si>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</si>
  <si>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</si>
  <si>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</si>
  <si>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</si>
  <si>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</si>
  <si>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</si>
  <si>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</si>
  <si>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</si>
  <si>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</si>
  <si>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</si>
  <si>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</si>
  <si>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</si>
  <si>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</si>
  <si>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</si>
  <si>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</si>
  <si>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</si>
  <si>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</si>
  <si>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</si>
  <si>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</si>
  <si>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</si>
  <si>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</si>
  <si>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</si>
  <si>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</si>
  <si>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</si>
  <si>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</si>
  <si>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</si>
  <si>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</si>
  <si>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</si>
  <si>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</si>
  <si>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</si>
  <si>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</si>
  <si>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</si>
  <si>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</si>
  <si>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</si>
  <si>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</si>
  <si>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</si>
  <si>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</si>
  <si>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</si>
  <si>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</si>
  <si>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</si>
  <si>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</si>
  <si>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</si>
  <si>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</si>
  <si>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</si>
  <si>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</si>
  <si>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</si>
  <si>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</si>
  <si>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</si>
  <si>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</si>
  <si>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</si>
  <si>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</si>
  <si>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</si>
  <si>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</si>
  <si>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</si>
  <si>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</si>
  <si>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</si>
  <si>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</si>
  <si>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</si>
  <si>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</si>
  <si>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</si>
  <si>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</si>
  <si>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</si>
  <si>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</si>
  <si>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</si>
  <si>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</si>
  <si>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</si>
  <si>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</si>
  <si>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</si>
  <si>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</si>
  <si>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</si>
  <si>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</si>
  <si>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</si>
  <si>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</si>
  <si>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</si>
  <si>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</si>
  <si>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</si>
  <si>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</si>
  <si>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</si>
  <si>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</si>
  <si>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</si>
  <si>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</si>
  <si>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</si>
  <si>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</si>
  <si>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</si>
  <si>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</si>
  <si>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</si>
  <si>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</si>
  <si>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</si>
  <si>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</si>
  <si>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</si>
  <si>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</si>
  <si>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</si>
  <si>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</si>
  <si>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</si>
  <si>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</si>
  <si>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</si>
  <si>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</si>
  <si>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</si>
  <si>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</si>
  <si>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</si>
  <si>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</si>
  <si>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</si>
  <si>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</si>
  <si>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</si>
  <si>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</si>
  <si>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</si>
  <si>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</si>
  <si>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</si>
  <si>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</si>
  <si>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</si>
  <si>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</si>
  <si>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</si>
  <si>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</si>
  <si>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</si>
  <si>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</si>
  <si>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</si>
  <si>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</si>
  <si>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</si>
  <si>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</si>
  <si>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</si>
  <si>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</si>
  <si>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</si>
  <si>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</si>
  <si>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</si>
  <si>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</si>
  <si>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</si>
  <si>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</si>
  <si>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</si>
  <si>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</si>
  <si>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</si>
  <si>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</si>
  <si>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</si>
  <si>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</si>
  <si>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</si>
  <si>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</si>
  <si>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</si>
  <si>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</si>
  <si>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</si>
  <si>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</si>
  <si>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</si>
  <si>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</si>
  <si>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</si>
  <si>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</si>
  <si>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</si>
  <si>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</si>
  <si>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</si>
  <si>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</si>
  <si>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</si>
  <si>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</si>
  <si>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</si>
  <si>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</si>
  <si>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</si>
  <si>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</si>
  <si>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</si>
  <si>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</si>
  <si>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</si>
  <si>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</si>
  <si>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</si>
  <si>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</si>
  <si>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</si>
  <si>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</si>
  <si>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</si>
  <si>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</si>
  <si>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</si>
  <si>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</si>
  <si>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</si>
  <si>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</si>
  <si>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</si>
  <si>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</si>
  <si>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</si>
  <si>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</si>
  <si>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</si>
  <si>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</si>
  <si>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</si>
  <si>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</si>
  <si>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</si>
  <si>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</si>
  <si>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</si>
  <si>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</si>
  <si>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</si>
  <si>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</si>
  <si>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</si>
  <si>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</si>
  <si>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</si>
  <si>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</si>
  <si>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</si>
  <si>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</si>
  <si>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</si>
  <si>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</si>
  <si>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</si>
  <si>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</si>
  <si>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</si>
  <si>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</si>
  <si>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</si>
  <si>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</si>
  <si>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</si>
  <si>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</si>
  <si>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</si>
  <si>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</si>
  <si>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</si>
  <si>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</si>
  <si>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</si>
  <si>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</si>
  <si>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</si>
  <si>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</si>
  <si>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</si>
  <si>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</si>
  <si>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</si>
  <si>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</si>
  <si>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</si>
  <si>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</si>
  <si>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</si>
  <si>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</si>
  <si>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</si>
  <si>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</si>
  <si>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</si>
  <si>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</si>
  <si>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</si>
  <si>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</si>
  <si>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</si>
  <si>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</si>
  <si>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</si>
  <si>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</si>
  <si>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</si>
  <si>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</si>
  <si>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</si>
  <si>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</si>
  <si>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</si>
  <si>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</si>
  <si>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</si>
  <si>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</si>
  <si>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</si>
  <si>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</si>
  <si>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</si>
  <si>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</si>
  <si>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</si>
  <si>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</si>
  <si>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</si>
  <si>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</si>
  <si>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</si>
  <si>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</si>
  <si>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</si>
  <si>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</si>
  <si>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</si>
  <si>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</si>
  <si>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</si>
  <si>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</si>
  <si>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</si>
  <si>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</si>
  <si>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</si>
  <si>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</si>
  <si>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</si>
  <si>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</si>
  <si>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</si>
  <si>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</si>
  <si>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</si>
  <si>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</si>
  <si>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</si>
  <si>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</si>
  <si>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</si>
  <si>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</si>
  <si>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</si>
  <si>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</si>
  <si>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</si>
  <si>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</si>
  <si>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</si>
  <si>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</si>
  <si>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</si>
  <si>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</si>
  <si>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</si>
  <si>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</si>
  <si>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</si>
  <si>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</si>
  <si>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</si>
  <si>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</si>
  <si>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</si>
  <si>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</si>
  <si>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</si>
  <si>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</si>
  <si>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</si>
  <si>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</si>
  <si>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</si>
  <si>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</si>
  <si>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</si>
  <si>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</si>
  <si>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</si>
  <si>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</si>
  <si>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</si>
  <si>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</si>
  <si>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</si>
  <si>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</si>
  <si>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</si>
  <si>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</si>
  <si>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</si>
  <si>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</si>
  <si>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</si>
  <si>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</si>
  <si>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</si>
  <si>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</si>
  <si>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</si>
  <si>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</si>
  <si>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</si>
  <si>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</si>
  <si>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</si>
  <si>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</si>
  <si>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</si>
  <si>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</si>
  <si>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</si>
  <si>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</si>
  <si>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</si>
  <si>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</si>
  <si>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</si>
  <si>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</si>
  <si>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</si>
  <si>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</si>
  <si>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</si>
  <si>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</si>
  <si>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</si>
  <si>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</si>
  <si>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</si>
  <si>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</si>
  <si>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</si>
  <si>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</si>
  <si>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</si>
  <si>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</si>
  <si>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</si>
  <si>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</si>
  <si>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</si>
  <si>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</si>
  <si>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</si>
  <si>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</si>
  <si>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</si>
  <si>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</si>
  <si>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</si>
  <si>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</si>
  <si>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</si>
  <si>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</si>
  <si>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</si>
  <si>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</si>
  <si>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</si>
  <si>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</si>
  <si>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</si>
  <si>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</si>
  <si>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</si>
  <si>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</si>
  <si>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</si>
  <si>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</si>
  <si>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</si>
  <si>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</si>
  <si>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</si>
  <si>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</si>
  <si>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</si>
  <si>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</si>
  <si>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</si>
  <si>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</si>
  <si>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</si>
  <si>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</si>
  <si>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</si>
  <si>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</si>
  <si>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</si>
  <si>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</si>
  <si>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</si>
  <si>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</si>
  <si>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</si>
  <si>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</si>
  <si>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</si>
  <si>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</si>
  <si>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</si>
  <si>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</si>
  <si>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</si>
  <si>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</si>
  <si>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</si>
  <si>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</si>
  <si>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</si>
  <si>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</si>
  <si>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</si>
  <si>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</si>
  <si>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</si>
  <si>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</si>
  <si>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</si>
  <si>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</si>
  <si>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</si>
  <si>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</si>
  <si>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</si>
  <si>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</si>
  <si>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</si>
  <si>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</si>
  <si>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</si>
  <si>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</si>
  <si>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</si>
  <si>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</si>
  <si>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</si>
  <si>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</si>
  <si>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</si>
  <si>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</si>
  <si>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</si>
  <si>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</si>
  <si>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</si>
  <si>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</si>
  <si>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</si>
  <si>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</si>
  <si>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</si>
  <si>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</si>
  <si>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</si>
  <si>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</si>
  <si>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</si>
  <si>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</si>
  <si>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</si>
  <si>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</si>
  <si>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</si>
  <si>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</si>
  <si>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</si>
  <si>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</si>
  <si>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</si>
  <si>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</si>
  <si>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</si>
  <si>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</si>
  <si>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</si>
  <si>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</si>
  <si>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</si>
  <si>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</si>
  <si>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</si>
  <si>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</si>
  <si>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</si>
  <si>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</si>
  <si>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</si>
  <si>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</si>
  <si>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</si>
  <si>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</si>
  <si>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</si>
  <si>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</si>
  <si>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</si>
  <si>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</si>
  <si>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</si>
  <si>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</si>
  <si>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</si>
  <si>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</si>
  <si>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</si>
  <si>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</si>
  <si>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</si>
  <si>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</si>
  <si>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</si>
  <si>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</si>
  <si>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</si>
  <si>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</si>
  <si>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</si>
  <si>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</si>
  <si>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</si>
  <si>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</si>
  <si>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</si>
  <si>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</si>
  <si>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</si>
  <si>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</si>
  <si>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</si>
  <si>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</si>
  <si>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</si>
  <si>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</si>
  <si>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</si>
  <si>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</si>
  <si>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</si>
  <si>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</si>
  <si>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</si>
  <si>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</si>
  <si>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</si>
  <si>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</si>
  <si>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</si>
  <si>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</si>
  <si>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</si>
  <si>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</si>
  <si>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</si>
  <si>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</si>
  <si>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</si>
  <si>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</si>
  <si>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</si>
  <si>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</si>
  <si>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</si>
  <si>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</si>
  <si>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</si>
  <si>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</si>
  <si>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</si>
  <si>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</si>
  <si>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</si>
  <si>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</si>
  <si>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</si>
  <si>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</si>
  <si>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</si>
  <si>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</si>
  <si>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</si>
  <si>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</si>
  <si>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</si>
  <si>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</si>
  <si>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</si>
  <si>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</si>
  <si>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</si>
  <si>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</si>
  <si>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</si>
  <si>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</si>
  <si>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</si>
  <si>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</si>
  <si>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</si>
  <si>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</si>
  <si>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</si>
  <si>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</si>
  <si>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</si>
  <si>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</si>
  <si>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</si>
  <si>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</si>
  <si>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</si>
  <si>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</si>
  <si>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</si>
  <si>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</si>
  <si>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</si>
  <si>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</si>
  <si>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</si>
  <si>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</si>
  <si>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</si>
  <si>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</si>
  <si>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</si>
  <si>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</si>
  <si>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</si>
  <si>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</si>
  <si>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</si>
  <si>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</si>
  <si>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</si>
  <si>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</si>
  <si>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</si>
  <si>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</si>
  <si>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</si>
  <si>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</si>
  <si>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</si>
  <si>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</si>
  <si>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</si>
  <si>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</si>
  <si>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</si>
  <si>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</si>
  <si>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</si>
  <si>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</si>
  <si>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</si>
  <si>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</si>
  <si>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</si>
  <si>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</si>
  <si>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</si>
  <si>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</si>
  <si>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</si>
  <si>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</si>
  <si>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</si>
  <si>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</si>
  <si>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</si>
  <si>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</si>
  <si>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</si>
  <si>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</si>
  <si>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</si>
  <si>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</si>
  <si>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</si>
  <si>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</si>
  <si>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</si>
  <si>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</si>
  <si>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</si>
  <si>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</si>
  <si>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</si>
  <si>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</si>
  <si>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</si>
  <si>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</si>
  <si>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</si>
  <si>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</si>
  <si>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</si>
  <si>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</si>
  <si>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</si>
  <si>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</si>
  <si>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</si>
  <si>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</si>
  <si>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</si>
  <si>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</si>
  <si>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</si>
  <si>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</si>
  <si>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</si>
  <si>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</si>
  <si>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</si>
  <si>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</si>
  <si>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</si>
  <si>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</si>
  <si>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</si>
  <si>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</si>
  <si>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</si>
  <si>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</si>
  <si>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</si>
  <si>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</si>
  <si>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</si>
  <si>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</si>
  <si>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</si>
  <si>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</si>
  <si>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</si>
  <si>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</si>
  <si>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</si>
  <si>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</si>
  <si>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</si>
  <si>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</si>
  <si>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</si>
  <si>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</si>
  <si>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</si>
  <si>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</si>
  <si>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</si>
  <si>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</si>
  <si>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</si>
  <si>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</si>
  <si>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</si>
  <si>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</si>
  <si>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</si>
  <si>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</si>
  <si>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</si>
  <si>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</si>
  <si>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</si>
  <si>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</si>
  <si>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</si>
  <si>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</si>
  <si>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</si>
  <si>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</si>
  <si>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</si>
  <si>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</si>
  <si>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</si>
  <si>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</si>
  <si>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</si>
  <si>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</si>
  <si>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</si>
  <si>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</si>
  <si>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</si>
  <si>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</si>
  <si>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</si>
  <si>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</si>
  <si>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</si>
  <si>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</si>
  <si>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</si>
  <si>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</si>
  <si>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</si>
  <si>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</si>
  <si>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</si>
  <si>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</si>
  <si>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</si>
  <si>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</si>
  <si>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</si>
  <si>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</si>
  <si>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</si>
  <si>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</si>
  <si>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</si>
  <si>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</si>
  <si>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</si>
  <si>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</si>
  <si>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</si>
  <si>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</si>
  <si>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</si>
  <si>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</si>
  <si>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</si>
  <si>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</si>
  <si>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</si>
  <si>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</si>
  <si>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</si>
  <si>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</si>
  <si>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</si>
  <si>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</si>
  <si>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</si>
  <si>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</si>
  <si>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</si>
  <si>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</si>
  <si>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</si>
  <si>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</si>
  <si>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</si>
  <si>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</si>
  <si>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</si>
  <si>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</si>
  <si>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</si>
  <si>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</si>
  <si>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</si>
  <si>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</si>
  <si>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</si>
  <si>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</si>
  <si>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</si>
  <si>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</si>
  <si>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</si>
  <si>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</si>
  <si>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</si>
  <si>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</si>
  <si>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</si>
  <si>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</si>
  <si>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</si>
  <si>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</si>
  <si>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</si>
  <si>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</si>
  <si>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</si>
  <si>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</si>
  <si>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</si>
  <si>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</si>
  <si>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</si>
  <si>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</si>
  <si>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</si>
  <si>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</si>
  <si>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</si>
  <si>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</si>
  <si>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</si>
  <si>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</si>
  <si>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</si>
  <si>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</si>
  <si>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</si>
  <si>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</si>
  <si>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</si>
  <si>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</si>
  <si>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</si>
  <si>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</si>
  <si>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</si>
  <si>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</si>
  <si>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</si>
  <si>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</si>
  <si>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</si>
  <si>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</si>
  <si>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</si>
  <si>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</si>
  <si>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</si>
  <si>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</si>
  <si>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</si>
  <si>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</si>
  <si>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</si>
  <si>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</si>
  <si>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</si>
  <si>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</si>
  <si>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</si>
  <si>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</si>
  <si>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</si>
  <si>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</si>
  <si>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</si>
  <si>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</si>
  <si>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</si>
  <si>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</si>
  <si>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</si>
  <si>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</si>
  <si>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</si>
  <si>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</si>
  <si>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</si>
  <si>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</si>
  <si>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</si>
  <si>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</si>
  <si>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</si>
  <si>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</si>
  <si>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</si>
  <si>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</si>
  <si>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</si>
  <si>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</si>
  <si>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</si>
  <si>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</si>
  <si>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</si>
  <si>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</si>
  <si>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</si>
  <si>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</si>
  <si>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 Dia</t>
  </si>
  <si>
    <t>Variação Semana</t>
  </si>
  <si>
    <t>Variação Mês</t>
  </si>
  <si>
    <t>Variação Ano</t>
  </si>
  <si>
    <t>Siderurgia</t>
  </si>
  <si>
    <t>Mineração</t>
  </si>
  <si>
    <t>Petróleo e Gás</t>
  </si>
  <si>
    <t>Papel e Celulose</t>
  </si>
  <si>
    <t>Energia</t>
  </si>
  <si>
    <t>Shopping Centers</t>
  </si>
  <si>
    <t>Banco</t>
  </si>
  <si>
    <t>Saúde</t>
  </si>
  <si>
    <t>Química</t>
  </si>
  <si>
    <t>Transporte Aéreo</t>
  </si>
  <si>
    <t>Educação</t>
  </si>
  <si>
    <t>Construção Civil</t>
  </si>
  <si>
    <t>Moda</t>
  </si>
  <si>
    <t>Alimentos</t>
  </si>
  <si>
    <t>Varejo</t>
  </si>
  <si>
    <t>Telecomunicações</t>
  </si>
  <si>
    <t>Logística</t>
  </si>
  <si>
    <t>Pagamentos</t>
  </si>
  <si>
    <t>Serviços</t>
  </si>
  <si>
    <t>Holding</t>
  </si>
  <si>
    <t>Tecnologia</t>
  </si>
  <si>
    <t>Farmácias</t>
  </si>
  <si>
    <t>Bebidas</t>
  </si>
  <si>
    <t>Seguros</t>
  </si>
  <si>
    <t>Saneamento</t>
  </si>
  <si>
    <t>Engenharia Elétrica</t>
  </si>
  <si>
    <t>Agricultura</t>
  </si>
  <si>
    <t>Infraestrutura</t>
  </si>
  <si>
    <t>Pet Shop</t>
  </si>
  <si>
    <t>Calçados</t>
  </si>
  <si>
    <t>Aeroespacial</t>
  </si>
  <si>
    <t>Cosméticos</t>
  </si>
  <si>
    <t>Bolsa de Valores</t>
  </si>
  <si>
    <t>Farmacêutica</t>
  </si>
  <si>
    <t>Agronegócio</t>
  </si>
  <si>
    <t>Aluguel de Carros</t>
  </si>
  <si>
    <t>Turismo</t>
  </si>
  <si>
    <t>VL_inicial_Dia</t>
  </si>
  <si>
    <t>VL_inicial_Semana</t>
  </si>
  <si>
    <t>VL_inicial_Mes</t>
  </si>
  <si>
    <t>VL_inicial_Ano</t>
  </si>
  <si>
    <t>VL_inicial_12M</t>
  </si>
  <si>
    <t>Variação 12M</t>
  </si>
  <si>
    <t>Quantidade de Ações</t>
  </si>
  <si>
    <t>Variação$</t>
  </si>
  <si>
    <t>Resultado</t>
  </si>
  <si>
    <t>Nome Da Empresa</t>
  </si>
  <si>
    <t>Segmento</t>
  </si>
  <si>
    <t>Idade</t>
  </si>
  <si>
    <t>Cat.Idade</t>
  </si>
  <si>
    <t xml:space="preserve">Maior </t>
  </si>
  <si>
    <t>Menor</t>
  </si>
  <si>
    <t>Média</t>
  </si>
  <si>
    <t>Média de quem subiu</t>
  </si>
  <si>
    <t>Média de quem Desceu</t>
  </si>
  <si>
    <t>Variação</t>
  </si>
  <si>
    <t>Variação de quem subiu</t>
  </si>
  <si>
    <t>Saldo</t>
  </si>
  <si>
    <t>Análise por Faixa Etária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</si>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</sst>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ECECEC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212121"/>
        <bgColor indexed="64"/>
      </patternFill>
    </fill>
    <fill>
      <patternFill patternType="solid">
        <fgColor rgb="FF00B0F0"/>
        <bgColor rgb="FF4EA72E"/>
      </patternFill>
    </fill>
    <fill>
      <patternFill patternType="solid">
        <fgColor rgb="FFFFFF00"/>
        <bgColor rgb="FF4EA72E"/>
      </patternFill>
    </fill>
  </fills>
  <borders count="6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000000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0" fontId="6" fillId="5" borderId="3" xfId="0" applyFont="1" applyFill="1" applyBorder="1" applyAlignment="1">
      <alignment wrapText="1"/>
    </xf>
    <xf numFmtId="0" fontId="6" fillId="5" borderId="5" xfId="0" applyFont="1" applyFill="1" applyBorder="1" applyAlignment="1">
      <alignment wrapText="1"/>
    </xf>
    <xf numFmtId="0" fontId="6" fillId="5" borderId="1" xfId="0" applyFont="1" applyFill="1" applyBorder="1" applyAlignment="1"/>
    <xf numFmtId="0" fontId="6" fillId="5" borderId="2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/>
    <xf numFmtId="0" fontId="7" fillId="0" borderId="0" xfId="0" applyFont="1" applyAlignment="1"/>
    <xf numFmtId="0" fontId="1" fillId="6" borderId="0" xfId="0" applyFont="1" applyFill="1" applyAlignment="1"/>
    <xf numFmtId="0" fontId="8" fillId="6" borderId="0" xfId="0" applyFont="1" applyFill="1" applyAlignment="1"/>
    <xf numFmtId="8" fontId="0" fillId="0" borderId="0" xfId="0" applyNumberFormat="1" applyFont="1" applyAlignment="1"/>
    <xf numFmtId="4" fontId="0" fillId="0" borderId="0" xfId="0" applyNumberFormat="1" applyFont="1" applyAlignment="1"/>
    <xf numFmtId="0" fontId="8" fillId="7" borderId="0" xfId="0" applyFont="1" applyFill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 do</a:t>
            </a:r>
            <a:r>
              <a:rPr lang="pt-BR" baseline="0"/>
              <a:t> Volume por Categoria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Analises!$B$9</c:f>
              <c:strCache>
                <c:ptCount val="1"/>
                <c:pt idx="0">
                  <c:v>Variação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Analises!$A$10:$A$46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</c:v>
                </c:pt>
                <c:pt idx="5">
                  <c:v>Shopping Centers</c:v>
                </c:pt>
                <c:pt idx="6">
                  <c:v>Banco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Construção Civil</c:v>
                </c:pt>
                <c:pt idx="12">
                  <c:v>Moda</c:v>
                </c:pt>
                <c:pt idx="13">
                  <c:v>Alimentos</c:v>
                </c:pt>
                <c:pt idx="14">
                  <c:v>Varejo</c:v>
                </c:pt>
                <c:pt idx="15">
                  <c:v>Telecomunicações</c:v>
                </c:pt>
                <c:pt idx="16">
                  <c:v>Logística</c:v>
                </c:pt>
                <c:pt idx="17">
                  <c:v>Pagamentos</c:v>
                </c:pt>
                <c:pt idx="18">
                  <c:v>Serviços</c:v>
                </c:pt>
                <c:pt idx="19">
                  <c:v>Holding</c:v>
                </c:pt>
                <c:pt idx="20">
                  <c:v>Tecnologia</c:v>
                </c:pt>
                <c:pt idx="21">
                  <c:v>Farmácias</c:v>
                </c:pt>
                <c:pt idx="22">
                  <c:v>Bebidas</c:v>
                </c:pt>
                <c:pt idx="23">
                  <c:v>Seguros</c:v>
                </c:pt>
                <c:pt idx="24">
                  <c:v>Saneamento</c:v>
                </c:pt>
                <c:pt idx="25">
                  <c:v>Engenharia Elétrica</c:v>
                </c:pt>
                <c:pt idx="26">
                  <c:v>Agricultura</c:v>
                </c:pt>
                <c:pt idx="27">
                  <c:v>Infraestrutura</c:v>
                </c:pt>
                <c:pt idx="28">
                  <c:v>Pet Shop</c:v>
                </c:pt>
                <c:pt idx="29">
                  <c:v>Calçados</c:v>
                </c:pt>
                <c:pt idx="30">
                  <c:v>Aeroespacial</c:v>
                </c:pt>
                <c:pt idx="31">
                  <c:v>Cosméticos</c:v>
                </c:pt>
                <c:pt idx="32">
                  <c:v>Bolsa de Valores</c:v>
                </c:pt>
                <c:pt idx="33">
                  <c:v>Farmacêutica</c:v>
                </c:pt>
                <c:pt idx="34">
                  <c:v>Agronegócio</c:v>
                </c:pt>
                <c:pt idx="35">
                  <c:v>Aluguel de Carros</c:v>
                </c:pt>
                <c:pt idx="36">
                  <c:v>Turismo</c:v>
                </c:pt>
              </c:strCache>
            </c:strRef>
          </c:cat>
          <c:val>
            <c:numRef>
              <c:f>Analises!$B$10:$B$46</c:f>
              <c:numCache>
                <c:formatCode>"R$"#,##0.00_);[Red]\("R$"#,##0.00\)</c:formatCode>
                <c:ptCount val="37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368265294.40368199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60321469.882996619</c:v>
                </c:pt>
                <c:pt idx="8">
                  <c:v>69054317.636038527</c:v>
                </c:pt>
                <c:pt idx="9">
                  <c:v>-37540997.063642688</c:v>
                </c:pt>
                <c:pt idx="10">
                  <c:v>54641872.47123301</c:v>
                </c:pt>
                <c:pt idx="11">
                  <c:v>-61087401.606067643</c:v>
                </c:pt>
                <c:pt idx="12">
                  <c:v>41021792.090771534</c:v>
                </c:pt>
                <c:pt idx="13">
                  <c:v>407833683.0924499</c:v>
                </c:pt>
                <c:pt idx="14">
                  <c:v>-793989067.61633921</c:v>
                </c:pt>
                <c:pt idx="15">
                  <c:v>292938114.42357796</c:v>
                </c:pt>
                <c:pt idx="16">
                  <c:v>233902674.79257408</c:v>
                </c:pt>
                <c:pt idx="17">
                  <c:v>43657683.375540853</c:v>
                </c:pt>
                <c:pt idx="18">
                  <c:v>18068446.609983239</c:v>
                </c:pt>
                <c:pt idx="19">
                  <c:v>379272692.08429301</c:v>
                </c:pt>
                <c:pt idx="20">
                  <c:v>6067508.9045804553</c:v>
                </c:pt>
                <c:pt idx="21">
                  <c:v>202352473.73982856</c:v>
                </c:pt>
                <c:pt idx="22">
                  <c:v>0</c:v>
                </c:pt>
                <c:pt idx="23">
                  <c:v>-26297880.209676646</c:v>
                </c:pt>
                <c:pt idx="24">
                  <c:v>-15725678.564115381</c:v>
                </c:pt>
                <c:pt idx="25">
                  <c:v>-118230410.43964578</c:v>
                </c:pt>
                <c:pt idx="26">
                  <c:v>-9468663.6817041729</c:v>
                </c:pt>
                <c:pt idx="27">
                  <c:v>-39743554.314914532</c:v>
                </c:pt>
                <c:pt idx="28">
                  <c:v>-9242203.6520125903</c:v>
                </c:pt>
                <c:pt idx="29">
                  <c:v>-21126374.325644854</c:v>
                </c:pt>
                <c:pt idx="30">
                  <c:v>-233651943.49695757</c:v>
                </c:pt>
                <c:pt idx="31">
                  <c:v>-193280001.20849475</c:v>
                </c:pt>
                <c:pt idx="32">
                  <c:v>-1173785666.3607426</c:v>
                </c:pt>
                <c:pt idx="33">
                  <c:v>-208257014.19914994</c:v>
                </c:pt>
                <c:pt idx="34">
                  <c:v>-79432785.73975119</c:v>
                </c:pt>
                <c:pt idx="35">
                  <c:v>-1807432634.4595425</c:v>
                </c:pt>
                <c:pt idx="36">
                  <c:v>-73557408.055094168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7-4E24-84C1-630917BB2FF4}"/>
            </c:ext>
          </c:extLst>
        </c:ser>
        <c:ser>
          <c:idx val="1"/>
          <c:order val="1"/>
          <c:tx>
            <c:strRef>
              <c:f>Analises!$C$9</c:f>
              <c:strCache>
                <c:ptCount val="1"/>
                <c:pt idx="0">
                  <c:v>Variação de quem subiu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Analises!$A$10:$A$46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</c:v>
                </c:pt>
                <c:pt idx="5">
                  <c:v>Shopping Centers</c:v>
                </c:pt>
                <c:pt idx="6">
                  <c:v>Banco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Construção Civil</c:v>
                </c:pt>
                <c:pt idx="12">
                  <c:v>Moda</c:v>
                </c:pt>
                <c:pt idx="13">
                  <c:v>Alimentos</c:v>
                </c:pt>
                <c:pt idx="14">
                  <c:v>Varejo</c:v>
                </c:pt>
                <c:pt idx="15">
                  <c:v>Telecomunicações</c:v>
                </c:pt>
                <c:pt idx="16">
                  <c:v>Logística</c:v>
                </c:pt>
                <c:pt idx="17">
                  <c:v>Pagamentos</c:v>
                </c:pt>
                <c:pt idx="18">
                  <c:v>Serviços</c:v>
                </c:pt>
                <c:pt idx="19">
                  <c:v>Holding</c:v>
                </c:pt>
                <c:pt idx="20">
                  <c:v>Tecnologia</c:v>
                </c:pt>
                <c:pt idx="21">
                  <c:v>Farmácias</c:v>
                </c:pt>
                <c:pt idx="22">
                  <c:v>Bebidas</c:v>
                </c:pt>
                <c:pt idx="23">
                  <c:v>Seguros</c:v>
                </c:pt>
                <c:pt idx="24">
                  <c:v>Saneamento</c:v>
                </c:pt>
                <c:pt idx="25">
                  <c:v>Engenharia Elétrica</c:v>
                </c:pt>
                <c:pt idx="26">
                  <c:v>Agricultura</c:v>
                </c:pt>
                <c:pt idx="27">
                  <c:v>Infraestrutura</c:v>
                </c:pt>
                <c:pt idx="28">
                  <c:v>Pet Shop</c:v>
                </c:pt>
                <c:pt idx="29">
                  <c:v>Calçados</c:v>
                </c:pt>
                <c:pt idx="30">
                  <c:v>Aeroespacial</c:v>
                </c:pt>
                <c:pt idx="31">
                  <c:v>Cosméticos</c:v>
                </c:pt>
                <c:pt idx="32">
                  <c:v>Bolsa de Valores</c:v>
                </c:pt>
                <c:pt idx="33">
                  <c:v>Farmacêutica</c:v>
                </c:pt>
                <c:pt idx="34">
                  <c:v>Agronegócio</c:v>
                </c:pt>
                <c:pt idx="35">
                  <c:v>Aluguel de Carros</c:v>
                </c:pt>
                <c:pt idx="36">
                  <c:v>Turismo</c:v>
                </c:pt>
              </c:strCache>
            </c:strRef>
          </c:cat>
          <c:val>
            <c:numRef>
              <c:f>Analises!$C$10:$C$46</c:f>
              <c:numCache>
                <c:formatCode>"R$"#,##0.00_);[Red]\("R$"#,##0.00\)</c:formatCode>
                <c:ptCount val="37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1209821623.5672963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37525872.377283879</c:v>
                </c:pt>
                <c:pt idx="12">
                  <c:v>41021792.090771534</c:v>
                </c:pt>
                <c:pt idx="13">
                  <c:v>407833683.0924499</c:v>
                </c:pt>
                <c:pt idx="14">
                  <c:v>34834535.49753806</c:v>
                </c:pt>
                <c:pt idx="15">
                  <c:v>292938114.42357796</c:v>
                </c:pt>
                <c:pt idx="16">
                  <c:v>233902674.79257408</c:v>
                </c:pt>
                <c:pt idx="17">
                  <c:v>43657683.375540853</c:v>
                </c:pt>
                <c:pt idx="18">
                  <c:v>18068446.609983239</c:v>
                </c:pt>
                <c:pt idx="19">
                  <c:v>416092244.42376298</c:v>
                </c:pt>
                <c:pt idx="20">
                  <c:v>15598886.650556229</c:v>
                </c:pt>
                <c:pt idx="21">
                  <c:v>202352473.73982856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7-4E24-84C1-630917BB2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642959"/>
        <c:axId val="406644207"/>
      </c:barChart>
      <c:catAx>
        <c:axId val="40664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644207"/>
        <c:crosses val="autoZero"/>
        <c:auto val="1"/>
        <c:lblAlgn val="ctr"/>
        <c:lblOffset val="100"/>
        <c:noMultiLvlLbl val="0"/>
      </c:catAx>
      <c:valAx>
        <c:axId val="40664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6642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</a:t>
            </a:r>
            <a:r>
              <a:rPr lang="en-US" baseline="0"/>
              <a:t> Por 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Analises!$B$55</c:f>
              <c:strCache>
                <c:ptCount val="1"/>
                <c:pt idx="0">
                  <c:v>Variação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Analises!$A$56:$A$58</c:f>
              <c:strCache>
                <c:ptCount val="3"/>
                <c:pt idx="0">
                  <c:v>Entre 50 e 100 anos</c:v>
                </c:pt>
                <c:pt idx="1">
                  <c:v>Menos de 50 anos</c:v>
                </c:pt>
                <c:pt idx="2">
                  <c:v>Mais de 100 anos</c:v>
                </c:pt>
              </c:strCache>
            </c:strRef>
          </c:cat>
          <c:val>
            <c:numRef>
              <c:f>Analises!$B$56:$B$58</c:f>
              <c:numCache>
                <c:formatCode>"R$"#,##0.00_);[Red]\("R$"#,##0.00\)</c:formatCode>
                <c:ptCount val="3"/>
                <c:pt idx="0">
                  <c:v>9090622572.5223637</c:v>
                </c:pt>
                <c:pt idx="1">
                  <c:v>3812197550.6729441</c:v>
                </c:pt>
                <c:pt idx="2">
                  <c:v>477586925.63124967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1-44CF-AAF9-8BCDEB70B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5591135"/>
        <c:axId val="405590719"/>
      </c:barChart>
      <c:catAx>
        <c:axId val="40559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590719"/>
        <c:crosses val="autoZero"/>
        <c:auto val="1"/>
        <c:lblAlgn val="ctr"/>
        <c:lblOffset val="100"/>
        <c:noMultiLvlLbl val="0"/>
      </c:catAx>
      <c:valAx>
        <c:axId val="40559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559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Variação por Resultado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Variação por Resultado</a:t>
          </a:r>
        </a:p>
      </cx:txPr>
    </cx:title>
    <cx:plotArea>
      <cx:plotAreaRegion>
        <cx:series layoutId="waterfall" uniqueId="{38D2EB12-75A9-4E4B-8B76-F6AA0416AACA}">
          <cx:tx>
            <cx:txData>
              <cx:f>_xlchart.v1.1</cx:f>
              <cx:v>Variação</cx:v>
            </cx:txData>
          </cx:tx>
          <cx:dataPt idx="3">
            <cx:spPr>
              <a:solidFill>
                <a:srgbClr val="000000">
                  <a:lumMod val="50000"/>
                  <a:lumOff val="50000"/>
                </a:srgbClr>
              </a:solidFill>
              <a:ln>
                <a:solidFill>
                  <a:srgbClr val="FFFFFF"/>
                </a:solidFill>
              </a:ln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3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5</xdr:row>
      <xdr:rowOff>114300</xdr:rowOff>
    </xdr:from>
    <xdr:to>
      <xdr:col>23</xdr:col>
      <xdr:colOff>438150</xdr:colOff>
      <xdr:row>45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3EE8CD-3C85-4474-8185-3D7ABB987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45</xdr:row>
      <xdr:rowOff>138112</xdr:rowOff>
    </xdr:from>
    <xdr:to>
      <xdr:col>22</xdr:col>
      <xdr:colOff>514350</xdr:colOff>
      <xdr:row>63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A4881557-CC23-4271-8F82-2B6F5DFB0C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8225" y="7424737"/>
              <a:ext cx="11506200" cy="27955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19050</xdr:colOff>
      <xdr:row>63</xdr:row>
      <xdr:rowOff>52387</xdr:rowOff>
    </xdr:from>
    <xdr:to>
      <xdr:col>22</xdr:col>
      <xdr:colOff>514350</xdr:colOff>
      <xdr:row>80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FB3345E-C185-4091-8A7A-849EC638A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M1" workbookViewId="0">
      <selection activeCell="AB2" sqref="AB2"/>
    </sheetView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2.5703125" bestFit="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  <col min="12" max="12" width="13.5703125" bestFit="1" customWidth="1"/>
    <col min="13" max="13" width="18.42578125" bestFit="1" customWidth="1"/>
    <col min="14" max="14" width="14.5703125" bestFit="1" customWidth="1"/>
    <col min="15" max="15" width="14.140625" bestFit="1" customWidth="1"/>
    <col min="16" max="16" width="14.140625" customWidth="1"/>
    <col min="17" max="18" width="15.140625" bestFit="1" customWidth="1"/>
    <col min="19" max="19" width="16.140625" bestFit="1" customWidth="1"/>
    <col min="20" max="20" width="15.7109375" bestFit="1" customWidth="1"/>
    <col min="21" max="21" width="16" bestFit="1" customWidth="1"/>
    <col min="22" max="22" width="23" bestFit="1" customWidth="1"/>
    <col min="23" max="23" width="19" bestFit="1" customWidth="1"/>
    <col min="25" max="25" width="19.85546875" bestFit="1" customWidth="1"/>
    <col min="28" max="28" width="18" bestFit="1" customWidth="1"/>
  </cols>
  <sheetData>
    <row r="1" spans="1:2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7" t="s">
        <v>1011</v>
      </c>
      <c r="M1" s="27" t="s">
        <v>1012</v>
      </c>
      <c r="N1" s="27" t="s">
        <v>1013</v>
      </c>
      <c r="O1" s="27" t="s">
        <v>1014</v>
      </c>
      <c r="P1" s="28" t="s">
        <v>1057</v>
      </c>
      <c r="Q1" s="28" t="s">
        <v>1052</v>
      </c>
      <c r="R1" s="28" t="s">
        <v>1053</v>
      </c>
      <c r="S1" s="28" t="s">
        <v>1054</v>
      </c>
      <c r="T1" s="28" t="s">
        <v>1055</v>
      </c>
      <c r="U1" s="28" t="s">
        <v>1056</v>
      </c>
      <c r="V1" s="28" t="s">
        <v>1058</v>
      </c>
      <c r="W1" s="28" t="s">
        <v>1059</v>
      </c>
      <c r="X1" s="31" t="s">
        <v>1060</v>
      </c>
      <c r="Y1" s="31" t="s">
        <v>1061</v>
      </c>
      <c r="Z1" s="31" t="s">
        <v>1062</v>
      </c>
      <c r="AA1" s="31" t="s">
        <v>1063</v>
      </c>
      <c r="AB1" s="31" t="s">
        <v>1064</v>
      </c>
    </row>
    <row r="2" spans="1:28" ht="12.75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>
        <f>D2/100</f>
        <v>5.2000000000000005E-2</v>
      </c>
      <c r="M2">
        <f t="shared" ref="M2:O2" si="0">E2/100</f>
        <v>0.1176</v>
      </c>
      <c r="N2">
        <f t="shared" si="0"/>
        <v>2.2599999999999999E-2</v>
      </c>
      <c r="O2">
        <f t="shared" si="0"/>
        <v>2.2599999999999999E-2</v>
      </c>
      <c r="P2">
        <f>H2/100</f>
        <v>0.15970000000000001</v>
      </c>
      <c r="Q2" s="29">
        <f>C2/(1+L2)</f>
        <v>9.0304182509505697</v>
      </c>
      <c r="R2" s="29">
        <f>C2/(1+M2)</f>
        <v>8.5003579098067288</v>
      </c>
      <c r="S2" s="29">
        <f>C2/(1+N2)</f>
        <v>9.2900449833757097</v>
      </c>
      <c r="T2" s="29">
        <f>C2/(1+O2)</f>
        <v>9.2900449833757097</v>
      </c>
      <c r="U2" s="29">
        <f>C2/(1+P2)</f>
        <v>8.1917737345865316</v>
      </c>
      <c r="V2" s="30">
        <f>_xlfn.XLOOKUP(A2,Total_de_acoes!A:A,Total_de_acoes!B:B,0,0)</f>
        <v>515117391</v>
      </c>
      <c r="W2" s="29">
        <f>(C2-Q2)*V2</f>
        <v>241889725.43155926</v>
      </c>
      <c r="X2" t="str" cm="1">
        <f t="array" ref="X2">_xlfn.IFS(W2&gt;0,"Subiu",W2&lt;0,"Desceu",W2=0,"Estável")</f>
        <v>Subiu</v>
      </c>
      <c r="Y2" t="str">
        <f>_xlfn.XLOOKUP(A2,Ticker!A:A,Ticker!B:B,0,0)</f>
        <v>Usiminas</v>
      </c>
      <c r="Z2" t="str">
        <f>_xlfn.XLOOKUP(Y2,chat_gpt!A:A,chat_gpt!B:B,0,0)</f>
        <v>Siderurgia</v>
      </c>
      <c r="AA2">
        <f>_xlfn.XLOOKUP(Y2,chat_gpt!A:A,chat_gpt!C:C,0,0)</f>
        <v>63</v>
      </c>
      <c r="AB2" t="str">
        <f>IF(AA2&gt;100,"Mais de 100 anos",IF(AA2&lt;50,"Menos de 50 anos","Entre 50 e 100 anos"))</f>
        <v>Entre 50 e 100 anos</v>
      </c>
    </row>
    <row r="3" spans="1:28" ht="12.75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>
        <f t="shared" ref="L3:L66" si="1">D3/100</f>
        <v>2.4E-2</v>
      </c>
      <c r="M3">
        <f t="shared" ref="M3:M66" si="2">E3/100</f>
        <v>2.4E-2</v>
      </c>
      <c r="N3">
        <f t="shared" ref="N3:N66" si="3">F3/100</f>
        <v>-0.1211</v>
      </c>
      <c r="O3">
        <f t="shared" ref="O3:O66" si="4">G3/100</f>
        <v>-0.1211</v>
      </c>
      <c r="P3">
        <f t="shared" ref="P3:P66" si="5">H3/100</f>
        <v>0.50560000000000005</v>
      </c>
      <c r="Q3" s="29">
        <f t="shared" ref="Q3:Q66" si="6">C3/(1+L3)</f>
        <v>6.66015625</v>
      </c>
      <c r="R3" s="29">
        <f t="shared" ref="R3:R66" si="7">C3/(1+M3)</f>
        <v>6.66015625</v>
      </c>
      <c r="S3" s="29">
        <f t="shared" ref="S3:S66" si="8">C3/(1+N3)</f>
        <v>7.7596996245306631</v>
      </c>
      <c r="T3" s="29">
        <f t="shared" ref="T3:T66" si="9">C3/(1+O3)</f>
        <v>7.7596996245306631</v>
      </c>
      <c r="U3" s="29">
        <f t="shared" ref="U3:U66" si="10">C3/(1+P3)</f>
        <v>4.5297555791710948</v>
      </c>
      <c r="V3" s="30">
        <f>_xlfn.XLOOKUP(A3,Total_de_acoes!A:A,Total_de_acoes!B:B,0,0)</f>
        <v>1110559345</v>
      </c>
      <c r="W3" s="29">
        <f t="shared" ref="W3:W66" si="11">(C3-Q3)*V3</f>
        <v>177515970.30234405</v>
      </c>
      <c r="X3" t="str" cm="1">
        <f t="array" ref="X3">_xlfn.IFS(W3&gt;0,"Subiu",W3&lt;0,"Desceu",W3=0,"Estável")</f>
        <v>Subiu</v>
      </c>
      <c r="Y3" t="str">
        <f>_xlfn.XLOOKUP(A3,Ticker!A:A,Ticker!B:B,0,0)</f>
        <v>CSN Mineração</v>
      </c>
      <c r="Z3" t="str">
        <f>_xlfn.XLOOKUP(Y3,chat_gpt!A:A,chat_gpt!B:B,0,0)</f>
        <v>Mineração</v>
      </c>
      <c r="AA3">
        <f>_xlfn.XLOOKUP(Y3,chat_gpt!A:A,chat_gpt!C:C,0,0)</f>
        <v>18</v>
      </c>
      <c r="AB3" t="str">
        <f t="shared" ref="AB3:AB66" si="12">IF(AA3&gt;100,"Mais de 100 anos",IF(AA3&lt;50,"Menos de 50 anos","Entre 50 e 100 anos"))</f>
        <v>Menos de 50 anos</v>
      </c>
    </row>
    <row r="4" spans="1:28" ht="12.75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>
        <f t="shared" si="1"/>
        <v>2.1899999999999999E-2</v>
      </c>
      <c r="M4">
        <f t="shared" si="2"/>
        <v>7.7300000000000008E-2</v>
      </c>
      <c r="N4">
        <f t="shared" si="3"/>
        <v>7.6399999999999996E-2</v>
      </c>
      <c r="O4">
        <f t="shared" si="4"/>
        <v>7.6399999999999996E-2</v>
      </c>
      <c r="P4">
        <f t="shared" si="5"/>
        <v>0.77549999999999997</v>
      </c>
      <c r="Q4" s="29">
        <f t="shared" si="6"/>
        <v>41.060769155494668</v>
      </c>
      <c r="R4" s="29">
        <f t="shared" si="7"/>
        <v>38.949224914137197</v>
      </c>
      <c r="S4" s="29">
        <f t="shared" si="8"/>
        <v>38.981791155704201</v>
      </c>
      <c r="T4" s="29">
        <f t="shared" si="9"/>
        <v>38.981791155704201</v>
      </c>
      <c r="U4" s="29">
        <f t="shared" si="10"/>
        <v>23.632779498732752</v>
      </c>
      <c r="V4" s="30">
        <f>_xlfn.XLOOKUP(A4,Total_de_acoes!A:A,Total_de_acoes!B:B,0,0)</f>
        <v>2379877655</v>
      </c>
      <c r="W4" s="29">
        <f t="shared" si="11"/>
        <v>2140059393.5250204</v>
      </c>
      <c r="X4" t="str" cm="1">
        <f t="array" ref="X4">_xlfn.IFS(W4&gt;0,"Subiu",W4&lt;0,"Desceu",W4=0,"Estável")</f>
        <v>Subiu</v>
      </c>
      <c r="Y4" t="str">
        <f>_xlfn.XLOOKUP(A4,Ticker!A:A,Ticker!B:B,0,0)</f>
        <v>Petrobras</v>
      </c>
      <c r="Z4" t="str">
        <f>_xlfn.XLOOKUP(Y4,chat_gpt!A:A,chat_gpt!B:B,0,0)</f>
        <v>Petróleo e Gás</v>
      </c>
      <c r="AA4">
        <f>_xlfn.XLOOKUP(Y4,chat_gpt!A:A,chat_gpt!C:C,0,0)</f>
        <v>73</v>
      </c>
      <c r="AB4" t="str">
        <f t="shared" si="12"/>
        <v>Entre 50 e 100 anos</v>
      </c>
    </row>
    <row r="5" spans="1:28" ht="12.75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>
        <f t="shared" si="1"/>
        <v>2.0400000000000001E-2</v>
      </c>
      <c r="M5">
        <f t="shared" si="2"/>
        <v>2.1400000000000002E-2</v>
      </c>
      <c r="N5">
        <f t="shared" si="3"/>
        <v>-4.8899999999999999E-2</v>
      </c>
      <c r="O5">
        <f t="shared" si="4"/>
        <v>-4.8899999999999999E-2</v>
      </c>
      <c r="P5">
        <f t="shared" si="5"/>
        <v>0.1885</v>
      </c>
      <c r="Q5" s="29">
        <f t="shared" si="6"/>
        <v>51.85221481771854</v>
      </c>
      <c r="R5" s="29">
        <f t="shared" si="7"/>
        <v>51.801448991580173</v>
      </c>
      <c r="S5" s="29">
        <f t="shared" si="8"/>
        <v>55.630322784144667</v>
      </c>
      <c r="T5" s="29">
        <f t="shared" si="9"/>
        <v>55.630322784144667</v>
      </c>
      <c r="U5" s="29">
        <f t="shared" si="10"/>
        <v>44.518300378628524</v>
      </c>
      <c r="V5" s="30">
        <f>_xlfn.XLOOKUP(A5,Total_de_acoes!A:A,Total_de_acoes!B:B,0,0)</f>
        <v>683452836</v>
      </c>
      <c r="W5" s="29">
        <f t="shared" si="11"/>
        <v>722946282.7090385</v>
      </c>
      <c r="X5" t="str" cm="1">
        <f t="array" ref="X5">_xlfn.IFS(W5&gt;0,"Subiu",W5&lt;0,"Desceu",W5=0,"Estável")</f>
        <v>Subiu</v>
      </c>
      <c r="Y5" t="str">
        <f>_xlfn.XLOOKUP(A5,Ticker!A:A,Ticker!B:B,0,0)</f>
        <v>Suzano</v>
      </c>
      <c r="Z5" t="str">
        <f>_xlfn.XLOOKUP(Y5,chat_gpt!A:A,chat_gpt!B:B,0,0)</f>
        <v>Papel e Celulose</v>
      </c>
      <c r="AA5">
        <f>_xlfn.XLOOKUP(Y5,chat_gpt!A:A,chat_gpt!C:C,0,0)</f>
        <v>102</v>
      </c>
      <c r="AB5" t="str">
        <f t="shared" si="12"/>
        <v>Mais de 100 anos</v>
      </c>
    </row>
    <row r="6" spans="1:28" ht="12.75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>
        <f t="shared" si="1"/>
        <v>2.0299999999999999E-2</v>
      </c>
      <c r="M6">
        <f t="shared" si="2"/>
        <v>2.4900000000000002E-2</v>
      </c>
      <c r="N6">
        <f t="shared" si="3"/>
        <v>-3.6600000000000001E-2</v>
      </c>
      <c r="O6">
        <f t="shared" si="4"/>
        <v>-3.6600000000000001E-2</v>
      </c>
      <c r="P6">
        <f t="shared" si="5"/>
        <v>0.20699999999999999</v>
      </c>
      <c r="Q6" s="29">
        <f t="shared" si="6"/>
        <v>36.3618543565618</v>
      </c>
      <c r="R6" s="29">
        <f t="shared" si="7"/>
        <v>36.198653527173384</v>
      </c>
      <c r="S6" s="29">
        <f t="shared" si="8"/>
        <v>38.509445713099439</v>
      </c>
      <c r="T6" s="29">
        <f t="shared" si="9"/>
        <v>38.509445713099439</v>
      </c>
      <c r="U6" s="29">
        <f t="shared" si="10"/>
        <v>30.737365368682685</v>
      </c>
      <c r="V6" s="30">
        <f>_xlfn.XLOOKUP(A6,Total_de_acoes!A:A,Total_de_acoes!B:B,0,0)</f>
        <v>187732538</v>
      </c>
      <c r="W6" s="29">
        <f t="shared" si="11"/>
        <v>138573955.05629665</v>
      </c>
      <c r="X6" t="str" cm="1">
        <f t="array" ref="X6">_xlfn.IFS(W6&gt;0,"Subiu",W6&lt;0,"Desceu",W6=0,"Estável")</f>
        <v>Subiu</v>
      </c>
      <c r="Y6" t="str">
        <f>_xlfn.XLOOKUP(A6,Ticker!A:A,Ticker!B:B,0,0)</f>
        <v>CPFL Energia</v>
      </c>
      <c r="Z6" t="str">
        <f>_xlfn.XLOOKUP(Y6,chat_gpt!A:A,chat_gpt!B:B,0,0)</f>
        <v>Energia</v>
      </c>
      <c r="AA6">
        <f>_xlfn.XLOOKUP(Y6,chat_gpt!A:A,chat_gpt!C:C,0,0)</f>
        <v>113</v>
      </c>
      <c r="AB6" t="str">
        <f t="shared" si="12"/>
        <v>Mais de 100 anos</v>
      </c>
    </row>
    <row r="7" spans="1:28" ht="12.75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>
        <f t="shared" si="1"/>
        <v>1.9799999999999998E-2</v>
      </c>
      <c r="M7">
        <f t="shared" si="2"/>
        <v>2.4199999999999999E-2</v>
      </c>
      <c r="N7">
        <f t="shared" si="3"/>
        <v>-7.8000000000000005E-3</v>
      </c>
      <c r="O7">
        <f t="shared" si="4"/>
        <v>-7.8000000000000005E-3</v>
      </c>
      <c r="P7">
        <f t="shared" si="5"/>
        <v>8.0799999999999997E-2</v>
      </c>
      <c r="Q7" s="29">
        <f t="shared" si="6"/>
        <v>44.802902529907819</v>
      </c>
      <c r="R7" s="29">
        <f t="shared" si="7"/>
        <v>44.610427650849438</v>
      </c>
      <c r="S7" s="29">
        <f t="shared" si="8"/>
        <v>46.049183632332188</v>
      </c>
      <c r="T7" s="29">
        <f t="shared" si="9"/>
        <v>46.049183632332188</v>
      </c>
      <c r="U7" s="29">
        <f t="shared" si="10"/>
        <v>42.274241302738709</v>
      </c>
      <c r="V7" s="30">
        <f>_xlfn.XLOOKUP(A7,Total_de_acoes!A:A,Total_de_acoes!B:B,0,0)</f>
        <v>800010734</v>
      </c>
      <c r="W7" s="29">
        <f t="shared" si="11"/>
        <v>709687498.17798734</v>
      </c>
      <c r="X7" t="str" cm="1">
        <f t="array" ref="X7">_xlfn.IFS(W7&gt;0,"Subiu",W7&lt;0,"Desceu",W7=0,"Estável")</f>
        <v>Subiu</v>
      </c>
      <c r="Y7" t="str">
        <f>_xlfn.XLOOKUP(A7,Ticker!A:A,Ticker!B:B,0,0)</f>
        <v>PetroRio</v>
      </c>
      <c r="Z7" t="str">
        <f>_xlfn.XLOOKUP(Y7,chat_gpt!A:A,chat_gpt!B:B,0,0)</f>
        <v>Petróleo e Gás</v>
      </c>
      <c r="AA7">
        <f>_xlfn.XLOOKUP(Y7,chat_gpt!A:A,chat_gpt!C:C,0,0)</f>
        <v>11</v>
      </c>
      <c r="AB7" t="str">
        <f t="shared" si="12"/>
        <v>Menos de 50 anos</v>
      </c>
    </row>
    <row r="8" spans="1:28" ht="12.75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>
        <f t="shared" si="1"/>
        <v>1.7299999999999999E-2</v>
      </c>
      <c r="M8">
        <f t="shared" si="2"/>
        <v>6.4699999999999994E-2</v>
      </c>
      <c r="N8">
        <f t="shared" si="3"/>
        <v>7.2999999999999995E-2</v>
      </c>
      <c r="O8">
        <f t="shared" si="4"/>
        <v>7.2999999999999995E-2</v>
      </c>
      <c r="P8">
        <f t="shared" si="5"/>
        <v>0.95010000000000006</v>
      </c>
      <c r="Q8" s="29">
        <f t="shared" si="6"/>
        <v>39.280448245355352</v>
      </c>
      <c r="R8" s="29">
        <f t="shared" si="7"/>
        <v>37.531699070160613</v>
      </c>
      <c r="S8" s="29">
        <f t="shared" si="8"/>
        <v>37.241379310344833</v>
      </c>
      <c r="T8" s="29">
        <f t="shared" si="9"/>
        <v>37.241379310344833</v>
      </c>
      <c r="U8" s="29">
        <f t="shared" si="10"/>
        <v>20.491256858622634</v>
      </c>
      <c r="V8" s="30">
        <f>_xlfn.XLOOKUP(A8,Total_de_acoes!A:A,Total_de_acoes!B:B,0,0)</f>
        <v>4566445852</v>
      </c>
      <c r="W8" s="29">
        <f t="shared" si="11"/>
        <v>3103136291.2163792</v>
      </c>
      <c r="X8" t="str" cm="1">
        <f t="array" ref="X8">_xlfn.IFS(W8&gt;0,"Subiu",W8&lt;0,"Desceu",W8=0,"Estável")</f>
        <v>Subiu</v>
      </c>
      <c r="Y8" t="str">
        <f>_xlfn.XLOOKUP(A8,Ticker!A:A,Ticker!B:B,0,0)</f>
        <v>Petrobras</v>
      </c>
      <c r="Z8" t="str">
        <f>_xlfn.XLOOKUP(Y8,chat_gpt!A:A,chat_gpt!B:B,0,0)</f>
        <v>Petróleo e Gás</v>
      </c>
      <c r="AA8">
        <f>_xlfn.XLOOKUP(Y8,chat_gpt!A:A,chat_gpt!C:C,0,0)</f>
        <v>73</v>
      </c>
      <c r="AB8" t="str">
        <f t="shared" si="12"/>
        <v>Entre 50 e 100 anos</v>
      </c>
    </row>
    <row r="9" spans="1:28" ht="12.75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>
        <f t="shared" si="1"/>
        <v>1.66E-2</v>
      </c>
      <c r="M9">
        <f t="shared" si="2"/>
        <v>2.06E-2</v>
      </c>
      <c r="N9">
        <f t="shared" si="3"/>
        <v>-9.9700000000000011E-2</v>
      </c>
      <c r="O9">
        <f t="shared" si="4"/>
        <v>-9.9700000000000011E-2</v>
      </c>
      <c r="P9">
        <f t="shared" si="5"/>
        <v>-0.2349</v>
      </c>
      <c r="Q9" s="29">
        <f t="shared" si="6"/>
        <v>68.365138697619514</v>
      </c>
      <c r="R9" s="29">
        <f t="shared" si="7"/>
        <v>68.09719772682736</v>
      </c>
      <c r="S9" s="29">
        <f t="shared" si="8"/>
        <v>77.196490058869273</v>
      </c>
      <c r="T9" s="29">
        <f t="shared" si="9"/>
        <v>77.196490058869273</v>
      </c>
      <c r="U9" s="29">
        <f t="shared" si="10"/>
        <v>90.83779898052542</v>
      </c>
      <c r="V9" s="30">
        <f>_xlfn.XLOOKUP(A9,Total_de_acoes!A:A,Total_de_acoes!B:B,0,0)</f>
        <v>4196924316</v>
      </c>
      <c r="W9" s="29">
        <f t="shared" si="11"/>
        <v>4762926995.2480898</v>
      </c>
      <c r="X9" t="str" cm="1">
        <f t="array" ref="X9">_xlfn.IFS(W9&gt;0,"Subiu",W9&lt;0,"Desceu",W9=0,"Estável")</f>
        <v>Subiu</v>
      </c>
      <c r="Y9" t="str">
        <f>_xlfn.XLOOKUP(A9,Ticker!A:A,Ticker!B:B,0,0)</f>
        <v>Vale</v>
      </c>
      <c r="Z9" t="str">
        <f>_xlfn.XLOOKUP(Y9,chat_gpt!A:A,chat_gpt!B:B,0,0)</f>
        <v>Mineração</v>
      </c>
      <c r="AA9">
        <f>_xlfn.XLOOKUP(Y9,chat_gpt!A:A,chat_gpt!C:C,0,0)</f>
        <v>83</v>
      </c>
      <c r="AB9" t="str">
        <f t="shared" si="12"/>
        <v>Entre 50 e 100 anos</v>
      </c>
    </row>
    <row r="10" spans="1:28" ht="12.75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>
        <f t="shared" si="1"/>
        <v>1.5800000000000002E-2</v>
      </c>
      <c r="M10">
        <f t="shared" si="2"/>
        <v>2.0299999999999999E-2</v>
      </c>
      <c r="N10">
        <f t="shared" si="3"/>
        <v>-8.1000000000000013E-3</v>
      </c>
      <c r="O10">
        <f t="shared" si="4"/>
        <v>-8.1000000000000013E-3</v>
      </c>
      <c r="P10">
        <f t="shared" si="5"/>
        <v>0.2402</v>
      </c>
      <c r="Q10" s="29">
        <f t="shared" si="6"/>
        <v>27.751525890923411</v>
      </c>
      <c r="R10" s="29">
        <f t="shared" si="7"/>
        <v>27.629128687640893</v>
      </c>
      <c r="S10" s="29">
        <f t="shared" si="8"/>
        <v>28.420203649561447</v>
      </c>
      <c r="T10" s="29">
        <f t="shared" si="9"/>
        <v>28.420203649561447</v>
      </c>
      <c r="U10" s="29">
        <f t="shared" si="10"/>
        <v>22.730204805676504</v>
      </c>
      <c r="V10" s="30">
        <f>_xlfn.XLOOKUP(A10,Total_de_acoes!A:A,Total_de_acoes!B:B,0,0)</f>
        <v>268505432</v>
      </c>
      <c r="W10" s="29">
        <f t="shared" si="11"/>
        <v>117732680.07842509</v>
      </c>
      <c r="X10" t="str" cm="1">
        <f t="array" ref="X10">_xlfn.IFS(W10&gt;0,"Subiu",W10&lt;0,"Desceu",W10=0,"Estável")</f>
        <v>Subiu</v>
      </c>
      <c r="Y10" t="str">
        <f>_xlfn.XLOOKUP(A10,Ticker!A:A,Ticker!B:B,0,0)</f>
        <v>Multiplan</v>
      </c>
      <c r="Z10" t="str">
        <f>_xlfn.XLOOKUP(Y10,chat_gpt!A:A,chat_gpt!B:B,0,0)</f>
        <v>Shopping Centers</v>
      </c>
      <c r="AA10">
        <f>_xlfn.XLOOKUP(Y10,chat_gpt!A:A,chat_gpt!C:C,0,0)</f>
        <v>54</v>
      </c>
      <c r="AB10" t="str">
        <f t="shared" si="12"/>
        <v>Entre 50 e 100 anos</v>
      </c>
    </row>
    <row r="11" spans="1:28" ht="12.75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>
        <f t="shared" si="1"/>
        <v>1.4800000000000001E-2</v>
      </c>
      <c r="M11">
        <f t="shared" si="2"/>
        <v>-3.9000000000000003E-3</v>
      </c>
      <c r="N11">
        <f t="shared" si="3"/>
        <v>-3.3599999999999998E-2</v>
      </c>
      <c r="O11">
        <f t="shared" si="4"/>
        <v>-3.3599999999999998E-2</v>
      </c>
      <c r="P11">
        <f t="shared" si="5"/>
        <v>0.34250000000000003</v>
      </c>
      <c r="Q11" s="29">
        <f t="shared" si="6"/>
        <v>32.331493890421761</v>
      </c>
      <c r="R11" s="29">
        <f t="shared" si="7"/>
        <v>32.938459993976508</v>
      </c>
      <c r="S11" s="29">
        <f t="shared" si="8"/>
        <v>33.950745033112582</v>
      </c>
      <c r="T11" s="29">
        <f t="shared" si="9"/>
        <v>33.950745033112582</v>
      </c>
      <c r="U11" s="29">
        <f t="shared" si="10"/>
        <v>24.439478584729983</v>
      </c>
      <c r="V11" s="30">
        <f>_xlfn.XLOOKUP(A11,Total_de_acoes!A:A,Total_de_acoes!B:B,0,0)</f>
        <v>4801593832</v>
      </c>
      <c r="W11" s="29">
        <f t="shared" si="11"/>
        <v>2297591984.3251982</v>
      </c>
      <c r="X11" t="str" cm="1">
        <f t="array" ref="X11">_xlfn.IFS(W11&gt;0,"Subiu",W11&lt;0,"Desceu",W11=0,"Estável")</f>
        <v>Subiu</v>
      </c>
      <c r="Y11" t="str">
        <f>_xlfn.XLOOKUP(A11,Ticker!A:A,Ticker!B:B,0,0)</f>
        <v>Itaú Unibanco</v>
      </c>
      <c r="Z11" t="str">
        <f>_xlfn.XLOOKUP(Y11,chat_gpt!A:A,chat_gpt!B:B,0,0)</f>
        <v>Banco</v>
      </c>
      <c r="AA11">
        <f>_xlfn.XLOOKUP(Y11,chat_gpt!A:A,chat_gpt!C:C,0,0)</f>
        <v>17</v>
      </c>
      <c r="AB11" t="str">
        <f t="shared" si="12"/>
        <v>Menos de 50 anos</v>
      </c>
    </row>
    <row r="12" spans="1:28" ht="12.75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>
        <f t="shared" si="1"/>
        <v>1.43E-2</v>
      </c>
      <c r="M12">
        <f t="shared" si="2"/>
        <v>3.4099999999999998E-2</v>
      </c>
      <c r="N12">
        <f t="shared" si="3"/>
        <v>-4.1700000000000001E-2</v>
      </c>
      <c r="O12">
        <f t="shared" si="4"/>
        <v>-4.1700000000000001E-2</v>
      </c>
      <c r="P12">
        <f t="shared" si="5"/>
        <v>-6.0100000000000001E-2</v>
      </c>
      <c r="Q12" s="29">
        <f t="shared" si="6"/>
        <v>27.171448289460709</v>
      </c>
      <c r="R12" s="29">
        <f t="shared" si="7"/>
        <v>26.651194275215161</v>
      </c>
      <c r="S12" s="29">
        <f t="shared" si="8"/>
        <v>28.759261191693621</v>
      </c>
      <c r="T12" s="29">
        <f t="shared" si="9"/>
        <v>28.759261191693621</v>
      </c>
      <c r="U12" s="29">
        <f t="shared" si="10"/>
        <v>29.322268326417703</v>
      </c>
      <c r="V12" s="30">
        <f>_xlfn.XLOOKUP(A12,Total_de_acoes!A:A,Total_de_acoes!B:B,0,0)</f>
        <v>1168230366</v>
      </c>
      <c r="W12" s="29">
        <f t="shared" si="11"/>
        <v>453917907.01323998</v>
      </c>
      <c r="X12" t="str" cm="1">
        <f t="array" ref="X12">_xlfn.IFS(W12&gt;0,"Subiu",W12&lt;0,"Desceu",W12=0,"Estável")</f>
        <v>Subiu</v>
      </c>
      <c r="Y12" t="str">
        <f>_xlfn.XLOOKUP(A12,Ticker!A:A,Ticker!B:B,0,0)</f>
        <v>Rede D'Or</v>
      </c>
      <c r="Z12" t="str">
        <f>_xlfn.XLOOKUP(Y12,chat_gpt!A:A,chat_gpt!B:B,0,0)</f>
        <v>Saúde</v>
      </c>
      <c r="AA12">
        <f>_xlfn.XLOOKUP(Y12,chat_gpt!A:A,chat_gpt!C:C,0,0)</f>
        <v>54</v>
      </c>
      <c r="AB12" t="str">
        <f t="shared" si="12"/>
        <v>Entre 50 e 100 anos</v>
      </c>
    </row>
    <row r="13" spans="1:28" ht="12.75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>
        <f t="shared" si="1"/>
        <v>1.4199999999999999E-2</v>
      </c>
      <c r="M13">
        <f t="shared" si="2"/>
        <v>5.0999999999999997E-2</v>
      </c>
      <c r="N13">
        <f t="shared" si="3"/>
        <v>-0.15140000000000001</v>
      </c>
      <c r="O13">
        <f t="shared" si="4"/>
        <v>-0.15140000000000001</v>
      </c>
      <c r="P13">
        <f t="shared" si="5"/>
        <v>-0.18390000000000001</v>
      </c>
      <c r="Q13" s="29">
        <f t="shared" si="6"/>
        <v>18.290278051666338</v>
      </c>
      <c r="R13" s="29">
        <f t="shared" si="7"/>
        <v>17.649857278782115</v>
      </c>
      <c r="S13" s="29">
        <f t="shared" si="8"/>
        <v>21.859533349045488</v>
      </c>
      <c r="T13" s="29">
        <f t="shared" si="9"/>
        <v>21.859533349045488</v>
      </c>
      <c r="U13" s="29">
        <f t="shared" si="10"/>
        <v>22.730057590981495</v>
      </c>
      <c r="V13" s="30">
        <f>_xlfn.XLOOKUP(A13,Total_de_acoes!A:A,Total_de_acoes!B:B,0,0)</f>
        <v>265877867</v>
      </c>
      <c r="W13" s="29">
        <f t="shared" si="11"/>
        <v>69054317.636038527</v>
      </c>
      <c r="X13" t="str" cm="1">
        <f t="array" ref="X13">_xlfn.IFS(W13&gt;0,"Subiu",W13&lt;0,"Desceu",W13=0,"Estável")</f>
        <v>Subiu</v>
      </c>
      <c r="Y13" t="str">
        <f>_xlfn.XLOOKUP(A13,Ticker!A:A,Ticker!B:B,0,0)</f>
        <v>Braskem</v>
      </c>
      <c r="Z13" t="str">
        <f>_xlfn.XLOOKUP(Y13,chat_gpt!A:A,chat_gpt!B:B,0,0)</f>
        <v>Química</v>
      </c>
      <c r="AA13">
        <f>_xlfn.XLOOKUP(Y13,chat_gpt!A:A,chat_gpt!C:C,0,0)</f>
        <v>24</v>
      </c>
      <c r="AB13" t="str">
        <f t="shared" si="12"/>
        <v>Menos de 50 anos</v>
      </c>
    </row>
    <row r="14" spans="1:28" ht="12.75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>
        <f t="shared" si="1"/>
        <v>1.4199999999999999E-2</v>
      </c>
      <c r="M14">
        <f t="shared" si="2"/>
        <v>8.8499999999999995E-2</v>
      </c>
      <c r="N14">
        <f t="shared" si="3"/>
        <v>-0.10869999999999999</v>
      </c>
      <c r="O14">
        <f t="shared" si="4"/>
        <v>-0.10869999999999999</v>
      </c>
      <c r="P14">
        <f t="shared" si="5"/>
        <v>0.1852</v>
      </c>
      <c r="Q14" s="29">
        <f t="shared" si="6"/>
        <v>14.070203115756261</v>
      </c>
      <c r="R14" s="29">
        <f t="shared" si="7"/>
        <v>13.109784106568672</v>
      </c>
      <c r="S14" s="29">
        <f t="shared" si="8"/>
        <v>16.010322001570739</v>
      </c>
      <c r="T14" s="29">
        <f t="shared" si="9"/>
        <v>16.010322001570739</v>
      </c>
      <c r="U14" s="29">
        <f t="shared" si="10"/>
        <v>12.040161997975025</v>
      </c>
      <c r="V14" s="30">
        <f>_xlfn.XLOOKUP(A14,Total_de_acoes!A:A,Total_de_acoes!B:B,0,0)</f>
        <v>327593725</v>
      </c>
      <c r="W14" s="29">
        <f t="shared" si="11"/>
        <v>65452205.552800186</v>
      </c>
      <c r="X14" t="str" cm="1">
        <f t="array" ref="X14">_xlfn.IFS(W14&gt;0,"Subiu",W14&lt;0,"Desceu",W14=0,"Estável")</f>
        <v>Subiu</v>
      </c>
      <c r="Y14" t="str">
        <f>_xlfn.XLOOKUP(A14,Ticker!A:A,Ticker!B:B,0,0)</f>
        <v>Azul</v>
      </c>
      <c r="Z14" t="str">
        <f>_xlfn.XLOOKUP(Y14,chat_gpt!A:A,chat_gpt!B:B,0,0)</f>
        <v>Transporte Aéreo</v>
      </c>
      <c r="AA14">
        <f>_xlfn.XLOOKUP(Y14,chat_gpt!A:A,chat_gpt!C:C,0,0)</f>
        <v>18</v>
      </c>
      <c r="AB14" t="str">
        <f t="shared" si="12"/>
        <v>Menos de 50 anos</v>
      </c>
    </row>
    <row r="15" spans="1:28" ht="12.75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>
        <f t="shared" si="1"/>
        <v>1.41E-2</v>
      </c>
      <c r="M15">
        <f t="shared" si="2"/>
        <v>-2.7099999999999999E-2</v>
      </c>
      <c r="N15">
        <f t="shared" si="3"/>
        <v>9.4E-2</v>
      </c>
      <c r="O15">
        <f t="shared" si="4"/>
        <v>9.4E-2</v>
      </c>
      <c r="P15">
        <f t="shared" si="5"/>
        <v>-0.377</v>
      </c>
      <c r="Q15" s="29">
        <f t="shared" si="6"/>
        <v>28.350261315452126</v>
      </c>
      <c r="R15" s="29">
        <f t="shared" si="7"/>
        <v>29.550827423167849</v>
      </c>
      <c r="S15" s="29">
        <f t="shared" si="8"/>
        <v>26.279707495429616</v>
      </c>
      <c r="T15" s="29">
        <f t="shared" si="9"/>
        <v>26.279707495429616</v>
      </c>
      <c r="U15" s="29">
        <f t="shared" si="10"/>
        <v>46.147672552166931</v>
      </c>
      <c r="V15" s="30">
        <f>_xlfn.XLOOKUP(A15,Total_de_acoes!A:A,Total_de_acoes!B:B,0,0)</f>
        <v>235665566</v>
      </c>
      <c r="W15" s="29">
        <f t="shared" si="11"/>
        <v>94204643.346070096</v>
      </c>
      <c r="X15" t="str" cm="1">
        <f t="array" ref="X15">_xlfn.IFS(W15&gt;0,"Subiu",W15&lt;0,"Desceu",W15=0,"Estável")</f>
        <v>Subiu</v>
      </c>
      <c r="Y15" t="str">
        <f>_xlfn.XLOOKUP(A15,Ticker!A:A,Ticker!B:B,0,0)</f>
        <v>3R Petroleum</v>
      </c>
      <c r="Z15" t="str">
        <f>_xlfn.XLOOKUP(Y15,chat_gpt!A:A,chat_gpt!B:B,0,0)</f>
        <v>Petróleo e Gás</v>
      </c>
      <c r="AA15">
        <f>_xlfn.XLOOKUP(Y15,chat_gpt!A:A,chat_gpt!C:C,0,0)</f>
        <v>11</v>
      </c>
      <c r="AB15" t="str">
        <f t="shared" si="12"/>
        <v>Menos de 50 anos</v>
      </c>
    </row>
    <row r="16" spans="1:28" ht="12.75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>
        <f t="shared" si="1"/>
        <v>1.34E-2</v>
      </c>
      <c r="M16">
        <f t="shared" si="2"/>
        <v>2.76E-2</v>
      </c>
      <c r="N16">
        <f t="shared" si="3"/>
        <v>-1.1200000000000002E-2</v>
      </c>
      <c r="O16">
        <f t="shared" si="4"/>
        <v>-1.1200000000000002E-2</v>
      </c>
      <c r="P16">
        <f t="shared" si="5"/>
        <v>0.28010000000000002</v>
      </c>
      <c r="Q16" s="29">
        <f t="shared" si="6"/>
        <v>34.852970199328986</v>
      </c>
      <c r="R16" s="29">
        <f t="shared" si="7"/>
        <v>34.37135072012456</v>
      </c>
      <c r="S16" s="29">
        <f t="shared" si="8"/>
        <v>35.720064724919091</v>
      </c>
      <c r="T16" s="29">
        <f t="shared" si="9"/>
        <v>35.720064724919091</v>
      </c>
      <c r="U16" s="29">
        <f t="shared" si="10"/>
        <v>27.591594406686976</v>
      </c>
      <c r="V16" s="30">
        <f>_xlfn.XLOOKUP(A16,Total_de_acoes!A:A,Total_de_acoes!B:B,0,0)</f>
        <v>1095587251</v>
      </c>
      <c r="W16" s="29">
        <f t="shared" si="11"/>
        <v>511671895.45223427</v>
      </c>
      <c r="X16" t="str" cm="1">
        <f t="array" ref="X16">_xlfn.IFS(W16&gt;0,"Subiu",W16&lt;0,"Desceu",W16=0,"Estável")</f>
        <v>Subiu</v>
      </c>
      <c r="Y16" t="str">
        <f>_xlfn.XLOOKUP(A16,Ticker!A:A,Ticker!B:B,0,0)</f>
        <v>Equatorial Energia</v>
      </c>
      <c r="Z16" t="str">
        <f>_xlfn.XLOOKUP(Y16,chat_gpt!A:A,chat_gpt!B:B,0,0)</f>
        <v>Energia</v>
      </c>
      <c r="AA16">
        <f>_xlfn.XLOOKUP(Y16,chat_gpt!A:A,chat_gpt!C:C,0,0)</f>
        <v>28</v>
      </c>
      <c r="AB16" t="str">
        <f t="shared" si="12"/>
        <v>Menos de 50 anos</v>
      </c>
    </row>
    <row r="17" spans="1:28" ht="12.75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>
        <f t="shared" si="1"/>
        <v>1.3300000000000001E-2</v>
      </c>
      <c r="M17">
        <f t="shared" si="2"/>
        <v>4.7899999999999998E-2</v>
      </c>
      <c r="N17">
        <f t="shared" si="3"/>
        <v>-7.6299999999999993E-2</v>
      </c>
      <c r="O17">
        <f t="shared" si="4"/>
        <v>-7.6299999999999993E-2</v>
      </c>
      <c r="P17">
        <f t="shared" si="5"/>
        <v>0.1245</v>
      </c>
      <c r="Q17" s="29">
        <f t="shared" si="6"/>
        <v>17.921642159281554</v>
      </c>
      <c r="R17" s="29">
        <f t="shared" si="7"/>
        <v>17.329897891020135</v>
      </c>
      <c r="S17" s="29">
        <f t="shared" si="8"/>
        <v>19.660062790949443</v>
      </c>
      <c r="T17" s="29">
        <f t="shared" si="9"/>
        <v>19.660062790949443</v>
      </c>
      <c r="U17" s="29">
        <f t="shared" si="10"/>
        <v>16.149399733214761</v>
      </c>
      <c r="V17" s="30">
        <f>_xlfn.XLOOKUP(A17,Total_de_acoes!A:A,Total_de_acoes!B:B,0,0)</f>
        <v>600865451</v>
      </c>
      <c r="W17" s="29">
        <f t="shared" si="11"/>
        <v>143220991.46267557</v>
      </c>
      <c r="X17" t="str" cm="1">
        <f t="array" ref="X17">_xlfn.IFS(W17&gt;0,"Subiu",W17&lt;0,"Desceu",W17=0,"Estável")</f>
        <v>Subiu</v>
      </c>
      <c r="Y17" t="str">
        <f>_xlfn.XLOOKUP(A17,Ticker!A:A,Ticker!B:B,0,0)</f>
        <v>Siderúrgica Nacional</v>
      </c>
      <c r="Z17" t="str">
        <f>_xlfn.XLOOKUP(Y17,chat_gpt!A:A,chat_gpt!B:B,0,0)</f>
        <v>Siderurgia</v>
      </c>
      <c r="AA17">
        <f>_xlfn.XLOOKUP(Y17,chat_gpt!A:A,chat_gpt!C:C,0,0)</f>
        <v>83</v>
      </c>
      <c r="AB17" t="str">
        <f t="shared" si="12"/>
        <v>Entre 50 e 100 anos</v>
      </c>
    </row>
    <row r="18" spans="1:28" ht="12.75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>
        <f t="shared" si="1"/>
        <v>1.2800000000000001E-2</v>
      </c>
      <c r="M18">
        <f t="shared" si="2"/>
        <v>-5.9000000000000004E-2</v>
      </c>
      <c r="N18">
        <f t="shared" si="3"/>
        <v>-0.1182</v>
      </c>
      <c r="O18">
        <f t="shared" si="4"/>
        <v>-0.1182</v>
      </c>
      <c r="P18">
        <f t="shared" si="5"/>
        <v>1.0845</v>
      </c>
      <c r="Q18" s="29">
        <f t="shared" si="6"/>
        <v>19.520142180094787</v>
      </c>
      <c r="R18" s="29">
        <f t="shared" si="7"/>
        <v>21.009564293304994</v>
      </c>
      <c r="S18" s="29">
        <f t="shared" si="8"/>
        <v>22.420049897936039</v>
      </c>
      <c r="T18" s="29">
        <f t="shared" si="9"/>
        <v>22.420049897936039</v>
      </c>
      <c r="U18" s="29">
        <f t="shared" si="10"/>
        <v>9.4842887982729653</v>
      </c>
      <c r="V18" s="30">
        <f>_xlfn.XLOOKUP(A18,Total_de_acoes!A:A,Total_de_acoes!B:B,0,0)</f>
        <v>289347914</v>
      </c>
      <c r="W18" s="29">
        <f t="shared" si="11"/>
        <v>72295838.986160949</v>
      </c>
      <c r="X18" t="str" cm="1">
        <f t="array" ref="X18">_xlfn.IFS(W18&gt;0,"Subiu",W18&lt;0,"Desceu",W18=0,"Estável")</f>
        <v>Subiu</v>
      </c>
      <c r="Y18" t="str">
        <f>_xlfn.XLOOKUP(A18,Ticker!A:A,Ticker!B:B,0,0)</f>
        <v>YDUQS</v>
      </c>
      <c r="Z18" t="str">
        <f>_xlfn.XLOOKUP(Y18,chat_gpt!A:A,chat_gpt!B:B,0,0)</f>
        <v>Educação</v>
      </c>
      <c r="AA18">
        <f>_xlfn.XLOOKUP(Y18,chat_gpt!A:A,chat_gpt!C:C,0,0)</f>
        <v>61</v>
      </c>
      <c r="AB18" t="str">
        <f t="shared" si="12"/>
        <v>Entre 50 e 100 anos</v>
      </c>
    </row>
    <row r="19" spans="1:28" ht="12.75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>
        <f t="shared" si="1"/>
        <v>1.2800000000000001E-2</v>
      </c>
      <c r="M19">
        <f t="shared" si="2"/>
        <v>2.35E-2</v>
      </c>
      <c r="N19">
        <f t="shared" si="3"/>
        <v>6.7900000000000002E-2</v>
      </c>
      <c r="O19">
        <f t="shared" si="4"/>
        <v>6.7900000000000002E-2</v>
      </c>
      <c r="P19">
        <f t="shared" si="5"/>
        <v>1.1981999999999999</v>
      </c>
      <c r="Q19" s="29">
        <f t="shared" si="6"/>
        <v>27.952211690363349</v>
      </c>
      <c r="R19" s="29">
        <f t="shared" si="7"/>
        <v>27.659990229604297</v>
      </c>
      <c r="S19" s="29">
        <f t="shared" si="8"/>
        <v>26.509972843899238</v>
      </c>
      <c r="T19" s="29">
        <f t="shared" si="9"/>
        <v>26.509972843899238</v>
      </c>
      <c r="U19" s="29">
        <f t="shared" si="10"/>
        <v>12.878718951869711</v>
      </c>
      <c r="V19" s="30">
        <f>_xlfn.XLOOKUP(A19,Total_de_acoes!A:A,Total_de_acoes!B:B,0,0)</f>
        <v>1086411192</v>
      </c>
      <c r="W19" s="29">
        <f t="shared" si="11"/>
        <v>388705223.95601785</v>
      </c>
      <c r="X19" t="str" cm="1">
        <f t="array" ref="X19">_xlfn.IFS(W19&gt;0,"Subiu",W19&lt;0,"Desceu",W19=0,"Estável")</f>
        <v>Subiu</v>
      </c>
      <c r="Y19" t="str">
        <f>_xlfn.XLOOKUP(A19,Ticker!A:A,Ticker!B:B,0,0)</f>
        <v>Ultrapar</v>
      </c>
      <c r="Z19" t="str">
        <f>_xlfn.XLOOKUP(Y19,chat_gpt!A:A,chat_gpt!B:B,0,0)</f>
        <v>Energia</v>
      </c>
      <c r="AA19">
        <f>_xlfn.XLOOKUP(Y19,chat_gpt!A:A,chat_gpt!C:C,0,0)</f>
        <v>88</v>
      </c>
      <c r="AB19" t="str">
        <f t="shared" si="12"/>
        <v>Entre 50 e 100 anos</v>
      </c>
    </row>
    <row r="20" spans="1:28" ht="12.75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>
        <f t="shared" si="1"/>
        <v>1.2500000000000001E-2</v>
      </c>
      <c r="M20">
        <f t="shared" si="2"/>
        <v>1.38E-2</v>
      </c>
      <c r="N20">
        <f t="shared" si="3"/>
        <v>-0.28050000000000003</v>
      </c>
      <c r="O20">
        <f t="shared" si="4"/>
        <v>-0.28050000000000003</v>
      </c>
      <c r="P20">
        <f t="shared" si="5"/>
        <v>0.14119999999999999</v>
      </c>
      <c r="Q20" s="29">
        <f t="shared" si="6"/>
        <v>7.9802469135802472</v>
      </c>
      <c r="R20" s="29">
        <f t="shared" si="7"/>
        <v>7.9700138094298678</v>
      </c>
      <c r="S20" s="29">
        <f t="shared" si="8"/>
        <v>11.23002084781098</v>
      </c>
      <c r="T20" s="29">
        <f t="shared" si="9"/>
        <v>11.23002084781098</v>
      </c>
      <c r="U20" s="29">
        <f t="shared" si="10"/>
        <v>7.0802663862600772</v>
      </c>
      <c r="V20" s="30">
        <f>_xlfn.XLOOKUP(A20,Total_de_acoes!A:A,Total_de_acoes!B:B,0,0)</f>
        <v>376187582</v>
      </c>
      <c r="W20" s="29">
        <f t="shared" si="11"/>
        <v>37525872.377283879</v>
      </c>
      <c r="X20" t="str" cm="1">
        <f t="array" ref="X20">_xlfn.IFS(W20&gt;0,"Subiu",W20&lt;0,"Desceu",W20=0,"Estável")</f>
        <v>Subiu</v>
      </c>
      <c r="Y20" t="str">
        <f>_xlfn.XLOOKUP(A20,Ticker!A:A,Ticker!B:B,0,0)</f>
        <v>MRV</v>
      </c>
      <c r="Z20" t="str">
        <f>_xlfn.XLOOKUP(Y20,chat_gpt!A:A,chat_gpt!B:B,0,0)</f>
        <v>Construção Civil</v>
      </c>
      <c r="AA20">
        <f>_xlfn.XLOOKUP(Y20,chat_gpt!A:A,chat_gpt!C:C,0,0)</f>
        <v>46</v>
      </c>
      <c r="AB20" t="str">
        <f t="shared" si="12"/>
        <v>Menos de 50 anos</v>
      </c>
    </row>
    <row r="21" spans="1:28" ht="12.75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>
        <f t="shared" si="1"/>
        <v>1.15E-2</v>
      </c>
      <c r="M21">
        <f t="shared" si="2"/>
        <v>-1.03E-2</v>
      </c>
      <c r="N21">
        <f t="shared" si="3"/>
        <v>-0.1026</v>
      </c>
      <c r="O21">
        <f t="shared" si="4"/>
        <v>-0.1026</v>
      </c>
      <c r="P21">
        <f t="shared" si="5"/>
        <v>-0.28970000000000001</v>
      </c>
      <c r="Q21" s="29">
        <f t="shared" si="6"/>
        <v>57.251606524962916</v>
      </c>
      <c r="R21" s="29">
        <f t="shared" si="7"/>
        <v>58.51268061028594</v>
      </c>
      <c r="S21" s="29">
        <f t="shared" si="8"/>
        <v>64.530866948963677</v>
      </c>
      <c r="T21" s="29">
        <f t="shared" si="9"/>
        <v>64.530866948963677</v>
      </c>
      <c r="U21" s="29">
        <f t="shared" si="10"/>
        <v>81.528931437420809</v>
      </c>
      <c r="V21" s="30">
        <f>_xlfn.XLOOKUP(A21,Total_de_acoes!A:A,Total_de_acoes!B:B,0,0)</f>
        <v>62305891</v>
      </c>
      <c r="W21" s="29">
        <f t="shared" si="11"/>
        <v>41021792.090771534</v>
      </c>
      <c r="X21" t="str" cm="1">
        <f t="array" ref="X21">_xlfn.IFS(W21&gt;0,"Subiu",W21&lt;0,"Desceu",W21=0,"Estável")</f>
        <v>Subiu</v>
      </c>
      <c r="Y21" t="str">
        <f>_xlfn.XLOOKUP(A21,Ticker!A:A,Ticker!B:B,0,0)</f>
        <v>Arezzo</v>
      </c>
      <c r="Z21" t="str">
        <f>_xlfn.XLOOKUP(Y21,chat_gpt!A:A,chat_gpt!B:B,0,0)</f>
        <v>Moda</v>
      </c>
      <c r="AA21">
        <f>_xlfn.XLOOKUP(Y21,chat_gpt!A:A,chat_gpt!C:C,0,0)</f>
        <v>54</v>
      </c>
      <c r="AB21" t="str">
        <f t="shared" si="12"/>
        <v>Entre 50 e 100 anos</v>
      </c>
    </row>
    <row r="22" spans="1:28" ht="12.75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>
        <f t="shared" si="1"/>
        <v>1.04E-2</v>
      </c>
      <c r="M22">
        <f t="shared" si="2"/>
        <v>-7.7000000000000002E-3</v>
      </c>
      <c r="N22">
        <f t="shared" si="3"/>
        <v>-9.0800000000000006E-2</v>
      </c>
      <c r="O22">
        <f t="shared" si="4"/>
        <v>-9.0800000000000006E-2</v>
      </c>
      <c r="P22">
        <f t="shared" si="5"/>
        <v>0.16109999999999999</v>
      </c>
      <c r="Q22" s="29">
        <f t="shared" si="6"/>
        <v>15.36025336500396</v>
      </c>
      <c r="R22" s="29">
        <f t="shared" si="7"/>
        <v>15.640431321173033</v>
      </c>
      <c r="S22" s="29">
        <f t="shared" si="8"/>
        <v>17.069951605807301</v>
      </c>
      <c r="T22" s="29">
        <f t="shared" si="9"/>
        <v>17.069951605807301</v>
      </c>
      <c r="U22" s="29">
        <f t="shared" si="10"/>
        <v>13.366635087417103</v>
      </c>
      <c r="V22" s="30">
        <f>_xlfn.XLOOKUP(A22,Total_de_acoes!A:A,Total_de_acoes!B:B,0,0)</f>
        <v>5146576868</v>
      </c>
      <c r="W22" s="29">
        <f t="shared" si="11"/>
        <v>822148336.41145825</v>
      </c>
      <c r="X22" t="str" cm="1">
        <f t="array" ref="X22">_xlfn.IFS(W22&gt;0,"Subiu",W22&lt;0,"Desceu",W22=0,"Estável")</f>
        <v>Subiu</v>
      </c>
      <c r="Y22" t="str">
        <f>_xlfn.XLOOKUP(A22,Ticker!A:A,Ticker!B:B,0,0)</f>
        <v>Banco Bradesco</v>
      </c>
      <c r="Z22" t="str">
        <f>_xlfn.XLOOKUP(Y22,chat_gpt!A:A,chat_gpt!B:B,0,0)</f>
        <v>Banco</v>
      </c>
      <c r="AA22">
        <f>_xlfn.XLOOKUP(Y22,chat_gpt!A:A,chat_gpt!C:C,0,0)</f>
        <v>82</v>
      </c>
      <c r="AB22" t="str">
        <f t="shared" si="12"/>
        <v>Entre 50 e 100 anos</v>
      </c>
    </row>
    <row r="23" spans="1:28" ht="12.75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>
        <f t="shared" si="1"/>
        <v>9.7999999999999997E-3</v>
      </c>
      <c r="M23">
        <f t="shared" si="2"/>
        <v>6.0499999999999998E-2</v>
      </c>
      <c r="N23">
        <f t="shared" si="3"/>
        <v>-3.7499999999999999E-2</v>
      </c>
      <c r="O23">
        <f t="shared" si="4"/>
        <v>-3.7499999999999999E-2</v>
      </c>
      <c r="P23">
        <f t="shared" si="5"/>
        <v>-0.48310000000000003</v>
      </c>
      <c r="Q23" s="29">
        <f t="shared" si="6"/>
        <v>7.1202218261041796</v>
      </c>
      <c r="R23" s="29">
        <f t="shared" si="7"/>
        <v>6.7798208392267805</v>
      </c>
      <c r="S23" s="29">
        <f t="shared" si="8"/>
        <v>7.4701298701298704</v>
      </c>
      <c r="T23" s="29">
        <f t="shared" si="9"/>
        <v>7.4701298701298704</v>
      </c>
      <c r="U23" s="29">
        <f t="shared" si="10"/>
        <v>13.909847165796094</v>
      </c>
      <c r="V23" s="30">
        <f>_xlfn.XLOOKUP(A23,Total_de_acoes!A:A,Total_de_acoes!B:B,0,0)</f>
        <v>261036182</v>
      </c>
      <c r="W23" s="29">
        <f t="shared" si="11"/>
        <v>18214628.100697115</v>
      </c>
      <c r="X23" t="str" cm="1">
        <f t="array" ref="X23">_xlfn.IFS(W23&gt;0,"Subiu",W23&lt;0,"Desceu",W23=0,"Estável")</f>
        <v>Subiu</v>
      </c>
      <c r="Y23" t="str">
        <f>_xlfn.XLOOKUP(A23,Ticker!A:A,Ticker!B:B,0,0)</f>
        <v>Minerva</v>
      </c>
      <c r="Z23" t="str">
        <f>_xlfn.XLOOKUP(Y23,chat_gpt!A:A,chat_gpt!B:B,0,0)</f>
        <v>Alimentos</v>
      </c>
      <c r="AA23">
        <f>_xlfn.XLOOKUP(Y23,chat_gpt!A:A,chat_gpt!C:C,0,0)</f>
        <v>31</v>
      </c>
      <c r="AB23" t="str">
        <f t="shared" si="12"/>
        <v>Menos de 50 anos</v>
      </c>
    </row>
    <row r="24" spans="1:28" ht="12.75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>
        <f t="shared" si="1"/>
        <v>9.7000000000000003E-3</v>
      </c>
      <c r="M24">
        <f t="shared" si="2"/>
        <v>-6.3299999999999995E-2</v>
      </c>
      <c r="N24">
        <f t="shared" si="3"/>
        <v>1.9699999999999999E-2</v>
      </c>
      <c r="O24">
        <f t="shared" si="4"/>
        <v>1.9699999999999999E-2</v>
      </c>
      <c r="P24">
        <f t="shared" si="5"/>
        <v>-0.51180000000000003</v>
      </c>
      <c r="Q24" s="29">
        <f t="shared" si="6"/>
        <v>4.1002277904328013</v>
      </c>
      <c r="R24" s="29">
        <f t="shared" si="7"/>
        <v>4.4197715383794165</v>
      </c>
      <c r="S24" s="29">
        <f t="shared" si="8"/>
        <v>4.0600176522506617</v>
      </c>
      <c r="T24" s="29">
        <f t="shared" si="9"/>
        <v>4.0600176522506617</v>
      </c>
      <c r="U24" s="29">
        <f t="shared" si="10"/>
        <v>8.4801310938140109</v>
      </c>
      <c r="V24" s="30">
        <f>_xlfn.XLOOKUP(A24,Total_de_acoes!A:A,Total_de_acoes!B:B,0,0)</f>
        <v>159430826</v>
      </c>
      <c r="W24" s="29">
        <f t="shared" si="11"/>
        <v>6340916.223143544</v>
      </c>
      <c r="X24" t="str" cm="1">
        <f t="array" ref="X24">_xlfn.IFS(W24&gt;0,"Subiu",W24&lt;0,"Desceu",W24=0,"Estável")</f>
        <v>Subiu</v>
      </c>
      <c r="Y24" t="str">
        <f>_xlfn.XLOOKUP(A24,Ticker!A:A,Ticker!B:B,0,0)</f>
        <v>Grupo Pão de Açúcar</v>
      </c>
      <c r="Z24" t="str">
        <f>_xlfn.XLOOKUP(Y24,chat_gpt!A:A,chat_gpt!B:B,0,0)</f>
        <v>Varejo</v>
      </c>
      <c r="AA24">
        <f>_xlfn.XLOOKUP(Y24,chat_gpt!A:A,chat_gpt!C:C,0,0)</f>
        <v>76</v>
      </c>
      <c r="AB24" t="str">
        <f t="shared" si="12"/>
        <v>Entre 50 e 100 anos</v>
      </c>
    </row>
    <row r="25" spans="1:28" ht="12.75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>
        <f t="shared" si="1"/>
        <v>9.5999999999999992E-3</v>
      </c>
      <c r="M25">
        <f t="shared" si="2"/>
        <v>0.12380000000000001</v>
      </c>
      <c r="N25">
        <f t="shared" si="3"/>
        <v>5.79E-2</v>
      </c>
      <c r="O25">
        <f t="shared" si="4"/>
        <v>5.79E-2</v>
      </c>
      <c r="P25">
        <f t="shared" si="5"/>
        <v>0.78170000000000006</v>
      </c>
      <c r="Q25" s="29">
        <f t="shared" si="6"/>
        <v>14.471077654516639</v>
      </c>
      <c r="R25" s="29">
        <f t="shared" si="7"/>
        <v>13.000533902829686</v>
      </c>
      <c r="S25" s="29">
        <f t="shared" si="8"/>
        <v>13.810379052840531</v>
      </c>
      <c r="T25" s="29">
        <f t="shared" si="9"/>
        <v>13.810379052840531</v>
      </c>
      <c r="U25" s="29">
        <f t="shared" si="10"/>
        <v>8.2000336757029793</v>
      </c>
      <c r="V25" s="30">
        <f>_xlfn.XLOOKUP(A25,Total_de_acoes!A:A,Total_de_acoes!B:B,0,0)</f>
        <v>1677525446</v>
      </c>
      <c r="W25" s="29">
        <f t="shared" si="11"/>
        <v>233045769.56633979</v>
      </c>
      <c r="X25" t="str" cm="1">
        <f t="array" ref="X25">_xlfn.IFS(W25&gt;0,"Subiu",W25&lt;0,"Desceu",W25=0,"Estável")</f>
        <v>Subiu</v>
      </c>
      <c r="Y25" t="str">
        <f>_xlfn.XLOOKUP(A25,Ticker!A:A,Ticker!B:B,0,0)</f>
        <v>BRF</v>
      </c>
      <c r="Z25" t="str">
        <f>_xlfn.XLOOKUP(Y25,chat_gpt!A:A,chat_gpt!B:B,0,0)</f>
        <v>Alimentos</v>
      </c>
      <c r="AA25">
        <f>_xlfn.XLOOKUP(Y25,chat_gpt!A:A,chat_gpt!C:C,0,0)</f>
        <v>88</v>
      </c>
      <c r="AB25" t="str">
        <f t="shared" si="12"/>
        <v>Entre 50 e 100 anos</v>
      </c>
    </row>
    <row r="26" spans="1:28" ht="12.75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>
        <f t="shared" si="1"/>
        <v>8.8000000000000005E-3</v>
      </c>
      <c r="M26">
        <f t="shared" si="2"/>
        <v>1.09E-2</v>
      </c>
      <c r="N26">
        <f t="shared" si="3"/>
        <v>-4.1900000000000007E-2</v>
      </c>
      <c r="O26">
        <f t="shared" si="4"/>
        <v>-4.1900000000000007E-2</v>
      </c>
      <c r="P26">
        <f t="shared" si="5"/>
        <v>0.32780000000000004</v>
      </c>
      <c r="Q26" s="29">
        <f t="shared" si="6"/>
        <v>50.753370340999211</v>
      </c>
      <c r="R26" s="29">
        <f t="shared" si="7"/>
        <v>50.647937481452182</v>
      </c>
      <c r="S26" s="29">
        <f t="shared" si="8"/>
        <v>53.439098215217626</v>
      </c>
      <c r="T26" s="29">
        <f t="shared" si="9"/>
        <v>53.439098215217626</v>
      </c>
      <c r="U26" s="29">
        <f t="shared" si="10"/>
        <v>38.560024100015063</v>
      </c>
      <c r="V26" s="30">
        <f>_xlfn.XLOOKUP(A26,Total_de_acoes!A:A,Total_de_acoes!B:B,0,0)</f>
        <v>423091712</v>
      </c>
      <c r="W26" s="29">
        <f t="shared" si="11"/>
        <v>188965307.05662104</v>
      </c>
      <c r="X26" t="str" cm="1">
        <f t="array" ref="X26">_xlfn.IFS(W26&gt;0,"Subiu",W26&lt;0,"Desceu",W26=0,"Estável")</f>
        <v>Subiu</v>
      </c>
      <c r="Y26" t="str">
        <f>_xlfn.XLOOKUP(A26,Ticker!A:A,Ticker!B:B,0,0)</f>
        <v>Vivo</v>
      </c>
      <c r="Z26" t="str">
        <f>_xlfn.XLOOKUP(Y26,chat_gpt!A:A,chat_gpt!B:B,0,0)</f>
        <v>Telecomunicações</v>
      </c>
      <c r="AA26">
        <f>_xlfn.XLOOKUP(Y26,chat_gpt!A:A,chat_gpt!C:C,0,0)</f>
        <v>26</v>
      </c>
      <c r="AB26" t="str">
        <f t="shared" si="12"/>
        <v>Menos de 50 anos</v>
      </c>
    </row>
    <row r="27" spans="1:28" ht="12.75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>
        <f t="shared" si="1"/>
        <v>8.3999999999999995E-3</v>
      </c>
      <c r="M27">
        <f t="shared" si="2"/>
        <v>1.0700000000000001E-2</v>
      </c>
      <c r="N27">
        <f t="shared" si="3"/>
        <v>-1.3500000000000002E-2</v>
      </c>
      <c r="O27">
        <f t="shared" si="4"/>
        <v>-1.3500000000000002E-2</v>
      </c>
      <c r="P27">
        <f t="shared" si="5"/>
        <v>0.20929999999999999</v>
      </c>
      <c r="Q27" s="29">
        <f t="shared" si="6"/>
        <v>22.451408171360573</v>
      </c>
      <c r="R27" s="29">
        <f t="shared" si="7"/>
        <v>22.40031661224894</v>
      </c>
      <c r="S27" s="29">
        <f t="shared" si="8"/>
        <v>22.949822605169793</v>
      </c>
      <c r="T27" s="29">
        <f t="shared" si="9"/>
        <v>22.949822605169793</v>
      </c>
      <c r="U27" s="29">
        <f t="shared" si="10"/>
        <v>18.721574464566277</v>
      </c>
      <c r="V27" s="30">
        <f>_xlfn.XLOOKUP(A27,Total_de_acoes!A:A,Total_de_acoes!B:B,0,0)</f>
        <v>1218352541</v>
      </c>
      <c r="W27" s="29">
        <f t="shared" si="11"/>
        <v>229771333.63468358</v>
      </c>
      <c r="X27" t="str" cm="1">
        <f t="array" ref="X27">_xlfn.IFS(W27&gt;0,"Subiu",W27&lt;0,"Desceu",W27=0,"Estável")</f>
        <v>Subiu</v>
      </c>
      <c r="Y27" t="str">
        <f>_xlfn.XLOOKUP(A27,Ticker!A:A,Ticker!B:B,0,0)</f>
        <v>Rumo</v>
      </c>
      <c r="Z27" t="str">
        <f>_xlfn.XLOOKUP(Y27,chat_gpt!A:A,chat_gpt!B:B,0,0)</f>
        <v>Logística</v>
      </c>
      <c r="AA27">
        <f>_xlfn.XLOOKUP(Y27,chat_gpt!A:A,chat_gpt!C:C,0,0)</f>
        <v>15</v>
      </c>
      <c r="AB27" t="str">
        <f t="shared" si="12"/>
        <v>Menos de 50 anos</v>
      </c>
    </row>
    <row r="28" spans="1:28" ht="12.75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>
        <f t="shared" si="1"/>
        <v>8.199999999999999E-3</v>
      </c>
      <c r="M28">
        <f t="shared" si="2"/>
        <v>9.3800000000000008E-2</v>
      </c>
      <c r="N28">
        <f t="shared" si="3"/>
        <v>5.8299999999999998E-2</v>
      </c>
      <c r="O28">
        <f t="shared" si="4"/>
        <v>5.8299999999999998E-2</v>
      </c>
      <c r="P28">
        <f t="shared" si="5"/>
        <v>-2.1899999999999999E-2</v>
      </c>
      <c r="Q28" s="29">
        <f t="shared" si="6"/>
        <v>4.8601467962705813</v>
      </c>
      <c r="R28" s="29">
        <f t="shared" si="7"/>
        <v>4.4797952093618578</v>
      </c>
      <c r="S28" s="29">
        <f t="shared" si="8"/>
        <v>4.6300670887272046</v>
      </c>
      <c r="T28" s="29">
        <f t="shared" si="9"/>
        <v>4.6300670887272046</v>
      </c>
      <c r="U28" s="29">
        <f t="shared" si="10"/>
        <v>5.0097127083120343</v>
      </c>
      <c r="V28" s="30">
        <f>_xlfn.XLOOKUP(A28,Total_de_acoes!A:A,Total_de_acoes!B:B,0,0)</f>
        <v>1095462329</v>
      </c>
      <c r="W28" s="29">
        <f t="shared" si="11"/>
        <v>43657683.375540853</v>
      </c>
      <c r="X28" t="str" cm="1">
        <f t="array" ref="X28">_xlfn.IFS(W28&gt;0,"Subiu",W28&lt;0,"Desceu",W28=0,"Estável")</f>
        <v>Subiu</v>
      </c>
      <c r="Y28" t="str">
        <f>_xlfn.XLOOKUP(A28,Ticker!A:A,Ticker!B:B,0,0)</f>
        <v>Cielo</v>
      </c>
      <c r="Z28" t="str">
        <f>_xlfn.XLOOKUP(Y28,chat_gpt!A:A,chat_gpt!B:B,0,0)</f>
        <v>Pagamentos</v>
      </c>
      <c r="AA28">
        <f>_xlfn.XLOOKUP(Y28,chat_gpt!A:A,chat_gpt!C:C,0,0)</f>
        <v>14</v>
      </c>
      <c r="AB28" t="str">
        <f t="shared" si="12"/>
        <v>Menos de 50 anos</v>
      </c>
    </row>
    <row r="29" spans="1:28" ht="12.75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>
        <f t="shared" si="1"/>
        <v>7.7000000000000002E-3</v>
      </c>
      <c r="M29">
        <f t="shared" si="2"/>
        <v>3.1699999999999999E-2</v>
      </c>
      <c r="N29">
        <f t="shared" si="3"/>
        <v>-3.2199999999999999E-2</v>
      </c>
      <c r="O29">
        <f t="shared" si="4"/>
        <v>-3.2199999999999999E-2</v>
      </c>
      <c r="P29">
        <f t="shared" si="5"/>
        <v>9.9399999999999988E-2</v>
      </c>
      <c r="Q29" s="29">
        <f t="shared" si="6"/>
        <v>7.7503225166220098</v>
      </c>
      <c r="R29" s="29">
        <f t="shared" si="7"/>
        <v>7.5700300474944262</v>
      </c>
      <c r="S29" s="29">
        <f t="shared" si="8"/>
        <v>8.0698491423847898</v>
      </c>
      <c r="T29" s="29">
        <f t="shared" si="9"/>
        <v>8.0698491423847898</v>
      </c>
      <c r="U29" s="29">
        <f t="shared" si="10"/>
        <v>7.1038748408222672</v>
      </c>
      <c r="V29" s="30">
        <f>_xlfn.XLOOKUP(A29,Total_de_acoes!A:A,Total_de_acoes!B:B,0,0)</f>
        <v>302768240</v>
      </c>
      <c r="W29" s="29">
        <f t="shared" si="11"/>
        <v>18068446.609983239</v>
      </c>
      <c r="X29" t="str" cm="1">
        <f t="array" ref="X29">_xlfn.IFS(W29&gt;0,"Subiu",W29&lt;0,"Desceu",W29=0,"Estável")</f>
        <v>Subiu</v>
      </c>
      <c r="Y29" t="str">
        <f>_xlfn.XLOOKUP(A29,Ticker!A:A,Ticker!B:B,0,0)</f>
        <v>Dexco</v>
      </c>
      <c r="Z29" t="str">
        <f>_xlfn.XLOOKUP(Y29,chat_gpt!A:A,chat_gpt!B:B,0,0)</f>
        <v>Serviços</v>
      </c>
      <c r="AA29">
        <f>_xlfn.XLOOKUP(Y29,chat_gpt!A:A,chat_gpt!C:C,0,0)</f>
        <v>5</v>
      </c>
      <c r="AB29" t="str">
        <f t="shared" si="12"/>
        <v>Menos de 50 anos</v>
      </c>
    </row>
    <row r="30" spans="1:28" ht="12.75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>
        <f t="shared" si="1"/>
        <v>7.4000000000000003E-3</v>
      </c>
      <c r="M30">
        <f t="shared" si="2"/>
        <v>-5.6999999999999993E-3</v>
      </c>
      <c r="N30">
        <f t="shared" si="3"/>
        <v>-2.29E-2</v>
      </c>
      <c r="O30">
        <f t="shared" si="4"/>
        <v>-2.29E-2</v>
      </c>
      <c r="P30">
        <f t="shared" si="5"/>
        <v>0.56869999999999998</v>
      </c>
      <c r="Q30" s="29">
        <f t="shared" si="6"/>
        <v>17.391304347826086</v>
      </c>
      <c r="R30" s="29">
        <f t="shared" si="7"/>
        <v>17.620436487981493</v>
      </c>
      <c r="S30" s="29">
        <f t="shared" si="8"/>
        <v>17.930610991710164</v>
      </c>
      <c r="T30" s="29">
        <f t="shared" si="9"/>
        <v>17.930610991710164</v>
      </c>
      <c r="U30" s="29">
        <f t="shared" si="10"/>
        <v>11.168483457640084</v>
      </c>
      <c r="V30" s="30">
        <f>_xlfn.XLOOKUP(A30,Total_de_acoes!A:A,Total_de_acoes!B:B,0,0)</f>
        <v>807896814</v>
      </c>
      <c r="W30" s="29">
        <f t="shared" si="11"/>
        <v>103972807.36695692</v>
      </c>
      <c r="X30" t="str" cm="1">
        <f t="array" ref="X30">_xlfn.IFS(W30&gt;0,"Subiu",W30&lt;0,"Desceu",W30=0,"Estável")</f>
        <v>Subiu</v>
      </c>
      <c r="Y30" t="str">
        <f>_xlfn.XLOOKUP(A30,Ticker!A:A,Ticker!B:B,0,0)</f>
        <v>TIM</v>
      </c>
      <c r="Z30" t="str">
        <f>_xlfn.XLOOKUP(Y30,chat_gpt!A:A,chat_gpt!B:B,0,0)</f>
        <v>Telecomunicações</v>
      </c>
      <c r="AA30">
        <f>_xlfn.XLOOKUP(Y30,chat_gpt!A:A,chat_gpt!C:C,0,0)</f>
        <v>28</v>
      </c>
      <c r="AB30" t="str">
        <f t="shared" si="12"/>
        <v>Menos de 50 anos</v>
      </c>
    </row>
    <row r="31" spans="1:28" ht="12.75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>
        <f t="shared" si="1"/>
        <v>7.3000000000000001E-3</v>
      </c>
      <c r="M31">
        <f t="shared" si="2"/>
        <v>1.9299999999999998E-2</v>
      </c>
      <c r="N31">
        <f t="shared" si="3"/>
        <v>-9.5100000000000004E-2</v>
      </c>
      <c r="O31">
        <f t="shared" si="4"/>
        <v>-9.5100000000000004E-2</v>
      </c>
      <c r="P31">
        <f t="shared" si="5"/>
        <v>-0.20399999999999999</v>
      </c>
      <c r="Q31" s="29">
        <f t="shared" si="6"/>
        <v>23.051722426288094</v>
      </c>
      <c r="R31" s="29">
        <f t="shared" si="7"/>
        <v>22.780339448641222</v>
      </c>
      <c r="S31" s="29">
        <f t="shared" si="8"/>
        <v>25.660293955133163</v>
      </c>
      <c r="T31" s="29">
        <f t="shared" si="9"/>
        <v>25.660293955133163</v>
      </c>
      <c r="U31" s="29">
        <f t="shared" si="10"/>
        <v>29.170854271356781</v>
      </c>
      <c r="V31" s="30">
        <f>_xlfn.XLOOKUP(A31,Total_de_acoes!A:A,Total_de_acoes!B:B,0,0)</f>
        <v>251003438</v>
      </c>
      <c r="W31" s="29">
        <f t="shared" si="11"/>
        <v>42238249.539986439</v>
      </c>
      <c r="X31" t="str" cm="1">
        <f t="array" ref="X31">_xlfn.IFS(W31&gt;0,"Subiu",W31&lt;0,"Desceu",W31=0,"Estável")</f>
        <v>Subiu</v>
      </c>
      <c r="Y31" t="str">
        <f>_xlfn.XLOOKUP(A31,Ticker!A:A,Ticker!B:B,0,0)</f>
        <v>Bradespar</v>
      </c>
      <c r="Z31" t="str">
        <f>_xlfn.XLOOKUP(Y31,chat_gpt!A:A,chat_gpt!B:B,0,0)</f>
        <v>Holding</v>
      </c>
      <c r="AA31">
        <f>_xlfn.XLOOKUP(Y31,chat_gpt!A:A,chat_gpt!C:C,0,0)</f>
        <v>27</v>
      </c>
      <c r="AB31" t="str">
        <f t="shared" si="12"/>
        <v>Menos de 50 anos</v>
      </c>
    </row>
    <row r="32" spans="1:28" ht="12.75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>
        <f t="shared" si="1"/>
        <v>7.1999999999999998E-3</v>
      </c>
      <c r="M32">
        <f t="shared" si="2"/>
        <v>-3.6499999999999998E-2</v>
      </c>
      <c r="N32">
        <f t="shared" si="3"/>
        <v>-7.6499999999999999E-2</v>
      </c>
      <c r="O32">
        <f t="shared" si="4"/>
        <v>-7.6499999999999999E-2</v>
      </c>
      <c r="P32">
        <f t="shared" si="5"/>
        <v>-0.14029999999999998</v>
      </c>
      <c r="Q32" s="29">
        <f t="shared" si="6"/>
        <v>5.510325655281969</v>
      </c>
      <c r="R32" s="29">
        <f t="shared" si="7"/>
        <v>5.7602490918526206</v>
      </c>
      <c r="S32" s="29">
        <f t="shared" si="8"/>
        <v>6.0097455332972389</v>
      </c>
      <c r="T32" s="29">
        <f t="shared" si="9"/>
        <v>6.0097455332972389</v>
      </c>
      <c r="U32" s="29">
        <f t="shared" si="10"/>
        <v>6.4557403745492614</v>
      </c>
      <c r="V32" s="30">
        <f>_xlfn.XLOOKUP(A32,Total_de_acoes!A:A,Total_de_acoes!B:B,0,0)</f>
        <v>393173139</v>
      </c>
      <c r="W32" s="29">
        <f t="shared" si="11"/>
        <v>15598886.650556229</v>
      </c>
      <c r="X32" t="str" cm="1">
        <f t="array" ref="X32">_xlfn.IFS(W32&gt;0,"Subiu",W32&lt;0,"Desceu",W32=0,"Estável")</f>
        <v>Subiu</v>
      </c>
      <c r="Y32" t="str">
        <f>_xlfn.XLOOKUP(A32,Ticker!A:A,Ticker!B:B,0,0)</f>
        <v>Locaweb</v>
      </c>
      <c r="Z32" t="str">
        <f>_xlfn.XLOOKUP(Y32,chat_gpt!A:A,chat_gpt!B:B,0,0)</f>
        <v>Tecnologia</v>
      </c>
      <c r="AA32">
        <f>_xlfn.XLOOKUP(Y32,chat_gpt!A:A,chat_gpt!C:C,0,0)</f>
        <v>27</v>
      </c>
      <c r="AB32" t="str">
        <f t="shared" si="12"/>
        <v>Menos de 50 anos</v>
      </c>
    </row>
    <row r="33" spans="1:28" ht="12.75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>
        <f t="shared" si="1"/>
        <v>7.0999999999999995E-3</v>
      </c>
      <c r="M33">
        <f t="shared" si="2"/>
        <v>1.49E-2</v>
      </c>
      <c r="N33">
        <f t="shared" si="3"/>
        <v>9.7100000000000006E-2</v>
      </c>
      <c r="O33">
        <f t="shared" si="4"/>
        <v>9.7100000000000006E-2</v>
      </c>
      <c r="P33">
        <f t="shared" si="5"/>
        <v>-0.2661</v>
      </c>
      <c r="Q33" s="29">
        <f t="shared" si="6"/>
        <v>23.661999801409983</v>
      </c>
      <c r="R33" s="29">
        <f t="shared" si="7"/>
        <v>23.480145827175093</v>
      </c>
      <c r="S33" s="29">
        <f t="shared" si="8"/>
        <v>21.720900556011301</v>
      </c>
      <c r="T33" s="29">
        <f t="shared" si="9"/>
        <v>21.720900556011301</v>
      </c>
      <c r="U33" s="29">
        <f t="shared" si="10"/>
        <v>32.47036380978335</v>
      </c>
      <c r="V33" s="30">
        <f>_xlfn.XLOOKUP(A33,Total_de_acoes!A:A,Total_de_acoes!B:B,0,0)</f>
        <v>275005663</v>
      </c>
      <c r="W33" s="29">
        <f t="shared" si="11"/>
        <v>46201005.997378685</v>
      </c>
      <c r="X33" t="str" cm="1">
        <f t="array" ref="X33">_xlfn.IFS(W33&gt;0,"Subiu",W33&lt;0,"Desceu",W33=0,"Estável")</f>
        <v>Subiu</v>
      </c>
      <c r="Y33" t="str">
        <f>_xlfn.XLOOKUP(A33,Ticker!A:A,Ticker!B:B,0,0)</f>
        <v>PetroRecôncavo</v>
      </c>
      <c r="Z33" t="str">
        <f>_xlfn.XLOOKUP(Y33,chat_gpt!A:A,chat_gpt!B:B,0,0)</f>
        <v>Petróleo e Gás</v>
      </c>
      <c r="AA33">
        <f>_xlfn.XLOOKUP(Y33,chat_gpt!A:A,chat_gpt!C:C,0,0)</f>
        <v>11</v>
      </c>
      <c r="AB33" t="str">
        <f t="shared" si="12"/>
        <v>Menos de 50 anos</v>
      </c>
    </row>
    <row r="34" spans="1:28" ht="12.75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>
        <f t="shared" si="1"/>
        <v>6.9999999999999993E-3</v>
      </c>
      <c r="M34">
        <f t="shared" si="2"/>
        <v>-3.0000000000000001E-3</v>
      </c>
      <c r="N34">
        <f t="shared" si="3"/>
        <v>-3.4700000000000002E-2</v>
      </c>
      <c r="O34">
        <f t="shared" si="4"/>
        <v>-3.4700000000000002E-2</v>
      </c>
      <c r="P34">
        <f t="shared" si="5"/>
        <v>0.28999999999999998</v>
      </c>
      <c r="Q34" s="29">
        <f t="shared" si="6"/>
        <v>9.9404170804369425</v>
      </c>
      <c r="R34" s="29">
        <f t="shared" si="7"/>
        <v>10.04012036108325</v>
      </c>
      <c r="S34" s="29">
        <f t="shared" si="8"/>
        <v>10.369833212472805</v>
      </c>
      <c r="T34" s="29">
        <f t="shared" si="9"/>
        <v>10.369833212472805</v>
      </c>
      <c r="U34" s="29">
        <f t="shared" si="10"/>
        <v>7.7596899224806197</v>
      </c>
      <c r="V34" s="30">
        <f>_xlfn.XLOOKUP(A34,Total_de_acoes!A:A,Total_de_acoes!B:B,0,0)</f>
        <v>5372783971</v>
      </c>
      <c r="W34" s="29">
        <f t="shared" si="11"/>
        <v>373853994.88377655</v>
      </c>
      <c r="X34" t="str" cm="1">
        <f t="array" ref="X34">_xlfn.IFS(W34&gt;0,"Subiu",W34&lt;0,"Desceu",W34=0,"Estável")</f>
        <v>Subiu</v>
      </c>
      <c r="Y34" t="str">
        <f>_xlfn.XLOOKUP(A34,Ticker!A:A,Ticker!B:B,0,0)</f>
        <v>Itaúsa</v>
      </c>
      <c r="Z34" t="str">
        <f>_xlfn.XLOOKUP(Y34,chat_gpt!A:A,chat_gpt!B:B,0,0)</f>
        <v>Holding</v>
      </c>
      <c r="AA34">
        <f>_xlfn.XLOOKUP(Y34,chat_gpt!A:A,chat_gpt!C:C,0,0)</f>
        <v>58</v>
      </c>
      <c r="AB34" t="str">
        <f t="shared" si="12"/>
        <v>Entre 50 e 100 anos</v>
      </c>
    </row>
    <row r="35" spans="1:28" ht="12.75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>
        <f t="shared" si="1"/>
        <v>6.8000000000000005E-3</v>
      </c>
      <c r="M35">
        <f t="shared" si="2"/>
        <v>1.8799999999999997E-2</v>
      </c>
      <c r="N35">
        <f t="shared" si="3"/>
        <v>2.8500000000000001E-2</v>
      </c>
      <c r="O35">
        <f t="shared" si="4"/>
        <v>2.8500000000000001E-2</v>
      </c>
      <c r="P35">
        <f t="shared" si="5"/>
        <v>0.52869999999999995</v>
      </c>
      <c r="Q35" s="29">
        <f t="shared" si="6"/>
        <v>56.585220500595952</v>
      </c>
      <c r="R35" s="29">
        <f t="shared" si="7"/>
        <v>55.918727915194346</v>
      </c>
      <c r="S35" s="29">
        <f t="shared" si="8"/>
        <v>55.391346621293145</v>
      </c>
      <c r="T35" s="29">
        <f t="shared" si="9"/>
        <v>55.391346621293145</v>
      </c>
      <c r="U35" s="29">
        <f t="shared" si="10"/>
        <v>37.266958853928173</v>
      </c>
      <c r="V35" s="30">
        <f>_xlfn.XLOOKUP(A35,Total_de_acoes!A:A,Total_de_acoes!B:B,0,0)</f>
        <v>1420949112</v>
      </c>
      <c r="W35" s="29">
        <f t="shared" si="11"/>
        <v>546752087.99398506</v>
      </c>
      <c r="X35" t="str" cm="1">
        <f t="array" ref="X35">_xlfn.IFS(W35&gt;0,"Subiu",W35&lt;0,"Desceu",W35=0,"Estável")</f>
        <v>Subiu</v>
      </c>
      <c r="Y35" t="str">
        <f>_xlfn.XLOOKUP(A35,Ticker!A:A,Ticker!B:B,0,0)</f>
        <v>Banco do Brasil</v>
      </c>
      <c r="Z35" t="str">
        <f>_xlfn.XLOOKUP(Y35,chat_gpt!A:A,chat_gpt!B:B,0,0)</f>
        <v>Banco</v>
      </c>
      <c r="AA35">
        <f>_xlfn.XLOOKUP(Y35,chat_gpt!A:A,chat_gpt!C:C,0,0)</f>
        <v>217</v>
      </c>
      <c r="AB35" t="str">
        <f t="shared" si="12"/>
        <v>Mais de 100 anos</v>
      </c>
    </row>
    <row r="36" spans="1:28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>
        <f t="shared" si="1"/>
        <v>6.0999999999999995E-3</v>
      </c>
      <c r="M36">
        <f t="shared" si="2"/>
        <v>-2.75E-2</v>
      </c>
      <c r="N36">
        <f t="shared" si="3"/>
        <v>-0.11019999999999999</v>
      </c>
      <c r="O36">
        <f t="shared" si="4"/>
        <v>-0.11019999999999999</v>
      </c>
      <c r="P36">
        <f t="shared" si="5"/>
        <v>0.1007</v>
      </c>
      <c r="Q36" s="29">
        <f t="shared" si="6"/>
        <v>26.001391511778152</v>
      </c>
      <c r="R36" s="29">
        <f t="shared" si="7"/>
        <v>26.899742930591259</v>
      </c>
      <c r="S36" s="29">
        <f t="shared" si="8"/>
        <v>29.399865138233309</v>
      </c>
      <c r="T36" s="29">
        <f t="shared" si="9"/>
        <v>29.399865138233309</v>
      </c>
      <c r="U36" s="29">
        <f t="shared" si="10"/>
        <v>23.766693922049605</v>
      </c>
      <c r="V36" s="30">
        <f>_xlfn.XLOOKUP(A36,Total_de_acoes!A:A,Total_de_acoes!B:B,0,0)</f>
        <v>1275798515</v>
      </c>
      <c r="W36" s="29">
        <f t="shared" si="11"/>
        <v>202352473.73982856</v>
      </c>
      <c r="X36" t="str" cm="1">
        <f t="array" ref="X36">_xlfn.IFS(W36&gt;0,"Subiu",W36&lt;0,"Desceu",W36=0,"Estável")</f>
        <v>Subiu</v>
      </c>
      <c r="Y36" t="str">
        <f>_xlfn.XLOOKUP(A36,Ticker!A:A,Ticker!B:B,0,0)</f>
        <v>RaiaDrogasil</v>
      </c>
      <c r="Z36" t="str">
        <f>_xlfn.XLOOKUP(Y36,chat_gpt!A:A,chat_gpt!B:B,0,0)</f>
        <v>Farmácias</v>
      </c>
      <c r="AA36">
        <f>_xlfn.XLOOKUP(Y36,chat_gpt!A:A,chat_gpt!C:C,0,0)</f>
        <v>122</v>
      </c>
      <c r="AB36" t="str">
        <f t="shared" si="12"/>
        <v>Mais de 100 anos</v>
      </c>
    </row>
    <row r="37" spans="1:28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>
        <f t="shared" si="1"/>
        <v>5.8999999999999999E-3</v>
      </c>
      <c r="M37">
        <f t="shared" si="2"/>
        <v>3.2799999999999996E-2</v>
      </c>
      <c r="N37">
        <f t="shared" si="3"/>
        <v>-7.1800000000000003E-2</v>
      </c>
      <c r="O37">
        <f t="shared" si="4"/>
        <v>-7.1800000000000003E-2</v>
      </c>
      <c r="P37">
        <f t="shared" si="5"/>
        <v>-0.2114</v>
      </c>
      <c r="Q37" s="29">
        <f t="shared" si="6"/>
        <v>10.020876826722338</v>
      </c>
      <c r="R37" s="29">
        <f t="shared" si="7"/>
        <v>9.7598760650658409</v>
      </c>
      <c r="S37" s="29">
        <f t="shared" si="8"/>
        <v>10.859728506787331</v>
      </c>
      <c r="T37" s="29">
        <f t="shared" si="9"/>
        <v>10.859728506787331</v>
      </c>
      <c r="U37" s="29">
        <f t="shared" si="10"/>
        <v>12.78214557443571</v>
      </c>
      <c r="V37" s="30">
        <f>_xlfn.XLOOKUP(A37,Total_de_acoes!A:A,Total_de_acoes!B:B,0,0)</f>
        <v>660411219</v>
      </c>
      <c r="W37" s="29">
        <f t="shared" si="11"/>
        <v>39045606.935449012</v>
      </c>
      <c r="X37" t="str" cm="1">
        <f t="array" ref="X37">_xlfn.IFS(W37&gt;0,"Subiu",W37&lt;0,"Desceu",W37=0,"Estável")</f>
        <v>Subiu</v>
      </c>
      <c r="Y37" t="str">
        <f>_xlfn.XLOOKUP(A37,Ticker!A:A,Ticker!B:B,0,0)</f>
        <v>Metalúrgica Gerdau</v>
      </c>
      <c r="Z37" t="str">
        <f>_xlfn.XLOOKUP(Y37,chat_gpt!A:A,chat_gpt!B:B,0,0)</f>
        <v>Siderurgia</v>
      </c>
      <c r="AA37">
        <f>_xlfn.XLOOKUP(Y37,chat_gpt!A:A,chat_gpt!C:C,0,0)</f>
        <v>124</v>
      </c>
      <c r="AB37" t="str">
        <f t="shared" si="12"/>
        <v>Mais de 100 anos</v>
      </c>
    </row>
    <row r="38" spans="1:28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>
        <f t="shared" si="1"/>
        <v>5.8999999999999999E-3</v>
      </c>
      <c r="M38">
        <f t="shared" si="2"/>
        <v>2.6499999999999999E-2</v>
      </c>
      <c r="N38">
        <f t="shared" si="3"/>
        <v>-4.0800000000000003E-2</v>
      </c>
      <c r="O38">
        <f t="shared" si="4"/>
        <v>-4.0800000000000003E-2</v>
      </c>
      <c r="P38">
        <f t="shared" si="5"/>
        <v>0.13350000000000001</v>
      </c>
      <c r="Q38" s="29">
        <f t="shared" si="6"/>
        <v>18.461079630181928</v>
      </c>
      <c r="R38" s="29">
        <f t="shared" si="7"/>
        <v>18.090599123234291</v>
      </c>
      <c r="S38" s="29">
        <f t="shared" si="8"/>
        <v>19.359883236030026</v>
      </c>
      <c r="T38" s="29">
        <f t="shared" si="9"/>
        <v>19.359883236030026</v>
      </c>
      <c r="U38" s="29">
        <f t="shared" si="10"/>
        <v>16.382884869872079</v>
      </c>
      <c r="V38" s="30">
        <f>_xlfn.XLOOKUP(A38,Total_de_acoes!A:A,Total_de_acoes!B:B,0,0)</f>
        <v>1168097881</v>
      </c>
      <c r="W38" s="29">
        <f t="shared" si="11"/>
        <v>127229653.18222687</v>
      </c>
      <c r="X38" t="str" cm="1">
        <f t="array" ref="X38">_xlfn.IFS(W38&gt;0,"Subiu",W38&lt;0,"Desceu",W38=0,"Estável")</f>
        <v>Subiu</v>
      </c>
      <c r="Y38" t="str">
        <f>_xlfn.XLOOKUP(A38,Ticker!A:A,Ticker!B:B,0,0)</f>
        <v>Cosan</v>
      </c>
      <c r="Z38" t="str">
        <f>_xlfn.XLOOKUP(Y38,chat_gpt!A:A,chat_gpt!B:B,0,0)</f>
        <v>Energia</v>
      </c>
      <c r="AA38">
        <f>_xlfn.XLOOKUP(Y38,chat_gpt!A:A,chat_gpt!C:C,0,0)</f>
        <v>28</v>
      </c>
      <c r="AB38" t="str">
        <f t="shared" si="12"/>
        <v>Menos de 50 anos</v>
      </c>
    </row>
    <row r="39" spans="1:28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>
        <f t="shared" si="1"/>
        <v>5.6999999999999993E-3</v>
      </c>
      <c r="M39">
        <f t="shared" si="2"/>
        <v>2.4799999999999999E-2</v>
      </c>
      <c r="N39">
        <f t="shared" si="3"/>
        <v>-2.29E-2</v>
      </c>
      <c r="O39">
        <f t="shared" si="4"/>
        <v>-2.29E-2</v>
      </c>
      <c r="P39">
        <f t="shared" si="5"/>
        <v>0.1729</v>
      </c>
      <c r="Q39" s="29">
        <f t="shared" si="6"/>
        <v>24.202048324550063</v>
      </c>
      <c r="R39" s="29">
        <f t="shared" si="7"/>
        <v>23.75097580015613</v>
      </c>
      <c r="S39" s="29">
        <f t="shared" si="8"/>
        <v>24.910449288711494</v>
      </c>
      <c r="T39" s="29">
        <f t="shared" si="9"/>
        <v>24.910449288711494</v>
      </c>
      <c r="U39" s="29">
        <f t="shared" si="10"/>
        <v>20.751982266177848</v>
      </c>
      <c r="V39" s="30">
        <f>_xlfn.XLOOKUP(A39,Total_de_acoes!A:A,Total_de_acoes!B:B,0,0)</f>
        <v>1134986472</v>
      </c>
      <c r="W39" s="29">
        <f t="shared" si="11"/>
        <v>156573285.42541304</v>
      </c>
      <c r="X39" t="str" cm="1">
        <f t="array" ref="X39">_xlfn.IFS(W39&gt;0,"Subiu",W39&lt;0,"Desceu",W39=0,"Estável")</f>
        <v>Subiu</v>
      </c>
      <c r="Y39" t="str">
        <f>_xlfn.XLOOKUP(A39,Ticker!A:A,Ticker!B:B,0,0)</f>
        <v>JBS</v>
      </c>
      <c r="Z39" t="str">
        <f>_xlfn.XLOOKUP(Y39,chat_gpt!A:A,chat_gpt!B:B,0,0)</f>
        <v>Alimentos</v>
      </c>
      <c r="AA39">
        <f>_xlfn.XLOOKUP(Y39,chat_gpt!A:A,chat_gpt!C:C,0,0)</f>
        <v>72</v>
      </c>
      <c r="AB39" t="str">
        <f t="shared" si="12"/>
        <v>Entre 50 e 100 anos</v>
      </c>
    </row>
    <row r="40" spans="1:28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>
        <f t="shared" si="1"/>
        <v>4.7999999999999996E-3</v>
      </c>
      <c r="M40">
        <f t="shared" si="2"/>
        <v>2.46E-2</v>
      </c>
      <c r="N40">
        <f t="shared" si="3"/>
        <v>-3.7000000000000005E-2</v>
      </c>
      <c r="O40">
        <f t="shared" si="4"/>
        <v>-3.7000000000000005E-2</v>
      </c>
      <c r="P40">
        <f t="shared" si="5"/>
        <v>-0.51400000000000001</v>
      </c>
      <c r="Q40" s="29">
        <f t="shared" si="6"/>
        <v>2.0700636942675161</v>
      </c>
      <c r="R40" s="29">
        <f t="shared" si="7"/>
        <v>2.0300605114190904</v>
      </c>
      <c r="S40" s="29">
        <f t="shared" si="8"/>
        <v>2.1599169262720666</v>
      </c>
      <c r="T40" s="29">
        <f t="shared" si="9"/>
        <v>2.1599169262720666</v>
      </c>
      <c r="U40" s="29">
        <f t="shared" si="10"/>
        <v>4.2798353909465021</v>
      </c>
      <c r="V40" s="30">
        <f>_xlfn.XLOOKUP(A40,Total_de_acoes!A:A,Total_de_acoes!B:B,0,0)</f>
        <v>2867627068</v>
      </c>
      <c r="W40" s="29">
        <f t="shared" si="11"/>
        <v>28493619.274394516</v>
      </c>
      <c r="X40" t="str" cm="1">
        <f t="array" ref="X40">_xlfn.IFS(W40&gt;0,"Subiu",W40&lt;0,"Desceu",W40=0,"Estável")</f>
        <v>Subiu</v>
      </c>
      <c r="Y40" t="str">
        <f>_xlfn.XLOOKUP(A40,Ticker!A:A,Ticker!B:B,0,0)</f>
        <v>Magazine Luiza</v>
      </c>
      <c r="Z40" t="str">
        <f>_xlfn.XLOOKUP(Y40,chat_gpt!A:A,chat_gpt!B:B,0,0)</f>
        <v>Varejo</v>
      </c>
      <c r="AA40">
        <f>_xlfn.XLOOKUP(Y40,chat_gpt!A:A,chat_gpt!C:C,0,0)</f>
        <v>68</v>
      </c>
      <c r="AB40" t="str">
        <f t="shared" si="12"/>
        <v>Entre 50 e 100 anos</v>
      </c>
    </row>
    <row r="41" spans="1:28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>
        <f t="shared" si="1"/>
        <v>3.5999999999999999E-3</v>
      </c>
      <c r="M41">
        <f t="shared" si="2"/>
        <v>-7.1999999999999998E-3</v>
      </c>
      <c r="N41">
        <f t="shared" si="3"/>
        <v>-9.9499999999999991E-2</v>
      </c>
      <c r="O41">
        <f t="shared" si="4"/>
        <v>-9.9499999999999991E-2</v>
      </c>
      <c r="P41">
        <f t="shared" si="5"/>
        <v>0.1578</v>
      </c>
      <c r="Q41" s="29">
        <f t="shared" si="6"/>
        <v>13.700677560781187</v>
      </c>
      <c r="R41" s="29">
        <f t="shared" si="7"/>
        <v>13.849717969379533</v>
      </c>
      <c r="S41" s="29">
        <f t="shared" si="8"/>
        <v>15.269294836202111</v>
      </c>
      <c r="T41" s="29">
        <f t="shared" si="9"/>
        <v>15.269294836202111</v>
      </c>
      <c r="U41" s="29">
        <f t="shared" si="10"/>
        <v>11.875971670409397</v>
      </c>
      <c r="V41" s="30">
        <f>_xlfn.XLOOKUP(A41,Total_de_acoes!A:A,Total_de_acoes!B:B,0,0)</f>
        <v>1500728902</v>
      </c>
      <c r="W41" s="29">
        <f t="shared" si="11"/>
        <v>74019610.052810252</v>
      </c>
      <c r="X41" t="str" cm="1">
        <f t="array" ref="X41">_xlfn.IFS(W41&gt;0,"Subiu",W41&lt;0,"Desceu",W41=0,"Estável")</f>
        <v>Subiu</v>
      </c>
      <c r="Y41" t="str">
        <f>_xlfn.XLOOKUP(A41,Ticker!A:A,Ticker!B:B,0,0)</f>
        <v>Banco Bradesco</v>
      </c>
      <c r="Z41" t="str">
        <f>_xlfn.XLOOKUP(Y41,chat_gpt!A:A,chat_gpt!B:B,0,0)</f>
        <v>Banco</v>
      </c>
      <c r="AA41">
        <f>_xlfn.XLOOKUP(Y41,chat_gpt!A:A,chat_gpt!C:C,0,0)</f>
        <v>82</v>
      </c>
      <c r="AB41" t="str">
        <f t="shared" si="12"/>
        <v>Entre 50 e 100 anos</v>
      </c>
    </row>
    <row r="42" spans="1:28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>
        <f t="shared" si="1"/>
        <v>2.7000000000000001E-3</v>
      </c>
      <c r="M42">
        <f t="shared" si="2"/>
        <v>3.6499999999999998E-2</v>
      </c>
      <c r="N42">
        <f t="shared" si="3"/>
        <v>-8.0799999999999997E-2</v>
      </c>
      <c r="O42">
        <f t="shared" si="4"/>
        <v>-8.0799999999999997E-2</v>
      </c>
      <c r="P42">
        <f t="shared" si="5"/>
        <v>-0.26100000000000001</v>
      </c>
      <c r="Q42" s="29">
        <f t="shared" si="6"/>
        <v>21.781190784880824</v>
      </c>
      <c r="R42" s="29">
        <f t="shared" si="7"/>
        <v>21.070911722141823</v>
      </c>
      <c r="S42" s="29">
        <f t="shared" si="8"/>
        <v>23.759791122715406</v>
      </c>
      <c r="T42" s="29">
        <f t="shared" si="9"/>
        <v>23.759791122715406</v>
      </c>
      <c r="U42" s="29">
        <f t="shared" si="10"/>
        <v>29.553450608930987</v>
      </c>
      <c r="V42" s="30">
        <f>_xlfn.XLOOKUP(A42,Total_de_acoes!A:A,Total_de_acoes!B:B,0,0)</f>
        <v>1118525506</v>
      </c>
      <c r="W42" s="29">
        <f t="shared" si="11"/>
        <v>65779607.098639093</v>
      </c>
      <c r="X42" t="str" cm="1">
        <f t="array" ref="X42">_xlfn.IFS(W42&gt;0,"Subiu",W42&lt;0,"Desceu",W42=0,"Estável")</f>
        <v>Subiu</v>
      </c>
      <c r="Y42" t="str">
        <f>_xlfn.XLOOKUP(A42,Ticker!A:A,Ticker!B:B,0,0)</f>
        <v>Gerdau</v>
      </c>
      <c r="Z42" t="str">
        <f>_xlfn.XLOOKUP(Y42,chat_gpt!A:A,chat_gpt!B:B,0,0)</f>
        <v>Siderurgia</v>
      </c>
      <c r="AA42">
        <f>_xlfn.XLOOKUP(Y42,chat_gpt!A:A,chat_gpt!C:C,0,0)</f>
        <v>124</v>
      </c>
      <c r="AB42" t="str">
        <f t="shared" si="12"/>
        <v>Mais de 100 anos</v>
      </c>
    </row>
    <row r="43" spans="1:28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>
        <f t="shared" si="1"/>
        <v>2.5999999999999999E-3</v>
      </c>
      <c r="M43">
        <f t="shared" si="2"/>
        <v>0</v>
      </c>
      <c r="N43">
        <f t="shared" si="3"/>
        <v>-7.2000000000000008E-2</v>
      </c>
      <c r="O43">
        <f t="shared" si="4"/>
        <v>-7.2000000000000008E-2</v>
      </c>
      <c r="P43">
        <f t="shared" si="5"/>
        <v>0.15460000000000002</v>
      </c>
      <c r="Q43" s="29">
        <f t="shared" si="6"/>
        <v>3.7303012168362262</v>
      </c>
      <c r="R43" s="29">
        <f t="shared" si="7"/>
        <v>3.74</v>
      </c>
      <c r="S43" s="29">
        <f t="shared" si="8"/>
        <v>4.0301724137931041</v>
      </c>
      <c r="T43" s="29">
        <f t="shared" si="9"/>
        <v>4.0301724137931041</v>
      </c>
      <c r="U43" s="29">
        <f t="shared" si="10"/>
        <v>3.2392170448640223</v>
      </c>
      <c r="V43" s="30">
        <f>_xlfn.XLOOKUP(A43,Total_de_acoes!A:A,Total_de_acoes!B:B,0,0)</f>
        <v>1193047233</v>
      </c>
      <c r="W43" s="29">
        <f t="shared" si="11"/>
        <v>11571106.417007603</v>
      </c>
      <c r="X43" t="str" cm="1">
        <f t="array" ref="X43">_xlfn.IFS(W43&gt;0,"Subiu",W43&lt;0,"Desceu",W43=0,"Estável")</f>
        <v>Subiu</v>
      </c>
      <c r="Y43" t="str">
        <f>_xlfn.XLOOKUP(A43,Ticker!A:A,Ticker!B:B,0,0)</f>
        <v>Raízen</v>
      </c>
      <c r="Z43" t="str">
        <f>_xlfn.XLOOKUP(Y43,chat_gpt!A:A,chat_gpt!B:B,0,0)</f>
        <v>Energia</v>
      </c>
      <c r="AA43">
        <f>_xlfn.XLOOKUP(Y43,chat_gpt!A:A,chat_gpt!C:C,0,0)</f>
        <v>13</v>
      </c>
      <c r="AB43" t="str">
        <f t="shared" si="12"/>
        <v>Menos de 50 anos</v>
      </c>
    </row>
    <row r="44" spans="1:28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>
        <f t="shared" si="1"/>
        <v>1.9E-3</v>
      </c>
      <c r="M44">
        <f t="shared" si="2"/>
        <v>9.0000000000000011E-3</v>
      </c>
      <c r="N44">
        <f t="shared" si="3"/>
        <v>-2.7999999999999997E-2</v>
      </c>
      <c r="O44">
        <f t="shared" si="4"/>
        <v>-2.7999999999999997E-2</v>
      </c>
      <c r="P44">
        <f t="shared" si="5"/>
        <v>0.32079999999999997</v>
      </c>
      <c r="Q44" s="29">
        <f t="shared" si="6"/>
        <v>10.050903283760855</v>
      </c>
      <c r="R44" s="29">
        <f t="shared" si="7"/>
        <v>9.9801783944499523</v>
      </c>
      <c r="S44" s="29">
        <f t="shared" si="8"/>
        <v>10.360082304526749</v>
      </c>
      <c r="T44" s="29">
        <f t="shared" si="9"/>
        <v>10.360082304526749</v>
      </c>
      <c r="U44" s="29">
        <f t="shared" si="10"/>
        <v>7.6241671714112664</v>
      </c>
      <c r="V44" s="30">
        <f>_xlfn.XLOOKUP(A44,Total_de_acoes!A:A,Total_de_acoes!B:B,0,0)</f>
        <v>1679335290</v>
      </c>
      <c r="W44" s="29">
        <f t="shared" si="11"/>
        <v>32069789.503513202</v>
      </c>
      <c r="X44" t="str" cm="1">
        <f t="array" ref="X44">_xlfn.IFS(W44&gt;0,"Subiu",W44&lt;0,"Desceu",W44=0,"Estável")</f>
        <v>Subiu</v>
      </c>
      <c r="Y44" t="str">
        <f>_xlfn.XLOOKUP(A44,Ticker!A:A,Ticker!B:B,0,0)</f>
        <v>Copel</v>
      </c>
      <c r="Z44" t="str">
        <f>_xlfn.XLOOKUP(Y44,chat_gpt!A:A,chat_gpt!B:B,0,0)</f>
        <v>Energia</v>
      </c>
      <c r="AA44">
        <f>_xlfn.XLOOKUP(Y44,chat_gpt!A:A,chat_gpt!C:C,0,0)</f>
        <v>70</v>
      </c>
      <c r="AB44" t="str">
        <f t="shared" si="12"/>
        <v>Entre 50 e 100 anos</v>
      </c>
    </row>
    <row r="45" spans="1:28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>
        <f t="shared" si="1"/>
        <v>1.1999999999999999E-3</v>
      </c>
      <c r="M45">
        <f t="shared" si="2"/>
        <v>-3.7599999999999995E-2</v>
      </c>
      <c r="N45">
        <f t="shared" si="3"/>
        <v>-0.18770000000000001</v>
      </c>
      <c r="O45">
        <f t="shared" si="4"/>
        <v>-0.18770000000000001</v>
      </c>
      <c r="P45">
        <f t="shared" si="5"/>
        <v>-0.40740000000000004</v>
      </c>
      <c r="Q45" s="29">
        <f t="shared" si="6"/>
        <v>8.1701957650819015</v>
      </c>
      <c r="R45" s="29">
        <f t="shared" si="7"/>
        <v>8.4995843724023263</v>
      </c>
      <c r="S45" s="29">
        <f t="shared" si="8"/>
        <v>10.070171119044687</v>
      </c>
      <c r="T45" s="29">
        <f t="shared" si="9"/>
        <v>10.070171119044687</v>
      </c>
      <c r="U45" s="29">
        <f t="shared" si="10"/>
        <v>13.803577455281808</v>
      </c>
      <c r="V45" s="30">
        <f>_xlfn.XLOOKUP(A45,Total_de_acoes!A:A,Total_de_acoes!B:B,0,0)</f>
        <v>421383330</v>
      </c>
      <c r="W45" s="29">
        <f t="shared" si="11"/>
        <v>4131341.1578905098</v>
      </c>
      <c r="X45" t="str" cm="1">
        <f t="array" ref="X45">_xlfn.IFS(W45&gt;0,"Subiu",W45&lt;0,"Desceu",W45=0,"Estável")</f>
        <v>Subiu</v>
      </c>
      <c r="Y45" t="str">
        <f>_xlfn.XLOOKUP(A45,Ticker!A:A,Ticker!B:B,0,0)</f>
        <v>Grupo Vamos</v>
      </c>
      <c r="Z45" t="str">
        <f>_xlfn.XLOOKUP(Y45,chat_gpt!A:A,chat_gpt!B:B,0,0)</f>
        <v>Logística</v>
      </c>
      <c r="AA45">
        <f>_xlfn.XLOOKUP(Y45,chat_gpt!A:A,chat_gpt!C:C,0,0)</f>
        <v>71</v>
      </c>
      <c r="AB45" t="str">
        <f t="shared" si="12"/>
        <v>Entre 50 e 100 anos</v>
      </c>
    </row>
    <row r="46" spans="1:28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>
        <f t="shared" si="1"/>
        <v>0</v>
      </c>
      <c r="M46">
        <f t="shared" si="2"/>
        <v>5.2999999999999999E-2</v>
      </c>
      <c r="N46">
        <f t="shared" si="3"/>
        <v>4.0999999999999995E-3</v>
      </c>
      <c r="O46">
        <f t="shared" si="4"/>
        <v>4.0999999999999995E-3</v>
      </c>
      <c r="P46">
        <f t="shared" si="5"/>
        <v>0.17989999999999998</v>
      </c>
      <c r="Q46" s="29">
        <f t="shared" si="6"/>
        <v>9.74</v>
      </c>
      <c r="R46" s="29">
        <f t="shared" si="7"/>
        <v>9.2497625830959169</v>
      </c>
      <c r="S46" s="29">
        <f t="shared" si="8"/>
        <v>9.7002290608505124</v>
      </c>
      <c r="T46" s="29">
        <f t="shared" si="9"/>
        <v>9.7002290608505124</v>
      </c>
      <c r="U46" s="29">
        <f t="shared" si="10"/>
        <v>8.2549368590558529</v>
      </c>
      <c r="V46" s="30">
        <f>_xlfn.XLOOKUP(A46,Total_de_acoes!A:A,Total_de_acoes!B:B,0,0)</f>
        <v>331799687</v>
      </c>
      <c r="W46" s="29">
        <f t="shared" si="11"/>
        <v>0</v>
      </c>
      <c r="X46" t="str" cm="1">
        <f t="array" ref="X46">_xlfn.IFS(W46&gt;0,"Subiu",W46&lt;0,"Desceu",W46=0,"Estável")</f>
        <v>Estável</v>
      </c>
      <c r="Y46" t="str">
        <f>_xlfn.XLOOKUP(A46,Ticker!A:A,Ticker!B:B,0,0)</f>
        <v>Marfrig</v>
      </c>
      <c r="Z46" t="str">
        <f>_xlfn.XLOOKUP(Y46,chat_gpt!A:A,chat_gpt!B:B,0,0)</f>
        <v>Alimentos</v>
      </c>
      <c r="AA46">
        <f>_xlfn.XLOOKUP(Y46,chat_gpt!A:A,chat_gpt!C:C,0,0)</f>
        <v>18</v>
      </c>
      <c r="AB46" t="str">
        <f t="shared" si="12"/>
        <v>Menos de 50 anos</v>
      </c>
    </row>
    <row r="47" spans="1:28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>
        <f t="shared" si="1"/>
        <v>0</v>
      </c>
      <c r="M47">
        <f t="shared" si="2"/>
        <v>-1.1200000000000002E-2</v>
      </c>
      <c r="N47">
        <f t="shared" si="3"/>
        <v>-3.8599999999999995E-2</v>
      </c>
      <c r="O47">
        <f t="shared" si="4"/>
        <v>-3.8599999999999995E-2</v>
      </c>
      <c r="P47">
        <f t="shared" si="5"/>
        <v>3.0000000000000001E-3</v>
      </c>
      <c r="Q47" s="29">
        <f t="shared" si="6"/>
        <v>13.2</v>
      </c>
      <c r="R47" s="29">
        <f t="shared" si="7"/>
        <v>13.349514563106796</v>
      </c>
      <c r="S47" s="29">
        <f t="shared" si="8"/>
        <v>13.729977116704804</v>
      </c>
      <c r="T47" s="29">
        <f t="shared" si="9"/>
        <v>13.729977116704804</v>
      </c>
      <c r="U47" s="29">
        <f t="shared" si="10"/>
        <v>13.160518444666003</v>
      </c>
      <c r="V47" s="30">
        <f>_xlfn.XLOOKUP(A47,Total_de_acoes!A:A,Total_de_acoes!B:B,0,0)</f>
        <v>4394245879</v>
      </c>
      <c r="W47" s="29">
        <f t="shared" si="11"/>
        <v>0</v>
      </c>
      <c r="X47" t="str" cm="1">
        <f t="array" ref="X47">_xlfn.IFS(W47&gt;0,"Subiu",W47&lt;0,"Desceu",W47=0,"Estável")</f>
        <v>Estável</v>
      </c>
      <c r="Y47" t="str">
        <f>_xlfn.XLOOKUP(A47,Ticker!A:A,Ticker!B:B,0,0)</f>
        <v>Ambev</v>
      </c>
      <c r="Z47" t="str">
        <f>_xlfn.XLOOKUP(Y47,chat_gpt!A:A,chat_gpt!B:B,0,0)</f>
        <v>Bebidas</v>
      </c>
      <c r="AA47">
        <f>_xlfn.XLOOKUP(Y47,chat_gpt!A:A,chat_gpt!C:C,0,0)</f>
        <v>34</v>
      </c>
      <c r="AB47" t="str">
        <f t="shared" si="12"/>
        <v>Menos de 50 anos</v>
      </c>
    </row>
    <row r="48" spans="1:28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>
        <f t="shared" si="1"/>
        <v>-2.0000000000000001E-4</v>
      </c>
      <c r="M48">
        <f t="shared" si="2"/>
        <v>-2.3700000000000002E-2</v>
      </c>
      <c r="N48">
        <f t="shared" si="3"/>
        <v>2.3999999999999998E-3</v>
      </c>
      <c r="O48">
        <f t="shared" si="4"/>
        <v>2.3999999999999998E-3</v>
      </c>
      <c r="P48">
        <f t="shared" si="5"/>
        <v>9.1000000000000004E-3</v>
      </c>
      <c r="Q48" s="29">
        <f t="shared" si="6"/>
        <v>33.736747349469887</v>
      </c>
      <c r="R48" s="29">
        <f t="shared" si="7"/>
        <v>34.54880671924613</v>
      </c>
      <c r="S48" s="29">
        <f t="shared" si="8"/>
        <v>33.649241819632877</v>
      </c>
      <c r="T48" s="29">
        <f t="shared" si="9"/>
        <v>33.649241819632877</v>
      </c>
      <c r="U48" s="29">
        <f t="shared" si="10"/>
        <v>33.425824992567627</v>
      </c>
      <c r="V48" s="30">
        <f>_xlfn.XLOOKUP(A48,Total_de_acoes!A:A,Total_de_acoes!B:B,0,0)</f>
        <v>671750768</v>
      </c>
      <c r="W48" s="29">
        <f t="shared" si="11"/>
        <v>-4532537.1883631321</v>
      </c>
      <c r="X48" t="str" cm="1">
        <f t="array" ref="X48">_xlfn.IFS(W48&gt;0,"Subiu",W48&lt;0,"Desceu",W48=0,"Estável")</f>
        <v>Desceu</v>
      </c>
      <c r="Y48" t="str">
        <f>_xlfn.XLOOKUP(A48,Ticker!A:A,Ticker!B:B,0,0)</f>
        <v>BB Seguridade</v>
      </c>
      <c r="Z48" t="str">
        <f>_xlfn.XLOOKUP(Y48,chat_gpt!A:A,chat_gpt!B:B,0,0)</f>
        <v>Seguros</v>
      </c>
      <c r="AA48">
        <f>_xlfn.XLOOKUP(Y48,chat_gpt!A:A,chat_gpt!C:C,0,0)</f>
        <v>15</v>
      </c>
      <c r="AB48" t="str">
        <f t="shared" si="12"/>
        <v>Menos de 50 anos</v>
      </c>
    </row>
    <row r="49" spans="1:28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>
        <f t="shared" si="1"/>
        <v>-5.9999999999999995E-4</v>
      </c>
      <c r="M49">
        <f t="shared" si="2"/>
        <v>1.37E-2</v>
      </c>
      <c r="N49">
        <f t="shared" si="3"/>
        <v>2.2200000000000001E-2</v>
      </c>
      <c r="O49">
        <f t="shared" si="4"/>
        <v>2.2200000000000001E-2</v>
      </c>
      <c r="P49">
        <f t="shared" si="5"/>
        <v>0.4592</v>
      </c>
      <c r="Q49" s="29">
        <f t="shared" si="6"/>
        <v>77.086251751050639</v>
      </c>
      <c r="R49" s="29">
        <f t="shared" si="7"/>
        <v>75.998816217815929</v>
      </c>
      <c r="S49" s="29">
        <f t="shared" si="8"/>
        <v>75.366855801213077</v>
      </c>
      <c r="T49" s="29">
        <f t="shared" si="9"/>
        <v>75.366855801213077</v>
      </c>
      <c r="U49" s="29">
        <f t="shared" si="10"/>
        <v>52.796052631578952</v>
      </c>
      <c r="V49" s="30">
        <f>_xlfn.XLOOKUP(A49,Total_de_acoes!A:A,Total_de_acoes!B:B,0,0)</f>
        <v>340001799</v>
      </c>
      <c r="W49" s="29">
        <f t="shared" si="11"/>
        <v>-15725678.564115381</v>
      </c>
      <c r="X49" t="str" cm="1">
        <f t="array" ref="X49">_xlfn.IFS(W49&gt;0,"Subiu",W49&lt;0,"Desceu",W49=0,"Estável")</f>
        <v>Desceu</v>
      </c>
      <c r="Y49" t="str">
        <f>_xlfn.XLOOKUP(A49,Ticker!A:A,Ticker!B:B,0,0)</f>
        <v>Sabesp</v>
      </c>
      <c r="Z49" t="str">
        <f>_xlfn.XLOOKUP(Y49,chat_gpt!A:A,chat_gpt!B:B,0,0)</f>
        <v>Saneamento</v>
      </c>
      <c r="AA49">
        <f>_xlfn.XLOOKUP(Y49,chat_gpt!A:A,chat_gpt!C:C,0,0)</f>
        <v>51</v>
      </c>
      <c r="AB49" t="str">
        <f t="shared" si="12"/>
        <v>Entre 50 e 100 anos</v>
      </c>
    </row>
    <row r="50" spans="1:28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>
        <f t="shared" si="1"/>
        <v>-5.9999999999999995E-4</v>
      </c>
      <c r="M50">
        <f t="shared" si="2"/>
        <v>-2.6499999999999999E-2</v>
      </c>
      <c r="N50">
        <f t="shared" si="3"/>
        <v>-8.3400000000000002E-2</v>
      </c>
      <c r="O50">
        <f t="shared" si="4"/>
        <v>-8.3400000000000002E-2</v>
      </c>
      <c r="P50">
        <f t="shared" si="5"/>
        <v>5.8899999999999994E-2</v>
      </c>
      <c r="Q50" s="29">
        <f t="shared" si="6"/>
        <v>30.898539123474084</v>
      </c>
      <c r="R50" s="29">
        <f t="shared" si="7"/>
        <v>31.720595788392398</v>
      </c>
      <c r="S50" s="29">
        <f t="shared" si="8"/>
        <v>33.689722888937375</v>
      </c>
      <c r="T50" s="29">
        <f t="shared" si="9"/>
        <v>33.689722888937375</v>
      </c>
      <c r="U50" s="29">
        <f t="shared" si="10"/>
        <v>29.162338275568988</v>
      </c>
      <c r="V50" s="30">
        <f>_xlfn.XLOOKUP(A50,Total_de_acoes!A:A,Total_de_acoes!B:B,0,0)</f>
        <v>514122351</v>
      </c>
      <c r="W50" s="29">
        <f t="shared" si="11"/>
        <v>-9531377.7459757738</v>
      </c>
      <c r="X50" t="str" cm="1">
        <f t="array" ref="X50">_xlfn.IFS(W50&gt;0,"Subiu",W50&lt;0,"Desceu",W50=0,"Estável")</f>
        <v>Desceu</v>
      </c>
      <c r="Y50" t="str">
        <f>_xlfn.XLOOKUP(A50,Ticker!A:A,Ticker!B:B,0,0)</f>
        <v>Totvs</v>
      </c>
      <c r="Z50" t="str">
        <f>_xlfn.XLOOKUP(Y50,chat_gpt!A:A,chat_gpt!B:B,0,0)</f>
        <v>Tecnologia</v>
      </c>
      <c r="AA50">
        <f>_xlfn.XLOOKUP(Y50,chat_gpt!A:A,chat_gpt!C:C,0,0)</f>
        <v>60</v>
      </c>
      <c r="AB50" t="str">
        <f t="shared" si="12"/>
        <v>Entre 50 e 100 anos</v>
      </c>
    </row>
    <row r="51" spans="1:28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>
        <f t="shared" si="1"/>
        <v>-1.7000000000000001E-3</v>
      </c>
      <c r="M51">
        <f t="shared" si="2"/>
        <v>9.4999999999999998E-3</v>
      </c>
      <c r="N51">
        <f t="shared" si="3"/>
        <v>1.3899999999999999E-2</v>
      </c>
      <c r="O51">
        <f t="shared" si="4"/>
        <v>1.3899999999999999E-2</v>
      </c>
      <c r="P51">
        <f t="shared" si="5"/>
        <v>0.1226</v>
      </c>
      <c r="Q51" s="29">
        <f t="shared" si="6"/>
        <v>11.659821696884705</v>
      </c>
      <c r="R51" s="29">
        <f t="shared" si="7"/>
        <v>11.530460624071322</v>
      </c>
      <c r="S51" s="29">
        <f t="shared" si="8"/>
        <v>11.480422132360193</v>
      </c>
      <c r="T51" s="29">
        <f t="shared" si="9"/>
        <v>11.480422132360193</v>
      </c>
      <c r="U51" s="29">
        <f t="shared" si="10"/>
        <v>10.36878674505612</v>
      </c>
      <c r="V51" s="30">
        <f>_xlfn.XLOOKUP(A51,Total_de_acoes!A:A,Total_de_acoes!B:B,0,0)</f>
        <v>1437415777</v>
      </c>
      <c r="W51" s="29">
        <f t="shared" si="11"/>
        <v>-28492019.828986604</v>
      </c>
      <c r="X51" t="str" cm="1">
        <f t="array" ref="X51">_xlfn.IFS(W51&gt;0,"Subiu",W51&lt;0,"Desceu",W51=0,"Estável")</f>
        <v>Desceu</v>
      </c>
      <c r="Y51" t="str">
        <f>_xlfn.XLOOKUP(A51,Ticker!A:A,Ticker!B:B,0,0)</f>
        <v>CEMIG</v>
      </c>
      <c r="Z51" t="str">
        <f>_xlfn.XLOOKUP(Y51,chat_gpt!A:A,chat_gpt!B:B,0,0)</f>
        <v>Energia</v>
      </c>
      <c r="AA51">
        <f>_xlfn.XLOOKUP(Y51,chat_gpt!A:A,chat_gpt!C:C,0,0)</f>
        <v>73</v>
      </c>
      <c r="AB51" t="str">
        <f t="shared" si="12"/>
        <v>Entre 50 e 100 anos</v>
      </c>
    </row>
    <row r="52" spans="1:28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>
        <f t="shared" si="1"/>
        <v>-1.9E-3</v>
      </c>
      <c r="M52">
        <f t="shared" si="2"/>
        <v>-1.41E-2</v>
      </c>
      <c r="N52">
        <f t="shared" si="3"/>
        <v>-0.02</v>
      </c>
      <c r="O52">
        <f t="shared" si="4"/>
        <v>-0.02</v>
      </c>
      <c r="P52">
        <f t="shared" si="5"/>
        <v>7.4299999999999991E-2</v>
      </c>
      <c r="Q52" s="29">
        <f t="shared" si="6"/>
        <v>46.1276425207895</v>
      </c>
      <c r="R52" s="29">
        <f t="shared" si="7"/>
        <v>46.698448118470431</v>
      </c>
      <c r="S52" s="29">
        <f t="shared" si="8"/>
        <v>46.979591836734691</v>
      </c>
      <c r="T52" s="29">
        <f t="shared" si="9"/>
        <v>46.979591836734691</v>
      </c>
      <c r="U52" s="29">
        <f t="shared" si="10"/>
        <v>42.855813087591919</v>
      </c>
      <c r="V52" s="30">
        <f>_xlfn.XLOOKUP(A52,Total_de_acoes!A:A,Total_de_acoes!B:B,0,0)</f>
        <v>268544014</v>
      </c>
      <c r="W52" s="29">
        <f t="shared" si="11"/>
        <v>-23535874.329891067</v>
      </c>
      <c r="X52" t="str" cm="1">
        <f t="array" ref="X52">_xlfn.IFS(W52&gt;0,"Subiu",W52&lt;0,"Desceu",W52=0,"Estável")</f>
        <v>Desceu</v>
      </c>
      <c r="Y52" t="str">
        <f>_xlfn.XLOOKUP(A52,Ticker!A:A,Ticker!B:B,0,0)</f>
        <v>Eletrobras</v>
      </c>
      <c r="Z52" t="str">
        <f>_xlfn.XLOOKUP(Y52,chat_gpt!A:A,chat_gpt!B:B,0,0)</f>
        <v>Energia</v>
      </c>
      <c r="AA52">
        <f>_xlfn.XLOOKUP(Y52,chat_gpt!A:A,chat_gpt!C:C,0,0)</f>
        <v>62</v>
      </c>
      <c r="AB52" t="str">
        <f t="shared" si="12"/>
        <v>Entre 50 e 100 anos</v>
      </c>
    </row>
    <row r="53" spans="1:28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>
        <f t="shared" si="1"/>
        <v>-2.3E-3</v>
      </c>
      <c r="M53">
        <f t="shared" si="2"/>
        <v>1.4199999999999999E-2</v>
      </c>
      <c r="N53">
        <f t="shared" si="3"/>
        <v>-5.4400000000000004E-2</v>
      </c>
      <c r="O53">
        <f t="shared" si="4"/>
        <v>-5.4400000000000004E-2</v>
      </c>
      <c r="P53">
        <f t="shared" si="5"/>
        <v>6.3600000000000004E-2</v>
      </c>
      <c r="Q53" s="29">
        <f t="shared" si="6"/>
        <v>12.899669239250274</v>
      </c>
      <c r="R53" s="29">
        <f t="shared" si="7"/>
        <v>12.689804772234273</v>
      </c>
      <c r="S53" s="29">
        <f t="shared" si="8"/>
        <v>13.610406091370558</v>
      </c>
      <c r="T53" s="29">
        <f t="shared" si="9"/>
        <v>13.610406091370558</v>
      </c>
      <c r="U53" s="29">
        <f t="shared" si="10"/>
        <v>12.1004136893569</v>
      </c>
      <c r="V53" s="30">
        <f>_xlfn.XLOOKUP(A53,Total_de_acoes!A:A,Total_de_acoes!B:B,0,0)</f>
        <v>1579130168</v>
      </c>
      <c r="W53" s="29">
        <f t="shared" si="11"/>
        <v>-46851590.76171875</v>
      </c>
      <c r="X53" t="str" cm="1">
        <f t="array" ref="X53">_xlfn.IFS(W53&gt;0,"Subiu",W53&lt;0,"Desceu",W53=0,"Estável")</f>
        <v>Desceu</v>
      </c>
      <c r="Y53" t="str">
        <f>_xlfn.XLOOKUP(A53,Ticker!A:A,Ticker!B:B,0,0)</f>
        <v>Eneva</v>
      </c>
      <c r="Z53" t="str">
        <f>_xlfn.XLOOKUP(Y53,chat_gpt!A:A,chat_gpt!B:B,0,0)</f>
        <v>Energia</v>
      </c>
      <c r="AA53">
        <f>_xlfn.XLOOKUP(Y53,chat_gpt!A:A,chat_gpt!C:C,0,0)</f>
        <v>23</v>
      </c>
      <c r="AB53" t="str">
        <f t="shared" si="12"/>
        <v>Menos de 50 anos</v>
      </c>
    </row>
    <row r="54" spans="1:28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>
        <f t="shared" si="1"/>
        <v>-2.3999999999999998E-3</v>
      </c>
      <c r="M54">
        <f t="shared" si="2"/>
        <v>-9.300000000000001E-3</v>
      </c>
      <c r="N54">
        <f t="shared" si="3"/>
        <v>-0.1013</v>
      </c>
      <c r="O54">
        <f t="shared" si="4"/>
        <v>-0.1013</v>
      </c>
      <c r="P54">
        <f t="shared" si="5"/>
        <v>-0.11840000000000001</v>
      </c>
      <c r="Q54" s="29">
        <f t="shared" si="6"/>
        <v>33.249799518845229</v>
      </c>
      <c r="R54" s="29">
        <f t="shared" si="7"/>
        <v>33.481376804279805</v>
      </c>
      <c r="S54" s="29">
        <f t="shared" si="8"/>
        <v>36.908868365416716</v>
      </c>
      <c r="T54" s="29">
        <f t="shared" si="9"/>
        <v>36.908868365416716</v>
      </c>
      <c r="U54" s="29">
        <f t="shared" si="10"/>
        <v>37.624773139745919</v>
      </c>
      <c r="V54" s="30">
        <f>_xlfn.XLOOKUP(A54,Total_de_acoes!A:A,Total_de_acoes!B:B,0,0)</f>
        <v>1481593024</v>
      </c>
      <c r="W54" s="29">
        <f t="shared" si="11"/>
        <v>-118230410.43964578</v>
      </c>
      <c r="X54" t="str" cm="1">
        <f t="array" ref="X54">_xlfn.IFS(W54&gt;0,"Subiu",W54&lt;0,"Desceu",W54=0,"Estável")</f>
        <v>Desceu</v>
      </c>
      <c r="Y54" t="str">
        <f>_xlfn.XLOOKUP(A54,Ticker!A:A,Ticker!B:B,0,0)</f>
        <v>WEG</v>
      </c>
      <c r="Z54" t="str">
        <f>_xlfn.XLOOKUP(Y54,chat_gpt!A:A,chat_gpt!B:B,0,0)</f>
        <v>Engenharia Elétrica</v>
      </c>
      <c r="AA54">
        <f>_xlfn.XLOOKUP(Y54,chat_gpt!A:A,chat_gpt!C:C,0,0)</f>
        <v>64</v>
      </c>
      <c r="AB54" t="str">
        <f t="shared" si="12"/>
        <v>Entre 50 e 100 anos</v>
      </c>
    </row>
    <row r="55" spans="1:28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>
        <f t="shared" si="1"/>
        <v>-2.5000000000000001E-3</v>
      </c>
      <c r="M55">
        <f t="shared" si="2"/>
        <v>2.0099999999999996E-2</v>
      </c>
      <c r="N55">
        <f t="shared" si="3"/>
        <v>2.5499999999999998E-2</v>
      </c>
      <c r="O55">
        <f t="shared" si="4"/>
        <v>2.5499999999999998E-2</v>
      </c>
      <c r="P55">
        <f t="shared" si="5"/>
        <v>-0.1011</v>
      </c>
      <c r="Q55" s="29">
        <f t="shared" si="6"/>
        <v>19.348370927318296</v>
      </c>
      <c r="R55" s="29">
        <f t="shared" si="7"/>
        <v>18.919713753553573</v>
      </c>
      <c r="S55" s="29">
        <f t="shared" si="8"/>
        <v>18.820087762067285</v>
      </c>
      <c r="T55" s="29">
        <f t="shared" si="9"/>
        <v>18.820087762067285</v>
      </c>
      <c r="U55" s="29">
        <f t="shared" si="10"/>
        <v>21.470686394482144</v>
      </c>
      <c r="V55" s="30">
        <f>_xlfn.XLOOKUP(A55,Total_de_acoes!A:A,Total_de_acoes!B:B,0,0)</f>
        <v>195751130</v>
      </c>
      <c r="W55" s="29">
        <f t="shared" si="11"/>
        <v>-9468663.6817041729</v>
      </c>
      <c r="X55" t="str" cm="1">
        <f t="array" ref="X55">_xlfn.IFS(W55&gt;0,"Subiu",W55&lt;0,"Desceu",W55=0,"Estável")</f>
        <v>Desceu</v>
      </c>
      <c r="Y55" t="str">
        <f>_xlfn.XLOOKUP(A55,Ticker!A:A,Ticker!B:B,0,0)</f>
        <v>SLC Agrícola</v>
      </c>
      <c r="Z55" t="str">
        <f>_xlfn.XLOOKUP(Y55,chat_gpt!A:A,chat_gpt!B:B,0,0)</f>
        <v>Agricultura</v>
      </c>
      <c r="AA55">
        <f>_xlfn.XLOOKUP(Y55,chat_gpt!A:A,chat_gpt!C:C,0,0)</f>
        <v>49</v>
      </c>
      <c r="AB55" t="str">
        <f t="shared" si="12"/>
        <v>Menos de 50 anos</v>
      </c>
    </row>
    <row r="56" spans="1:28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>
        <f t="shared" si="1"/>
        <v>-2.8000000000000004E-3</v>
      </c>
      <c r="M56">
        <f t="shared" si="2"/>
        <v>5.3E-3</v>
      </c>
      <c r="N56">
        <f t="shared" si="3"/>
        <v>-7.2700000000000001E-2</v>
      </c>
      <c r="O56">
        <f t="shared" si="4"/>
        <v>-7.2700000000000001E-2</v>
      </c>
      <c r="P56">
        <f t="shared" si="5"/>
        <v>0.3982</v>
      </c>
      <c r="Q56" s="29">
        <f t="shared" si="6"/>
        <v>24.689129562775772</v>
      </c>
      <c r="R56" s="29">
        <f t="shared" si="7"/>
        <v>24.490201929772205</v>
      </c>
      <c r="S56" s="29">
        <f t="shared" si="8"/>
        <v>26.55019950393616</v>
      </c>
      <c r="T56" s="29">
        <f t="shared" si="9"/>
        <v>26.55019950393616</v>
      </c>
      <c r="U56" s="29">
        <f t="shared" si="10"/>
        <v>17.608353597482477</v>
      </c>
      <c r="V56" s="30">
        <f>_xlfn.XLOOKUP(A56,Total_de_acoes!A:A,Total_de_acoes!B:B,0,0)</f>
        <v>532616595</v>
      </c>
      <c r="W56" s="29">
        <f t="shared" si="11"/>
        <v>-36819552.339469947</v>
      </c>
      <c r="X56" t="str" cm="1">
        <f t="array" ref="X56">_xlfn.IFS(W56&gt;0,"Subiu",W56&lt;0,"Desceu",W56=0,"Estável")</f>
        <v>Desceu</v>
      </c>
      <c r="Y56" t="str">
        <f>_xlfn.XLOOKUP(A56,Ticker!A:A,Ticker!B:B,0,0)</f>
        <v>ALOS3</v>
      </c>
      <c r="Z56" t="str">
        <f>_xlfn.XLOOKUP(Y56,chat_gpt!A:A,chat_gpt!B:B,0,0)</f>
        <v>Holding</v>
      </c>
      <c r="AA56">
        <f>_xlfn.XLOOKUP(Y56,chat_gpt!A:A,chat_gpt!C:C,0,0)</f>
        <v>62</v>
      </c>
      <c r="AB56" t="str">
        <f t="shared" si="12"/>
        <v>Entre 50 e 100 anos</v>
      </c>
    </row>
    <row r="57" spans="1:28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>
        <f t="shared" si="1"/>
        <v>-3.0000000000000001E-3</v>
      </c>
      <c r="M57">
        <f t="shared" si="2"/>
        <v>-1.78E-2</v>
      </c>
      <c r="N57">
        <f t="shared" si="3"/>
        <v>-6.4199999999999993E-2</v>
      </c>
      <c r="O57">
        <f t="shared" si="4"/>
        <v>-6.4199999999999993E-2</v>
      </c>
      <c r="P57">
        <f t="shared" si="5"/>
        <v>0.13589999999999999</v>
      </c>
      <c r="Q57" s="29">
        <f t="shared" si="6"/>
        <v>13.309929789368104</v>
      </c>
      <c r="R57" s="29">
        <f t="shared" si="7"/>
        <v>13.510486662594177</v>
      </c>
      <c r="S57" s="29">
        <f t="shared" si="8"/>
        <v>14.180380423167344</v>
      </c>
      <c r="T57" s="29">
        <f t="shared" si="9"/>
        <v>14.180380423167344</v>
      </c>
      <c r="U57" s="29">
        <f t="shared" si="10"/>
        <v>11.682366405493442</v>
      </c>
      <c r="V57" s="30">
        <f>_xlfn.XLOOKUP(A57,Total_de_acoes!A:A,Total_de_acoes!B:B,0,0)</f>
        <v>995335937</v>
      </c>
      <c r="W57" s="29">
        <f t="shared" si="11"/>
        <v>-39743554.314914532</v>
      </c>
      <c r="X57" t="str" cm="1">
        <f t="array" ref="X57">_xlfn.IFS(W57&gt;0,"Subiu",W57&lt;0,"Desceu",W57=0,"Estável")</f>
        <v>Desceu</v>
      </c>
      <c r="Y57" t="str">
        <f>_xlfn.XLOOKUP(A57,Ticker!A:A,Ticker!B:B,0,0)</f>
        <v>Grupo CCR</v>
      </c>
      <c r="Z57" t="str">
        <f>_xlfn.XLOOKUP(Y57,chat_gpt!A:A,chat_gpt!B:B,0,0)</f>
        <v>Infraestrutura</v>
      </c>
      <c r="AA57">
        <f>_xlfn.XLOOKUP(Y57,chat_gpt!A:A,chat_gpt!C:C,0,0)</f>
        <v>27</v>
      </c>
      <c r="AB57" t="str">
        <f t="shared" si="12"/>
        <v>Menos de 50 anos</v>
      </c>
    </row>
    <row r="58" spans="1:28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>
        <f t="shared" si="1"/>
        <v>-3.2000000000000002E-3</v>
      </c>
      <c r="M58">
        <f t="shared" si="2"/>
        <v>-5.0199999999999995E-2</v>
      </c>
      <c r="N58">
        <f t="shared" si="3"/>
        <v>-0.1318</v>
      </c>
      <c r="O58">
        <f t="shared" si="4"/>
        <v>-0.1318</v>
      </c>
      <c r="P58">
        <f t="shared" si="5"/>
        <v>0.37729999999999997</v>
      </c>
      <c r="Q58" s="29">
        <f t="shared" si="6"/>
        <v>3.0397271268057784</v>
      </c>
      <c r="R58" s="29">
        <f t="shared" si="7"/>
        <v>3.1901452937460517</v>
      </c>
      <c r="S58" s="29">
        <f t="shared" si="8"/>
        <v>3.4899792674498964</v>
      </c>
      <c r="T58" s="29">
        <f t="shared" si="9"/>
        <v>3.4899792674498964</v>
      </c>
      <c r="U58" s="29">
        <f t="shared" si="10"/>
        <v>2.1999564365062079</v>
      </c>
      <c r="V58" s="30">
        <f>_xlfn.XLOOKUP(A58,Total_de_acoes!A:A,Total_de_acoes!B:B,0,0)</f>
        <v>1814920980</v>
      </c>
      <c r="W58" s="29">
        <f t="shared" si="11"/>
        <v>-17653966.514927939</v>
      </c>
      <c r="X58" t="str" cm="1">
        <f t="array" ref="X58">_xlfn.IFS(W58&gt;0,"Subiu",W58&lt;0,"Desceu",W58=0,"Estável")</f>
        <v>Desceu</v>
      </c>
      <c r="Y58" t="str">
        <f>_xlfn.XLOOKUP(A58,Ticker!A:A,Ticker!B:B,0,0)</f>
        <v>Cogna</v>
      </c>
      <c r="Z58" t="str">
        <f>_xlfn.XLOOKUP(Y58,chat_gpt!A:A,chat_gpt!B:B,0,0)</f>
        <v>Educação</v>
      </c>
      <c r="AA58">
        <f>_xlfn.XLOOKUP(Y58,chat_gpt!A:A,chat_gpt!C:C,0,0)</f>
        <v>20</v>
      </c>
      <c r="AB58" t="str">
        <f t="shared" si="12"/>
        <v>Menos de 50 anos</v>
      </c>
    </row>
    <row r="59" spans="1:28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>
        <f t="shared" si="1"/>
        <v>-4.0999999999999995E-3</v>
      </c>
      <c r="M59">
        <f t="shared" si="2"/>
        <v>-1.2500000000000001E-2</v>
      </c>
      <c r="N59">
        <f t="shared" si="3"/>
        <v>-1.43E-2</v>
      </c>
      <c r="O59">
        <f t="shared" si="4"/>
        <v>-1.43E-2</v>
      </c>
      <c r="P59">
        <f t="shared" si="5"/>
        <v>0.2281</v>
      </c>
      <c r="Q59" s="29">
        <f t="shared" si="6"/>
        <v>26.227532884827795</v>
      </c>
      <c r="R59" s="29">
        <f t="shared" si="7"/>
        <v>26.450632911392404</v>
      </c>
      <c r="S59" s="29">
        <f t="shared" si="8"/>
        <v>26.498934767170539</v>
      </c>
      <c r="T59" s="29">
        <f t="shared" si="9"/>
        <v>26.498934767170539</v>
      </c>
      <c r="U59" s="29">
        <f t="shared" si="10"/>
        <v>21.268626333360476</v>
      </c>
      <c r="V59" s="30">
        <f>_xlfn.XLOOKUP(A59,Total_de_acoes!A:A,Total_de_acoes!B:B,0,0)</f>
        <v>395801044</v>
      </c>
      <c r="W59" s="29">
        <f t="shared" si="11"/>
        <v>-42561628.079172671</v>
      </c>
      <c r="X59" t="str" cm="1">
        <f t="array" ref="X59">_xlfn.IFS(W59&gt;0,"Subiu",W59&lt;0,"Desceu",W59=0,"Estável")</f>
        <v>Desceu</v>
      </c>
      <c r="Y59" t="str">
        <f>_xlfn.XLOOKUP(A59,Ticker!A:A,Ticker!B:B,0,0)</f>
        <v>Transmissão Paulista</v>
      </c>
      <c r="Z59" t="str">
        <f>_xlfn.XLOOKUP(Y59,chat_gpt!A:A,chat_gpt!B:B,0,0)</f>
        <v>Energia</v>
      </c>
      <c r="AA59">
        <f>_xlfn.XLOOKUP(Y59,chat_gpt!A:A,chat_gpt!C:C,0,0)</f>
        <v>26</v>
      </c>
      <c r="AB59" t="str">
        <f t="shared" si="12"/>
        <v>Menos de 50 anos</v>
      </c>
    </row>
    <row r="60" spans="1:28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>
        <f t="shared" si="1"/>
        <v>-4.5999999999999999E-3</v>
      </c>
      <c r="M60">
        <f t="shared" si="2"/>
        <v>5.6000000000000008E-3</v>
      </c>
      <c r="N60">
        <f t="shared" si="3"/>
        <v>-9.4600000000000004E-2</v>
      </c>
      <c r="O60">
        <f t="shared" si="4"/>
        <v>-9.4600000000000004E-2</v>
      </c>
      <c r="P60">
        <f t="shared" si="5"/>
        <v>0.1341</v>
      </c>
      <c r="Q60" s="29">
        <f t="shared" si="6"/>
        <v>41.229656419529839</v>
      </c>
      <c r="R60" s="29">
        <f t="shared" si="7"/>
        <v>40.811455847255367</v>
      </c>
      <c r="S60" s="29">
        <f t="shared" si="8"/>
        <v>45.328031809145131</v>
      </c>
      <c r="T60" s="29">
        <f t="shared" si="9"/>
        <v>45.328031809145131</v>
      </c>
      <c r="U60" s="29">
        <f t="shared" si="10"/>
        <v>36.187285071863144</v>
      </c>
      <c r="V60" s="30">
        <f>_xlfn.XLOOKUP(A60,Total_de_acoes!A:A,Total_de_acoes!B:B,0,0)</f>
        <v>255236961</v>
      </c>
      <c r="W60" s="29">
        <f t="shared" si="11"/>
        <v>-48407328.154937305</v>
      </c>
      <c r="X60" t="str" cm="1">
        <f t="array" ref="X60">_xlfn.IFS(W60&gt;0,"Subiu",W60&lt;0,"Desceu",W60=0,"Estável")</f>
        <v>Desceu</v>
      </c>
      <c r="Y60" t="str">
        <f>_xlfn.XLOOKUP(A60,Ticker!A:A,Ticker!B:B,0,0)</f>
        <v>Engie</v>
      </c>
      <c r="Z60" t="str">
        <f>_xlfn.XLOOKUP(Y60,chat_gpt!A:A,chat_gpt!B:B,0,0)</f>
        <v>Energia</v>
      </c>
      <c r="AA60">
        <f>_xlfn.XLOOKUP(Y60,chat_gpt!A:A,chat_gpt!C:C,0,0)</f>
        <v>29</v>
      </c>
      <c r="AB60" t="str">
        <f t="shared" si="12"/>
        <v>Menos de 50 anos</v>
      </c>
    </row>
    <row r="61" spans="1:28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>
        <f t="shared" si="1"/>
        <v>-4.6999999999999993E-3</v>
      </c>
      <c r="M61">
        <f t="shared" si="2"/>
        <v>2.4300000000000002E-2</v>
      </c>
      <c r="N61">
        <f t="shared" si="3"/>
        <v>2.07E-2</v>
      </c>
      <c r="O61">
        <f t="shared" si="4"/>
        <v>2.07E-2</v>
      </c>
      <c r="P61">
        <f t="shared" si="5"/>
        <v>0.50649999999999995</v>
      </c>
      <c r="Q61" s="29">
        <f t="shared" si="6"/>
        <v>23.339696573897317</v>
      </c>
      <c r="R61" s="29">
        <f t="shared" si="7"/>
        <v>22.678902665234794</v>
      </c>
      <c r="S61" s="29">
        <f t="shared" si="8"/>
        <v>22.758890957186246</v>
      </c>
      <c r="T61" s="29">
        <f t="shared" si="9"/>
        <v>22.758890957186246</v>
      </c>
      <c r="U61" s="29">
        <f t="shared" si="10"/>
        <v>15.419847328244275</v>
      </c>
      <c r="V61" s="30">
        <f>_xlfn.XLOOKUP(A61,Total_de_acoes!A:A,Total_de_acoes!B:B,0,0)</f>
        <v>1114412532</v>
      </c>
      <c r="W61" s="29">
        <f t="shared" si="11"/>
        <v>-122247236.66863392</v>
      </c>
      <c r="X61" t="str" cm="1">
        <f t="array" ref="X61">_xlfn.IFS(W61&gt;0,"Subiu",W61&lt;0,"Desceu",W61=0,"Estável")</f>
        <v>Desceu</v>
      </c>
      <c r="Y61" t="str">
        <f>_xlfn.XLOOKUP(A61,Ticker!A:A,Ticker!B:B,0,0)</f>
        <v>Vibra Energia</v>
      </c>
      <c r="Z61" t="str">
        <f>_xlfn.XLOOKUP(Y61,chat_gpt!A:A,chat_gpt!B:B,0,0)</f>
        <v>Energia</v>
      </c>
      <c r="AA61">
        <f>_xlfn.XLOOKUP(Y61,chat_gpt!A:A,chat_gpt!C:C,0,0)</f>
        <v>19</v>
      </c>
      <c r="AB61" t="str">
        <f t="shared" si="12"/>
        <v>Menos de 50 anos</v>
      </c>
    </row>
    <row r="62" spans="1:28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>
        <f t="shared" si="1"/>
        <v>-6.5000000000000006E-3</v>
      </c>
      <c r="M62">
        <f t="shared" si="2"/>
        <v>5.45E-2</v>
      </c>
      <c r="N62">
        <f t="shared" si="3"/>
        <v>-8.2400000000000001E-2</v>
      </c>
      <c r="O62">
        <f t="shared" si="4"/>
        <v>-8.2400000000000001E-2</v>
      </c>
      <c r="P62">
        <f t="shared" si="5"/>
        <v>0.73499999999999999</v>
      </c>
      <c r="Q62" s="29">
        <f t="shared" si="6"/>
        <v>40.915953699043783</v>
      </c>
      <c r="R62" s="29">
        <f t="shared" si="7"/>
        <v>38.549075391180651</v>
      </c>
      <c r="S62" s="29">
        <f t="shared" si="8"/>
        <v>44.300348735832607</v>
      </c>
      <c r="T62" s="29">
        <f t="shared" si="9"/>
        <v>44.300348735832607</v>
      </c>
      <c r="U62" s="29">
        <f t="shared" si="10"/>
        <v>23.429394812680115</v>
      </c>
      <c r="V62" s="30">
        <f>_xlfn.XLOOKUP(A62,Total_de_acoes!A:A,Total_de_acoes!B:B,0,0)</f>
        <v>81838843</v>
      </c>
      <c r="W62" s="29">
        <f t="shared" si="11"/>
        <v>-21765343.021313515</v>
      </c>
      <c r="X62" t="str" cm="1">
        <f t="array" ref="X62">_xlfn.IFS(W62&gt;0,"Subiu",W62&lt;0,"Desceu",W62=0,"Estável")</f>
        <v>Desceu</v>
      </c>
      <c r="Y62" t="str">
        <f>_xlfn.XLOOKUP(A62,Ticker!A:A,Ticker!B:B,0,0)</f>
        <v>IRB Brasil RE</v>
      </c>
      <c r="Z62" t="str">
        <f>_xlfn.XLOOKUP(Y62,chat_gpt!A:A,chat_gpt!B:B,0,0)</f>
        <v>Seguros</v>
      </c>
      <c r="AA62">
        <f>_xlfn.XLOOKUP(Y62,chat_gpt!A:A,chat_gpt!C:C,0,0)</f>
        <v>87</v>
      </c>
      <c r="AB62" t="str">
        <f t="shared" si="12"/>
        <v>Entre 50 e 100 anos</v>
      </c>
    </row>
    <row r="63" spans="1:28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>
        <f t="shared" si="1"/>
        <v>-6.5000000000000006E-3</v>
      </c>
      <c r="M63">
        <f t="shared" si="2"/>
        <v>-2.0400000000000001E-2</v>
      </c>
      <c r="N63">
        <f t="shared" si="3"/>
        <v>-3.7000000000000005E-2</v>
      </c>
      <c r="O63">
        <f t="shared" si="4"/>
        <v>-3.7000000000000005E-2</v>
      </c>
      <c r="P63">
        <f t="shared" si="5"/>
        <v>-3.6400000000000002E-2</v>
      </c>
      <c r="Q63" s="29">
        <f t="shared" si="6"/>
        <v>41.127327629592351</v>
      </c>
      <c r="R63" s="29">
        <f t="shared" si="7"/>
        <v>41.710902409146591</v>
      </c>
      <c r="S63" s="29">
        <f t="shared" si="8"/>
        <v>42.429906542056074</v>
      </c>
      <c r="T63" s="29">
        <f t="shared" si="9"/>
        <v>42.429906542056074</v>
      </c>
      <c r="U63" s="29">
        <f t="shared" si="10"/>
        <v>42.403486924034866</v>
      </c>
      <c r="V63" s="30">
        <f>_xlfn.XLOOKUP(A63,Total_de_acoes!A:A,Total_de_acoes!B:B,0,0)</f>
        <v>1980568384</v>
      </c>
      <c r="W63" s="29">
        <f t="shared" si="11"/>
        <v>-529460651.3402741</v>
      </c>
      <c r="X63" t="str" cm="1">
        <f t="array" ref="X63">_xlfn.IFS(W63&gt;0,"Subiu",W63&lt;0,"Desceu",W63=0,"Estável")</f>
        <v>Desceu</v>
      </c>
      <c r="Y63" t="str">
        <f>_xlfn.XLOOKUP(A63,Ticker!A:A,Ticker!B:B,0,0)</f>
        <v>Eletrobras</v>
      </c>
      <c r="Z63" t="str">
        <f>_xlfn.XLOOKUP(Y63,chat_gpt!A:A,chat_gpt!B:B,0,0)</f>
        <v>Energia</v>
      </c>
      <c r="AA63">
        <f>_xlfn.XLOOKUP(Y63,chat_gpt!A:A,chat_gpt!C:C,0,0)</f>
        <v>62</v>
      </c>
      <c r="AB63" t="str">
        <f t="shared" si="12"/>
        <v>Entre 50 e 100 anos</v>
      </c>
    </row>
    <row r="64" spans="1:28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>
        <f t="shared" si="1"/>
        <v>-8.6999999999999994E-3</v>
      </c>
      <c r="M64">
        <f t="shared" si="2"/>
        <v>-4.2300000000000004E-2</v>
      </c>
      <c r="N64">
        <f t="shared" si="3"/>
        <v>-0.13919999999999999</v>
      </c>
      <c r="O64">
        <f t="shared" si="4"/>
        <v>-0.13919999999999999</v>
      </c>
      <c r="P64">
        <f t="shared" si="5"/>
        <v>-0.46630000000000005</v>
      </c>
      <c r="Q64" s="29">
        <f t="shared" si="6"/>
        <v>3.4298396045596693</v>
      </c>
      <c r="R64" s="29">
        <f t="shared" si="7"/>
        <v>3.550172287772789</v>
      </c>
      <c r="S64" s="29">
        <f t="shared" si="8"/>
        <v>3.949814126394052</v>
      </c>
      <c r="T64" s="29">
        <f t="shared" si="9"/>
        <v>3.949814126394052</v>
      </c>
      <c r="U64" s="29">
        <f t="shared" si="10"/>
        <v>6.3706201986134534</v>
      </c>
      <c r="V64" s="30">
        <f>_xlfn.XLOOKUP(A64,Total_de_acoes!A:A,Total_de_acoes!B:B,0,0)</f>
        <v>309729428</v>
      </c>
      <c r="W64" s="29">
        <f t="shared" si="11"/>
        <v>-9242203.6520125903</v>
      </c>
      <c r="X64" t="str" cm="1">
        <f t="array" ref="X64">_xlfn.IFS(W64&gt;0,"Subiu",W64&lt;0,"Desceu",W64=0,"Estável")</f>
        <v>Desceu</v>
      </c>
      <c r="Y64" t="str">
        <f>_xlfn.XLOOKUP(A64,Ticker!A:A,Ticker!B:B,0,0)</f>
        <v>Petz</v>
      </c>
      <c r="Z64" t="str">
        <f>_xlfn.XLOOKUP(Y64,chat_gpt!A:A,chat_gpt!B:B,0,0)</f>
        <v>Pet Shop</v>
      </c>
      <c r="AA64">
        <f>_xlfn.XLOOKUP(Y64,chat_gpt!A:A,chat_gpt!C:C,0,0)</f>
        <v>20</v>
      </c>
      <c r="AB64" t="str">
        <f t="shared" si="12"/>
        <v>Menos de 50 anos</v>
      </c>
    </row>
    <row r="65" spans="1:28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>
        <f t="shared" si="1"/>
        <v>-9.300000000000001E-3</v>
      </c>
      <c r="M65">
        <f t="shared" si="2"/>
        <v>-2.3900000000000001E-2</v>
      </c>
      <c r="N65">
        <f t="shared" si="3"/>
        <v>-0.1492</v>
      </c>
      <c r="O65">
        <f t="shared" si="4"/>
        <v>-0.1492</v>
      </c>
      <c r="P65">
        <f t="shared" si="5"/>
        <v>8.929999999999999E-2</v>
      </c>
      <c r="Q65" s="29">
        <f t="shared" si="6"/>
        <v>16.059351973352175</v>
      </c>
      <c r="R65" s="29">
        <f t="shared" si="7"/>
        <v>16.29955947136564</v>
      </c>
      <c r="S65" s="29">
        <f t="shared" si="8"/>
        <v>18.700047014574519</v>
      </c>
      <c r="T65" s="29">
        <f t="shared" si="9"/>
        <v>18.700047014574519</v>
      </c>
      <c r="U65" s="29">
        <f t="shared" si="10"/>
        <v>14.605710089048014</v>
      </c>
      <c r="V65" s="30">
        <f>_xlfn.XLOOKUP(A65,Total_de_acoes!A:A,Total_de_acoes!B:B,0,0)</f>
        <v>91514307</v>
      </c>
      <c r="W65" s="29">
        <f t="shared" si="11"/>
        <v>-13667842.34040677</v>
      </c>
      <c r="X65" t="str" cm="1">
        <f t="array" ref="X65">_xlfn.IFS(W65&gt;0,"Subiu",W65&lt;0,"Desceu",W65=0,"Estável")</f>
        <v>Desceu</v>
      </c>
      <c r="Y65" t="str">
        <f>_xlfn.XLOOKUP(A65,Ticker!A:A,Ticker!B:B,0,0)</f>
        <v>EZTEC</v>
      </c>
      <c r="Z65" t="str">
        <f>_xlfn.XLOOKUP(Y65,chat_gpt!A:A,chat_gpt!B:B,0,0)</f>
        <v>Construção Civil</v>
      </c>
      <c r="AA65">
        <f>_xlfn.XLOOKUP(Y65,chat_gpt!A:A,chat_gpt!C:C,0,0)</f>
        <v>46</v>
      </c>
      <c r="AB65" t="str">
        <f t="shared" si="12"/>
        <v>Menos de 50 anos</v>
      </c>
    </row>
    <row r="66" spans="1:28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>
        <f t="shared" si="1"/>
        <v>-1.0700000000000001E-2</v>
      </c>
      <c r="M66">
        <f t="shared" si="2"/>
        <v>1.04E-2</v>
      </c>
      <c r="N66">
        <f t="shared" si="3"/>
        <v>-8.5900000000000004E-2</v>
      </c>
      <c r="O66">
        <f t="shared" si="4"/>
        <v>-8.5900000000000004E-2</v>
      </c>
      <c r="P66">
        <f t="shared" si="5"/>
        <v>0.1716</v>
      </c>
      <c r="Q66" s="29">
        <f t="shared" si="6"/>
        <v>16.668351359547152</v>
      </c>
      <c r="R66" s="29">
        <f t="shared" si="7"/>
        <v>16.320269200316705</v>
      </c>
      <c r="S66" s="29">
        <f t="shared" si="8"/>
        <v>18.039601794114429</v>
      </c>
      <c r="T66" s="29">
        <f t="shared" si="9"/>
        <v>18.039601794114429</v>
      </c>
      <c r="U66" s="29">
        <f t="shared" si="10"/>
        <v>14.074769545920109</v>
      </c>
      <c r="V66" s="30">
        <f>_xlfn.XLOOKUP(A66,Total_de_acoes!A:A,Total_de_acoes!B:B,0,0)</f>
        <v>240822651</v>
      </c>
      <c r="W66" s="29">
        <f t="shared" si="11"/>
        <v>-42951047.215599783</v>
      </c>
      <c r="X66" t="str" cm="1">
        <f t="array" ref="X66">_xlfn.IFS(W66&gt;0,"Subiu",W66&lt;0,"Desceu",W66=0,"Estável")</f>
        <v>Desceu</v>
      </c>
      <c r="Y66" t="str">
        <f>_xlfn.XLOOKUP(A66,Ticker!A:A,Ticker!B:B,0,0)</f>
        <v>Fleury</v>
      </c>
      <c r="Z66" t="str">
        <f>_xlfn.XLOOKUP(Y66,chat_gpt!A:A,chat_gpt!B:B,0,0)</f>
        <v>Saúde</v>
      </c>
      <c r="AA66">
        <f>_xlfn.XLOOKUP(Y66,chat_gpt!A:A,chat_gpt!C:C,0,0)</f>
        <v>101</v>
      </c>
      <c r="AB66" t="str">
        <f t="shared" si="12"/>
        <v>Mais de 100 anos</v>
      </c>
    </row>
    <row r="67" spans="1:28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>
        <f t="shared" ref="L67:L82" si="13">D67/100</f>
        <v>-1.2699999999999999E-2</v>
      </c>
      <c r="M67">
        <f t="shared" ref="M67:M82" si="14">E67/100</f>
        <v>-4.3E-3</v>
      </c>
      <c r="N67">
        <f t="shared" ref="N67:N82" si="15">F67/100</f>
        <v>-6.7099999999999993E-2</v>
      </c>
      <c r="O67">
        <f t="shared" ref="O67:O82" si="16">G67/100</f>
        <v>-6.7099999999999993E-2</v>
      </c>
      <c r="P67">
        <f t="shared" ref="P67:P82" si="17">H67/100</f>
        <v>-0.30010000000000003</v>
      </c>
      <c r="Q67" s="29">
        <f t="shared" ref="Q67:Q82" si="18">C67/(1+L67)</f>
        <v>7.0394003848880793</v>
      </c>
      <c r="R67" s="29">
        <f t="shared" ref="R67:R82" si="19">C67/(1+M67)</f>
        <v>6.9800140604599781</v>
      </c>
      <c r="S67" s="29">
        <f t="shared" ref="S67:S82" si="20">C67/(1+N67)</f>
        <v>7.4498874477435946</v>
      </c>
      <c r="T67" s="29">
        <f t="shared" ref="T67:T82" si="21">C67/(1+O67)</f>
        <v>7.4498874477435946</v>
      </c>
      <c r="U67" s="29">
        <f t="shared" ref="U67:U82" si="22">C67/(1+P67)</f>
        <v>9.9299899985712248</v>
      </c>
      <c r="V67" s="30">
        <f>_xlfn.XLOOKUP(A67,Total_de_acoes!A:A,Total_de_acoes!B:B,0,0)</f>
        <v>496029967</v>
      </c>
      <c r="W67" s="29">
        <f t="shared" ref="W67:W82" si="23">(C67-Q67)*V67</f>
        <v>-44345269.965821177</v>
      </c>
      <c r="X67" t="str" cm="1">
        <f t="array" ref="X67">_xlfn.IFS(W67&gt;0,"Subiu",W67&lt;0,"Desceu",W67=0,"Estável")</f>
        <v>Desceu</v>
      </c>
      <c r="Y67" t="str">
        <f>_xlfn.XLOOKUP(A67,Ticker!A:A,Ticker!B:B,0,0)</f>
        <v>Grupo Soma</v>
      </c>
      <c r="Z67" t="str">
        <f>_xlfn.XLOOKUP(Y67,chat_gpt!A:A,chat_gpt!B:B,0,0)</f>
        <v>Varejo</v>
      </c>
      <c r="AA67">
        <f>_xlfn.XLOOKUP(Y67,chat_gpt!A:A,chat_gpt!C:C,0,0)</f>
        <v>20</v>
      </c>
      <c r="AB67" t="str">
        <f t="shared" ref="AB67:AB82" si="24">IF(AA67&gt;100,"Mais de 100 anos",IF(AA67&lt;50,"Menos de 50 anos","Entre 50 e 100 anos"))</f>
        <v>Menos de 50 anos</v>
      </c>
    </row>
    <row r="68" spans="1:28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>
        <f t="shared" si="13"/>
        <v>-1.3600000000000001E-2</v>
      </c>
      <c r="M68">
        <f t="shared" si="14"/>
        <v>4.0800000000000003E-2</v>
      </c>
      <c r="N68">
        <f t="shared" si="15"/>
        <v>-0.14330000000000001</v>
      </c>
      <c r="O68">
        <f t="shared" si="16"/>
        <v>-0.14330000000000001</v>
      </c>
      <c r="P68">
        <f t="shared" si="17"/>
        <v>-0.34520000000000001</v>
      </c>
      <c r="Q68" s="29">
        <f t="shared" si="18"/>
        <v>8.7895377128953776</v>
      </c>
      <c r="R68" s="29">
        <f t="shared" si="19"/>
        <v>8.3301306687163716</v>
      </c>
      <c r="S68" s="29">
        <f t="shared" si="20"/>
        <v>10.120228784872184</v>
      </c>
      <c r="T68" s="29">
        <f t="shared" si="21"/>
        <v>10.120228784872184</v>
      </c>
      <c r="U68" s="29">
        <f t="shared" si="22"/>
        <v>13.240684178375075</v>
      </c>
      <c r="V68" s="30">
        <f>_xlfn.XLOOKUP(A68,Total_de_acoes!A:A,Total_de_acoes!B:B,0,0)</f>
        <v>176733968</v>
      </c>
      <c r="W68" s="29">
        <f t="shared" si="23"/>
        <v>-21126374.325644854</v>
      </c>
      <c r="X68" t="str" cm="1">
        <f t="array" ref="X68">_xlfn.IFS(W68&gt;0,"Subiu",W68&lt;0,"Desceu",W68=0,"Estável")</f>
        <v>Desceu</v>
      </c>
      <c r="Y68" t="str">
        <f>_xlfn.XLOOKUP(A68,Ticker!A:A,Ticker!B:B,0,0)</f>
        <v>Alpargatas</v>
      </c>
      <c r="Z68" t="str">
        <f>_xlfn.XLOOKUP(Y68,chat_gpt!A:A,chat_gpt!B:B,0,0)</f>
        <v>Calçados</v>
      </c>
      <c r="AA68">
        <f>_xlfn.XLOOKUP(Y68,chat_gpt!A:A,chat_gpt!C:C,0,0)</f>
        <v>117</v>
      </c>
      <c r="AB68" t="str">
        <f t="shared" si="24"/>
        <v>Mais de 100 anos</v>
      </c>
    </row>
    <row r="69" spans="1:28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>
        <f t="shared" si="13"/>
        <v>-1.38E-2</v>
      </c>
      <c r="M69">
        <f t="shared" si="14"/>
        <v>2.3799999999999998E-2</v>
      </c>
      <c r="N69">
        <f t="shared" si="15"/>
        <v>-5.1500000000000004E-2</v>
      </c>
      <c r="O69">
        <f t="shared" si="16"/>
        <v>-5.1500000000000004E-2</v>
      </c>
      <c r="P69">
        <f t="shared" si="17"/>
        <v>0.60089999999999999</v>
      </c>
      <c r="Q69" s="29">
        <f t="shared" si="18"/>
        <v>23.1596025147029</v>
      </c>
      <c r="R69" s="29">
        <f t="shared" si="19"/>
        <v>22.309044735299864</v>
      </c>
      <c r="S69" s="29">
        <f t="shared" si="20"/>
        <v>24.080126515550869</v>
      </c>
      <c r="T69" s="29">
        <f t="shared" si="21"/>
        <v>24.080126515550869</v>
      </c>
      <c r="U69" s="29">
        <f t="shared" si="22"/>
        <v>14.266974826660004</v>
      </c>
      <c r="V69" s="30">
        <f>_xlfn.XLOOKUP(A69,Total_de_acoes!A:A,Total_de_acoes!B:B,0,0)</f>
        <v>265784616</v>
      </c>
      <c r="W69" s="29">
        <f t="shared" si="23"/>
        <v>-84945431.642944753</v>
      </c>
      <c r="X69" t="str" cm="1">
        <f t="array" ref="X69">_xlfn.IFS(W69&gt;0,"Subiu",W69&lt;0,"Desceu",W69=0,"Estável")</f>
        <v>Desceu</v>
      </c>
      <c r="Y69" t="str">
        <f>_xlfn.XLOOKUP(A69,Ticker!A:A,Ticker!B:B,0,0)</f>
        <v>Cyrela</v>
      </c>
      <c r="Z69" t="str">
        <f>_xlfn.XLOOKUP(Y69,chat_gpt!A:A,chat_gpt!B:B,0,0)</f>
        <v>Construção Civil</v>
      </c>
      <c r="AA69">
        <f>_xlfn.XLOOKUP(Y69,chat_gpt!A:A,chat_gpt!C:C,0,0)</f>
        <v>62</v>
      </c>
      <c r="AB69" t="str">
        <f t="shared" si="24"/>
        <v>Entre 50 e 100 anos</v>
      </c>
    </row>
    <row r="70" spans="1:28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>
        <f t="shared" si="13"/>
        <v>-1.3999999999999999E-2</v>
      </c>
      <c r="M70">
        <f t="shared" si="14"/>
        <v>5.0199999999999995E-2</v>
      </c>
      <c r="N70">
        <f t="shared" si="15"/>
        <v>4.0000000000000002E-4</v>
      </c>
      <c r="O70">
        <f t="shared" si="16"/>
        <v>4.0000000000000002E-4</v>
      </c>
      <c r="P70">
        <f t="shared" si="17"/>
        <v>0.34289999999999998</v>
      </c>
      <c r="Q70" s="29">
        <f t="shared" si="18"/>
        <v>22.718052738336713</v>
      </c>
      <c r="R70" s="29">
        <f t="shared" si="19"/>
        <v>21.329270615120926</v>
      </c>
      <c r="S70" s="29">
        <f t="shared" si="20"/>
        <v>22.391043582566972</v>
      </c>
      <c r="T70" s="29">
        <f t="shared" si="21"/>
        <v>22.391043582566972</v>
      </c>
      <c r="U70" s="29">
        <f t="shared" si="22"/>
        <v>16.680318713232555</v>
      </c>
      <c r="V70" s="30">
        <f>_xlfn.XLOOKUP(A70,Total_de_acoes!A:A,Total_de_acoes!B:B,0,0)</f>
        <v>734632705</v>
      </c>
      <c r="W70" s="29">
        <f t="shared" si="23"/>
        <v>-233651943.49695757</v>
      </c>
      <c r="X70" t="str" cm="1">
        <f t="array" ref="X70">_xlfn.IFS(W70&gt;0,"Subiu",W70&lt;0,"Desceu",W70=0,"Estável")</f>
        <v>Desceu</v>
      </c>
      <c r="Y70" t="str">
        <f>_xlfn.XLOOKUP(A70,Ticker!A:A,Ticker!B:B,0,0)</f>
        <v>Embraer</v>
      </c>
      <c r="Z70" t="str">
        <f>_xlfn.XLOOKUP(Y70,chat_gpt!A:A,chat_gpt!B:B,0,0)</f>
        <v>Aeroespacial</v>
      </c>
      <c r="AA70">
        <f>_xlfn.XLOOKUP(Y70,chat_gpt!A:A,chat_gpt!C:C,0,0)</f>
        <v>57</v>
      </c>
      <c r="AB70" t="str">
        <f t="shared" si="24"/>
        <v>Entre 50 e 100 anos</v>
      </c>
    </row>
    <row r="71" spans="1:28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>
        <f t="shared" si="13"/>
        <v>-1.41E-2</v>
      </c>
      <c r="M71">
        <f t="shared" si="14"/>
        <v>-7.3700000000000002E-2</v>
      </c>
      <c r="N71">
        <f t="shared" si="15"/>
        <v>-5.45E-2</v>
      </c>
      <c r="O71">
        <f t="shared" si="16"/>
        <v>-5.45E-2</v>
      </c>
      <c r="P71">
        <f t="shared" si="17"/>
        <v>0.2351</v>
      </c>
      <c r="Q71" s="29">
        <f t="shared" si="18"/>
        <v>16.198397403387769</v>
      </c>
      <c r="R71" s="29">
        <f t="shared" si="19"/>
        <v>17.240634783547446</v>
      </c>
      <c r="S71" s="29">
        <f t="shared" si="20"/>
        <v>16.890534108937072</v>
      </c>
      <c r="T71" s="29">
        <f t="shared" si="21"/>
        <v>16.890534108937072</v>
      </c>
      <c r="U71" s="29">
        <f t="shared" si="22"/>
        <v>12.930127115213343</v>
      </c>
      <c r="V71" s="30">
        <f>_xlfn.XLOOKUP(A71,Total_de_acoes!A:A,Total_de_acoes!B:B,0,0)</f>
        <v>846244302</v>
      </c>
      <c r="W71" s="29">
        <f t="shared" si="23"/>
        <v>-193280001.20849475</v>
      </c>
      <c r="X71" t="str" cm="1">
        <f t="array" ref="X71">_xlfn.IFS(W71&gt;0,"Subiu",W71&lt;0,"Desceu",W71=0,"Estável")</f>
        <v>Desceu</v>
      </c>
      <c r="Y71" t="str">
        <f>_xlfn.XLOOKUP(A71,Ticker!A:A,Ticker!B:B,0,0)</f>
        <v>Natura</v>
      </c>
      <c r="Z71" t="str">
        <f>_xlfn.XLOOKUP(Y71,chat_gpt!A:A,chat_gpt!B:B,0,0)</f>
        <v>Cosméticos</v>
      </c>
      <c r="AA71">
        <f>_xlfn.XLOOKUP(Y71,chat_gpt!A:A,chat_gpt!C:C,0,0)</f>
        <v>57</v>
      </c>
      <c r="AB71" t="str">
        <f t="shared" si="24"/>
        <v>Entre 50 e 100 anos</v>
      </c>
    </row>
    <row r="72" spans="1:28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>
        <f t="shared" si="13"/>
        <v>-1.4199999999999999E-2</v>
      </c>
      <c r="M72">
        <f t="shared" si="14"/>
        <v>-3.5000000000000003E-2</v>
      </c>
      <c r="N72">
        <f t="shared" si="15"/>
        <v>0.02</v>
      </c>
      <c r="O72">
        <f t="shared" si="16"/>
        <v>0.02</v>
      </c>
      <c r="P72">
        <f t="shared" si="17"/>
        <v>-0.34020000000000006</v>
      </c>
      <c r="Q72" s="29">
        <f t="shared" si="18"/>
        <v>13.998782714546561</v>
      </c>
      <c r="R72" s="29">
        <f t="shared" si="19"/>
        <v>14.300518134715027</v>
      </c>
      <c r="S72" s="29">
        <f t="shared" si="20"/>
        <v>13.529411764705882</v>
      </c>
      <c r="T72" s="29">
        <f t="shared" si="21"/>
        <v>13.529411764705882</v>
      </c>
      <c r="U72" s="29">
        <f t="shared" si="22"/>
        <v>20.915428917853898</v>
      </c>
      <c r="V72" s="30">
        <f>_xlfn.XLOOKUP(A72,Total_de_acoes!A:A,Total_de_acoes!B:B,0,0)</f>
        <v>1349217892</v>
      </c>
      <c r="W72" s="29">
        <f t="shared" si="23"/>
        <v>-268201195.08654764</v>
      </c>
      <c r="X72" t="str" cm="1">
        <f t="array" ref="X72">_xlfn.IFS(W72&gt;0,"Subiu",W72&lt;0,"Desceu",W72=0,"Estável")</f>
        <v>Desceu</v>
      </c>
      <c r="Y72" t="str">
        <f>_xlfn.XLOOKUP(A72,Ticker!A:A,Ticker!B:B,0,0)</f>
        <v>Assaí</v>
      </c>
      <c r="Z72" t="str">
        <f>_xlfn.XLOOKUP(Y72,chat_gpt!A:A,chat_gpt!B:B,0,0)</f>
        <v>Varejo</v>
      </c>
      <c r="AA72">
        <f>_xlfn.XLOOKUP(Y72,chat_gpt!A:A,chat_gpt!C:C,0,0)</f>
        <v>55</v>
      </c>
      <c r="AB72" t="str">
        <f t="shared" si="24"/>
        <v>Entre 50 e 100 anos</v>
      </c>
    </row>
    <row r="73" spans="1:28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>
        <f t="shared" si="13"/>
        <v>-1.5600000000000001E-2</v>
      </c>
      <c r="M73">
        <f t="shared" si="14"/>
        <v>-4.1299999999999996E-2</v>
      </c>
      <c r="N73">
        <f t="shared" si="15"/>
        <v>-8.5800000000000001E-2</v>
      </c>
      <c r="O73">
        <f t="shared" si="16"/>
        <v>-8.5800000000000001E-2</v>
      </c>
      <c r="P73">
        <f t="shared" si="17"/>
        <v>3.8800000000000001E-2</v>
      </c>
      <c r="Q73" s="29">
        <f t="shared" si="18"/>
        <v>13.429500203169443</v>
      </c>
      <c r="R73" s="29">
        <f t="shared" si="19"/>
        <v>13.789506623552729</v>
      </c>
      <c r="S73" s="29">
        <f t="shared" si="20"/>
        <v>14.460730693502516</v>
      </c>
      <c r="T73" s="29">
        <f t="shared" si="21"/>
        <v>14.460730693502516</v>
      </c>
      <c r="U73" s="29">
        <f t="shared" si="22"/>
        <v>12.726222564497498</v>
      </c>
      <c r="V73" s="30">
        <f>_xlfn.XLOOKUP(A73,Total_de_acoes!A:A,Total_de_acoes!B:B,0,0)</f>
        <v>5602790110</v>
      </c>
      <c r="W73" s="29">
        <f t="shared" si="23"/>
        <v>-1173785666.3607426</v>
      </c>
      <c r="X73" t="str" cm="1">
        <f t="array" ref="X73">_xlfn.IFS(W73&gt;0,"Subiu",W73&lt;0,"Desceu",W73=0,"Estável")</f>
        <v>Desceu</v>
      </c>
      <c r="Y73" t="str">
        <f>_xlfn.XLOOKUP(A73,Ticker!A:A,Ticker!B:B,0,0)</f>
        <v>B3</v>
      </c>
      <c r="Z73" t="str">
        <f>_xlfn.XLOOKUP(Y73,chat_gpt!A:A,chat_gpt!B:B,0,0)</f>
        <v>Bolsa de Valores</v>
      </c>
      <c r="AA73">
        <f>_xlfn.XLOOKUP(Y73,chat_gpt!A:A,chat_gpt!C:C,0,0)</f>
        <v>172</v>
      </c>
      <c r="AB73" t="str">
        <f t="shared" si="24"/>
        <v>Mais de 100 anos</v>
      </c>
    </row>
    <row r="74" spans="1:28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>
        <f t="shared" si="13"/>
        <v>-1.61E-2</v>
      </c>
      <c r="M74">
        <f t="shared" si="14"/>
        <v>-5.2699999999999997E-2</v>
      </c>
      <c r="N74">
        <f t="shared" si="15"/>
        <v>-0.13059999999999999</v>
      </c>
      <c r="O74">
        <f t="shared" si="16"/>
        <v>-0.13059999999999999</v>
      </c>
      <c r="P74">
        <f t="shared" si="17"/>
        <v>-0.2752</v>
      </c>
      <c r="Q74" s="29">
        <f t="shared" si="18"/>
        <v>31.588576074804347</v>
      </c>
      <c r="R74" s="29">
        <f t="shared" si="19"/>
        <v>32.809036208170589</v>
      </c>
      <c r="S74" s="29">
        <f t="shared" si="20"/>
        <v>35.748792270531403</v>
      </c>
      <c r="T74" s="29">
        <f t="shared" si="21"/>
        <v>35.748792270531403</v>
      </c>
      <c r="U74" s="29">
        <f t="shared" si="22"/>
        <v>42.880794701986751</v>
      </c>
      <c r="V74" s="30">
        <f>_xlfn.XLOOKUP(A74,Total_de_acoes!A:A,Total_de_acoes!B:B,0,0)</f>
        <v>409490388</v>
      </c>
      <c r="W74" s="29">
        <f t="shared" si="23"/>
        <v>-208257014.19914994</v>
      </c>
      <c r="X74" t="str" cm="1">
        <f t="array" ref="X74">_xlfn.IFS(W74&gt;0,"Subiu",W74&lt;0,"Desceu",W74=0,"Estável")</f>
        <v>Desceu</v>
      </c>
      <c r="Y74" t="str">
        <f>_xlfn.XLOOKUP(A74,Ticker!A:A,Ticker!B:B,0,0)</f>
        <v>Hypera</v>
      </c>
      <c r="Z74" t="str">
        <f>_xlfn.XLOOKUP(Y74,chat_gpt!A:A,chat_gpt!B:B,0,0)</f>
        <v>Farmacêutica</v>
      </c>
      <c r="AA74">
        <f>_xlfn.XLOOKUP(Y74,chat_gpt!A:A,chat_gpt!C:C,0,0)</f>
        <v>62</v>
      </c>
      <c r="AB74" t="str">
        <f t="shared" si="24"/>
        <v>Entre 50 e 100 anos</v>
      </c>
    </row>
    <row r="75" spans="1:28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>
        <f t="shared" si="13"/>
        <v>-1.9400000000000001E-2</v>
      </c>
      <c r="M75">
        <f t="shared" si="14"/>
        <v>3.5999999999999999E-3</v>
      </c>
      <c r="N75">
        <f t="shared" si="15"/>
        <v>-3.7900000000000003E-2</v>
      </c>
      <c r="O75">
        <f t="shared" si="16"/>
        <v>-3.7900000000000003E-2</v>
      </c>
      <c r="P75">
        <f t="shared" si="17"/>
        <v>0.17100000000000001</v>
      </c>
      <c r="Q75" s="29">
        <f t="shared" si="18"/>
        <v>28.757903324495206</v>
      </c>
      <c r="R75" s="29">
        <f t="shared" si="19"/>
        <v>28.098844161020324</v>
      </c>
      <c r="S75" s="29">
        <f t="shared" si="20"/>
        <v>29.310882444652325</v>
      </c>
      <c r="T75" s="29">
        <f t="shared" si="21"/>
        <v>29.310882444652325</v>
      </c>
      <c r="U75" s="29">
        <f t="shared" si="22"/>
        <v>24.08198121263877</v>
      </c>
      <c r="V75" s="30">
        <f>_xlfn.XLOOKUP(A75,Total_de_acoes!A:A,Total_de_acoes!B:B,0,0)</f>
        <v>142377330</v>
      </c>
      <c r="W75" s="29">
        <f t="shared" si="23"/>
        <v>-79432785.73975119</v>
      </c>
      <c r="X75" t="str" cm="1">
        <f t="array" ref="X75">_xlfn.IFS(W75&gt;0,"Subiu",W75&lt;0,"Desceu",W75=0,"Estável")</f>
        <v>Desceu</v>
      </c>
      <c r="Y75" t="str">
        <f>_xlfn.XLOOKUP(A75,Ticker!A:A,Ticker!B:B,0,0)</f>
        <v>São Martinho</v>
      </c>
      <c r="Z75" t="str">
        <f>_xlfn.XLOOKUP(Y75,chat_gpt!A:A,chat_gpt!B:B,0,0)</f>
        <v>Agronegócio</v>
      </c>
      <c r="AA75">
        <f>_xlfn.XLOOKUP(Y75,chat_gpt!A:A,chat_gpt!C:C,0,0)</f>
        <v>88</v>
      </c>
      <c r="AB75" t="str">
        <f t="shared" si="24"/>
        <v>Entre 50 e 100 anos</v>
      </c>
    </row>
    <row r="76" spans="1:28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>
        <f t="shared" si="13"/>
        <v>-1.9900000000000001E-2</v>
      </c>
      <c r="M76">
        <f t="shared" si="14"/>
        <v>-2.2400000000000003E-2</v>
      </c>
      <c r="N76">
        <f t="shared" si="15"/>
        <v>-0.11689999999999999</v>
      </c>
      <c r="O76">
        <f t="shared" si="16"/>
        <v>-0.11689999999999999</v>
      </c>
      <c r="P76">
        <f t="shared" si="17"/>
        <v>-0.1149</v>
      </c>
      <c r="Q76" s="29">
        <f t="shared" si="18"/>
        <v>4.0097949188858282</v>
      </c>
      <c r="R76" s="29">
        <f t="shared" si="19"/>
        <v>4.0200490998363341</v>
      </c>
      <c r="S76" s="29">
        <f t="shared" si="20"/>
        <v>4.4502321367908504</v>
      </c>
      <c r="T76" s="29">
        <f t="shared" si="21"/>
        <v>4.4502321367908504</v>
      </c>
      <c r="U76" s="29">
        <f t="shared" si="22"/>
        <v>4.4401762512710432</v>
      </c>
      <c r="V76" s="30">
        <f>_xlfn.XLOOKUP(A76,Total_de_acoes!A:A,Total_de_acoes!B:B,0,0)</f>
        <v>4394332306</v>
      </c>
      <c r="W76" s="29">
        <f t="shared" si="23"/>
        <v>-350645389.91464359</v>
      </c>
      <c r="X76" t="str" cm="1">
        <f t="array" ref="X76">_xlfn.IFS(W76&gt;0,"Subiu",W76&lt;0,"Desceu",W76=0,"Estável")</f>
        <v>Desceu</v>
      </c>
      <c r="Y76" t="str">
        <f>_xlfn.XLOOKUP(A76,Ticker!A:A,Ticker!B:B,0,0)</f>
        <v>Hapvida</v>
      </c>
      <c r="Z76" t="str">
        <f>_xlfn.XLOOKUP(Y76,chat_gpt!A:A,chat_gpt!B:B,0,0)</f>
        <v>Saúde</v>
      </c>
      <c r="AA76">
        <f>_xlfn.XLOOKUP(Y76,chat_gpt!A:A,chat_gpt!C:C,0,0)</f>
        <v>48</v>
      </c>
      <c r="AB76" t="str">
        <f t="shared" si="24"/>
        <v>Menos de 50 anos</v>
      </c>
    </row>
    <row r="77" spans="1:28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>
        <f t="shared" si="13"/>
        <v>-2.29E-2</v>
      </c>
      <c r="M77">
        <f t="shared" si="14"/>
        <v>-5.62E-2</v>
      </c>
      <c r="N77">
        <f t="shared" si="15"/>
        <v>-9.4100000000000003E-2</v>
      </c>
      <c r="O77">
        <f t="shared" si="16"/>
        <v>-9.4100000000000003E-2</v>
      </c>
      <c r="P77">
        <f t="shared" si="17"/>
        <v>-0.24940000000000001</v>
      </c>
      <c r="Q77" s="29">
        <f t="shared" si="18"/>
        <v>16.149831132944428</v>
      </c>
      <c r="R77" s="29">
        <f t="shared" si="19"/>
        <v>16.719643992371264</v>
      </c>
      <c r="S77" s="29">
        <f t="shared" si="20"/>
        <v>17.419141185561319</v>
      </c>
      <c r="T77" s="29">
        <f t="shared" si="21"/>
        <v>17.419141185561319</v>
      </c>
      <c r="U77" s="29">
        <f t="shared" si="22"/>
        <v>21.023181454836131</v>
      </c>
      <c r="V77" s="30">
        <f>_xlfn.XLOOKUP(A77,Total_de_acoes!A:A,Total_de_acoes!B:B,0,0)</f>
        <v>951329770</v>
      </c>
      <c r="W77" s="29">
        <f t="shared" si="23"/>
        <v>-351831366.6428625</v>
      </c>
      <c r="X77" t="str" cm="1">
        <f t="array" ref="X77">_xlfn.IFS(W77&gt;0,"Subiu",W77&lt;0,"Desceu",W77=0,"Estável")</f>
        <v>Desceu</v>
      </c>
      <c r="Y77" t="str">
        <f>_xlfn.XLOOKUP(A77,Ticker!A:A,Ticker!B:B,0,0)</f>
        <v>Lojas Renner</v>
      </c>
      <c r="Z77" t="str">
        <f>_xlfn.XLOOKUP(Y77,chat_gpt!A:A,chat_gpt!B:B,0,0)</f>
        <v>Varejo</v>
      </c>
      <c r="AA77">
        <f>_xlfn.XLOOKUP(Y77,chat_gpt!A:A,chat_gpt!C:C,0,0)</f>
        <v>63</v>
      </c>
      <c r="AB77" t="str">
        <f t="shared" si="24"/>
        <v>Entre 50 e 100 anos</v>
      </c>
    </row>
    <row r="78" spans="1:28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>
        <f t="shared" si="13"/>
        <v>-2.4500000000000001E-2</v>
      </c>
      <c r="M78">
        <f t="shared" si="14"/>
        <v>-9.4700000000000006E-2</v>
      </c>
      <c r="N78">
        <f t="shared" si="15"/>
        <v>-0.13980000000000001</v>
      </c>
      <c r="O78">
        <f t="shared" si="16"/>
        <v>-0.13980000000000001</v>
      </c>
      <c r="P78">
        <f t="shared" si="17"/>
        <v>-0.32719999999999999</v>
      </c>
      <c r="Q78" s="29">
        <f t="shared" si="18"/>
        <v>10.978985135827781</v>
      </c>
      <c r="R78" s="29">
        <f t="shared" si="19"/>
        <v>11.830332486468574</v>
      </c>
      <c r="S78" s="29">
        <f t="shared" si="20"/>
        <v>12.450592885375496</v>
      </c>
      <c r="T78" s="29">
        <f t="shared" si="21"/>
        <v>12.450592885375496</v>
      </c>
      <c r="U78" s="29">
        <f t="shared" si="22"/>
        <v>15.918549346016647</v>
      </c>
      <c r="V78" s="30">
        <f>_xlfn.XLOOKUP(A78,Total_de_acoes!A:A,Total_de_acoes!B:B,0,0)</f>
        <v>533990587</v>
      </c>
      <c r="W78" s="29">
        <f t="shared" si="23"/>
        <v>-143635530.57495093</v>
      </c>
      <c r="X78" t="str" cm="1">
        <f t="array" ref="X78">_xlfn.IFS(W78&gt;0,"Subiu",W78&lt;0,"Desceu",W78=0,"Estável")</f>
        <v>Desceu</v>
      </c>
      <c r="Y78" t="str">
        <f>_xlfn.XLOOKUP(A78,Ticker!A:A,Ticker!B:B,0,0)</f>
        <v>Carrefour Brasil</v>
      </c>
      <c r="Z78" t="str">
        <f>_xlfn.XLOOKUP(Y78,chat_gpt!A:A,chat_gpt!B:B,0,0)</f>
        <v>Varejo</v>
      </c>
      <c r="AA78">
        <f>_xlfn.XLOOKUP(Y78,chat_gpt!A:A,chat_gpt!C:C,0,0)</f>
        <v>38</v>
      </c>
      <c r="AB78" t="str">
        <f t="shared" si="24"/>
        <v>Menos de 50 anos</v>
      </c>
    </row>
    <row r="79" spans="1:28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>
        <f t="shared" si="13"/>
        <v>-2.46E-2</v>
      </c>
      <c r="M79">
        <f t="shared" si="14"/>
        <v>-6.9500000000000006E-2</v>
      </c>
      <c r="N79">
        <f t="shared" si="15"/>
        <v>-0.23550000000000001</v>
      </c>
      <c r="O79">
        <f t="shared" si="16"/>
        <v>-0.23550000000000001</v>
      </c>
      <c r="P79">
        <f t="shared" si="17"/>
        <v>-0.85739999999999994</v>
      </c>
      <c r="Q79" s="29">
        <f t="shared" si="18"/>
        <v>8.9194176748000817</v>
      </c>
      <c r="R79" s="29">
        <f t="shared" si="19"/>
        <v>9.3498119290703912</v>
      </c>
      <c r="S79" s="29">
        <f t="shared" si="20"/>
        <v>11.379986919555265</v>
      </c>
      <c r="T79" s="29">
        <f t="shared" si="21"/>
        <v>11.379986919555265</v>
      </c>
      <c r="U79" s="29">
        <f t="shared" si="22"/>
        <v>61.009817671809223</v>
      </c>
      <c r="V79" s="30">
        <f>_xlfn.XLOOKUP(A79,Total_de_acoes!A:A,Total_de_acoes!B:B,0,0)</f>
        <v>94843047</v>
      </c>
      <c r="W79" s="29">
        <f t="shared" si="23"/>
        <v>-20810240.843694936</v>
      </c>
      <c r="X79" t="str" cm="1">
        <f t="array" ref="X79">_xlfn.IFS(W79&gt;0,"Subiu",W79&lt;0,"Desceu",W79=0,"Estável")</f>
        <v>Desceu</v>
      </c>
      <c r="Y79" t="str">
        <f>_xlfn.XLOOKUP(A79,Ticker!A:A,Ticker!B:B,0,0)</f>
        <v>Casas Bahia</v>
      </c>
      <c r="Z79" t="str">
        <f>_xlfn.XLOOKUP(Y79,chat_gpt!A:A,chat_gpt!B:B,0,0)</f>
        <v>Varejo</v>
      </c>
      <c r="AA79">
        <f>_xlfn.XLOOKUP(Y79,chat_gpt!A:A,chat_gpt!C:C,0,0)</f>
        <v>73</v>
      </c>
      <c r="AB79" t="str">
        <f t="shared" si="24"/>
        <v>Entre 50 e 100 anos</v>
      </c>
    </row>
    <row r="80" spans="1:28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>
        <f t="shared" si="13"/>
        <v>-3.6299999999999999E-2</v>
      </c>
      <c r="M80">
        <f t="shared" si="14"/>
        <v>-6.4100000000000004E-2</v>
      </c>
      <c r="N80">
        <f t="shared" si="15"/>
        <v>-0.1157</v>
      </c>
      <c r="O80">
        <f t="shared" si="16"/>
        <v>-0.1157</v>
      </c>
      <c r="P80">
        <f t="shared" si="17"/>
        <v>-2.7699999999999999E-2</v>
      </c>
      <c r="Q80" s="29">
        <f t="shared" si="18"/>
        <v>58.358410293659851</v>
      </c>
      <c r="R80" s="29">
        <f t="shared" si="19"/>
        <v>60.09189015920505</v>
      </c>
      <c r="S80" s="29">
        <f t="shared" si="20"/>
        <v>63.59832635983264</v>
      </c>
      <c r="T80" s="29">
        <f t="shared" si="21"/>
        <v>63.59832635983264</v>
      </c>
      <c r="U80" s="29">
        <f t="shared" si="22"/>
        <v>57.842229764475981</v>
      </c>
      <c r="V80" s="30">
        <f>_xlfn.XLOOKUP(A80,Total_de_acoes!A:A,Total_de_acoes!B:B,0,0)</f>
        <v>853202347</v>
      </c>
      <c r="W80" s="29">
        <f t="shared" si="23"/>
        <v>-1807432634.4595425</v>
      </c>
      <c r="X80" t="str" cm="1">
        <f t="array" ref="X80">_xlfn.IFS(W80&gt;0,"Subiu",W80&lt;0,"Desceu",W80=0,"Estável")</f>
        <v>Desceu</v>
      </c>
      <c r="Y80" t="str">
        <f>_xlfn.XLOOKUP(A80,Ticker!A:A,Ticker!B:B,0,0)</f>
        <v>Localiza</v>
      </c>
      <c r="Z80" t="str">
        <f>_xlfn.XLOOKUP(Y80,chat_gpt!A:A,chat_gpt!B:B,0,0)</f>
        <v>Aluguel de Carros</v>
      </c>
      <c r="AA80">
        <f>_xlfn.XLOOKUP(Y80,chat_gpt!A:A,chat_gpt!C:C,0,0)</f>
        <v>52</v>
      </c>
      <c r="AB80" t="str">
        <f t="shared" si="24"/>
        <v>Entre 50 e 100 anos</v>
      </c>
    </row>
    <row r="81" spans="1:28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>
        <f t="shared" si="13"/>
        <v>-4.36E-2</v>
      </c>
      <c r="M81">
        <f t="shared" si="14"/>
        <v>-5.5399999999999998E-2</v>
      </c>
      <c r="N81">
        <f t="shared" si="15"/>
        <v>-0.1229</v>
      </c>
      <c r="O81">
        <f t="shared" si="16"/>
        <v>-0.1229</v>
      </c>
      <c r="P81">
        <f t="shared" si="17"/>
        <v>-0.36829999999999996</v>
      </c>
      <c r="Q81" s="29">
        <f t="shared" si="18"/>
        <v>3.2099539941447093</v>
      </c>
      <c r="R81" s="29">
        <f t="shared" si="19"/>
        <v>3.2500529324581833</v>
      </c>
      <c r="S81" s="29">
        <f t="shared" si="20"/>
        <v>3.5001710181279213</v>
      </c>
      <c r="T81" s="29">
        <f t="shared" si="21"/>
        <v>3.5001710181279213</v>
      </c>
      <c r="U81" s="29">
        <f t="shared" si="22"/>
        <v>4.859901852145005</v>
      </c>
      <c r="V81" s="30">
        <f>_xlfn.XLOOKUP(A81,Total_de_acoes!A:A,Total_de_acoes!B:B,0,0)</f>
        <v>525582771</v>
      </c>
      <c r="W81" s="29">
        <f t="shared" si="23"/>
        <v>-73557408.055094168</v>
      </c>
      <c r="X81" t="str" cm="1">
        <f t="array" ref="X81">_xlfn.IFS(W81&gt;0,"Subiu",W81&lt;0,"Desceu",W81=0,"Estável")</f>
        <v>Desceu</v>
      </c>
      <c r="Y81" t="str">
        <f>_xlfn.XLOOKUP(A81,Ticker!A:A,Ticker!B:B,0,0)</f>
        <v>CVC</v>
      </c>
      <c r="Z81" t="str">
        <f>_xlfn.XLOOKUP(Y81,chat_gpt!A:A,chat_gpt!B:B,0,0)</f>
        <v>Turismo</v>
      </c>
      <c r="AA81">
        <f>_xlfn.XLOOKUP(Y81,chat_gpt!A:A,chat_gpt!C:C,0,0)</f>
        <v>53</v>
      </c>
      <c r="AB81" t="str">
        <f t="shared" si="24"/>
        <v>Entre 50 e 100 anos</v>
      </c>
    </row>
    <row r="82" spans="1:28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>
        <f t="shared" si="13"/>
        <v>-8.0700000000000008E-2</v>
      </c>
      <c r="M82">
        <f t="shared" si="14"/>
        <v>-0.15909999999999999</v>
      </c>
      <c r="N82">
        <f t="shared" si="15"/>
        <v>-0.34</v>
      </c>
      <c r="O82">
        <f t="shared" si="16"/>
        <v>-0.34</v>
      </c>
      <c r="P82">
        <f t="shared" si="17"/>
        <v>-0.25440000000000002</v>
      </c>
      <c r="Q82" s="29">
        <f t="shared" si="18"/>
        <v>6.4396823670183831</v>
      </c>
      <c r="R82" s="29">
        <f t="shared" si="19"/>
        <v>7.0400761089309078</v>
      </c>
      <c r="S82" s="29">
        <f t="shared" si="20"/>
        <v>8.9696969696969706</v>
      </c>
      <c r="T82" s="29">
        <f t="shared" si="21"/>
        <v>8.9696969696969706</v>
      </c>
      <c r="U82" s="29">
        <f t="shared" si="22"/>
        <v>7.939914163090128</v>
      </c>
      <c r="V82" s="30">
        <f>_xlfn.XLOOKUP(A82,Total_de_acoes!A:A,Total_de_acoes!B:B,0,0)</f>
        <v>198184909</v>
      </c>
      <c r="W82" s="29">
        <f t="shared" si="23"/>
        <v>-102993202.61644287</v>
      </c>
      <c r="X82" t="str" cm="1">
        <f t="array" ref="X82">_xlfn.IFS(W82&gt;0,"Subiu",W82&lt;0,"Desceu",W82=0,"Estável")</f>
        <v>Desceu</v>
      </c>
      <c r="Y82" t="str">
        <f>_xlfn.XLOOKUP(A82,Ticker!A:A,Ticker!B:B,0,0)</f>
        <v>GOL</v>
      </c>
      <c r="Z82" t="str">
        <f>_xlfn.XLOOKUP(Y82,chat_gpt!A:A,chat_gpt!B:B,0,0)</f>
        <v>Transporte Aéreo</v>
      </c>
      <c r="AA82">
        <f>_xlfn.XLOOKUP(Y82,chat_gpt!A:A,chat_gpt!C:C,0,0)</f>
        <v>25</v>
      </c>
      <c r="AB82" t="str">
        <f t="shared" si="24"/>
        <v>Menos de 50 anos</v>
      </c>
    </row>
    <row r="83" spans="1:28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28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28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28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28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28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28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28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28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28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28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28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28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28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B247-8F9C-4D3E-ABFB-9CFC6E03A596}">
  <dimension ref="A1:C58"/>
  <sheetViews>
    <sheetView topLeftCell="A40" workbookViewId="0">
      <selection activeCell="T83" sqref="T83"/>
    </sheetView>
  </sheetViews>
  <sheetFormatPr defaultRowHeight="12.75"/>
  <cols>
    <col min="1" max="1" width="20.85546875" bestFit="1" customWidth="1"/>
    <col min="2" max="2" width="19.42578125" bestFit="1" customWidth="1"/>
    <col min="3" max="3" width="23.5703125" bestFit="1" customWidth="1"/>
  </cols>
  <sheetData>
    <row r="1" spans="1:3">
      <c r="A1" s="32" t="s">
        <v>1065</v>
      </c>
      <c r="B1" s="29">
        <f>LARGE(Principal!W:W,1)</f>
        <v>4762926995.2480898</v>
      </c>
      <c r="C1" t="str">
        <f>_xlfn.XLOOKUP(B1,Principal!W:W,Principal!Y:Y,0,0)</f>
        <v>Vale</v>
      </c>
    </row>
    <row r="2" spans="1:3">
      <c r="A2" s="32" t="s">
        <v>1066</v>
      </c>
      <c r="B2" s="29">
        <f>SMALL(Principal!W:W,1)</f>
        <v>-1807432634.4595425</v>
      </c>
      <c r="C2" t="str">
        <f>_xlfn.XLOOKUP(B2,Principal!W:W,Principal!Y:Y,0,0)</f>
        <v>Localiza</v>
      </c>
    </row>
    <row r="3" spans="1:3">
      <c r="A3" s="32" t="s">
        <v>1067</v>
      </c>
      <c r="B3" s="29">
        <f>AVERAGE(Principal!W:W)</f>
        <v>165190210.47934023</v>
      </c>
    </row>
    <row r="4" spans="1:3">
      <c r="A4" s="32" t="s">
        <v>1068</v>
      </c>
      <c r="B4" s="29">
        <f>AVERAGEIF(Principal!X:X,"Subiu",Principal!W:W)</f>
        <v>448164250.23049796</v>
      </c>
    </row>
    <row r="5" spans="1:3">
      <c r="A5" s="32" t="s">
        <v>1069</v>
      </c>
      <c r="B5" s="29">
        <f>AVERAGEIF(Principal!X:X,"Desceu",Principal!W:W)</f>
        <v>-181109141.75186712</v>
      </c>
    </row>
    <row r="9" spans="1:3">
      <c r="A9" s="32" t="s">
        <v>1062</v>
      </c>
      <c r="B9" s="32" t="s">
        <v>1070</v>
      </c>
      <c r="C9" s="32" t="s">
        <v>1071</v>
      </c>
    </row>
    <row r="10" spans="1:3">
      <c r="A10" t="str" cm="1">
        <f t="array" ref="A10:A46">_xlfn.UNIQUE(Principal!Z2:Z82)</f>
        <v>Siderurgia</v>
      </c>
      <c r="B10" s="29">
        <f>SUMIF(Principal!Z:Z,Analises!A10,Principal!W:W)</f>
        <v>489935930.92832291</v>
      </c>
      <c r="C10" s="29">
        <f>SUMIFS(Principal!W:W,Principal!X:X,"Subiu",Principal!Z:Z,Analises!A10)</f>
        <v>489935930.92832291</v>
      </c>
    </row>
    <row r="11" spans="1:3">
      <c r="A11" t="str">
        <v>Mineração</v>
      </c>
      <c r="B11" s="29">
        <f>SUMIF(Principal!Z:Z,Analises!A11,Principal!W:W)</f>
        <v>4940442965.5504341</v>
      </c>
      <c r="C11" s="29">
        <f>SUMIFS(Principal!W:W,Principal!X:X,"Subiu",Principal!Z:Z,Analises!A11)</f>
        <v>4940442965.5504341</v>
      </c>
    </row>
    <row r="12" spans="1:3">
      <c r="A12" t="str">
        <v>Petróleo e Gás</v>
      </c>
      <c r="B12" s="29">
        <f>SUMIF(Principal!Z:Z,Analises!A12,Principal!W:W)</f>
        <v>6093288832.2628355</v>
      </c>
      <c r="C12" s="29">
        <f>SUMIFS(Principal!W:W,Principal!X:X,"Subiu",Principal!Z:Z,Analises!A12)</f>
        <v>6093288832.2628355</v>
      </c>
    </row>
    <row r="13" spans="1:3">
      <c r="A13" t="str">
        <v>Papel e Celulose</v>
      </c>
      <c r="B13" s="29">
        <f>SUMIF(Principal!Z:Z,Analises!A13,Principal!W:W)</f>
        <v>722946282.7090385</v>
      </c>
      <c r="C13" s="29">
        <f>SUMIFS(Principal!W:W,Principal!X:X,"Subiu",Principal!Z:Z,Analises!A13)</f>
        <v>722946282.7090385</v>
      </c>
    </row>
    <row r="14" spans="1:3">
      <c r="A14" t="str">
        <v>Energia</v>
      </c>
      <c r="B14" s="29">
        <f>SUMIF(Principal!Z:Z,Analises!A14,Principal!W:W)</f>
        <v>368265294.40368199</v>
      </c>
      <c r="C14" s="29">
        <f>SUMIFS(Principal!W:W,Principal!X:X,"Subiu",Principal!Z:Z,Analises!A14)</f>
        <v>1209821623.5672963</v>
      </c>
    </row>
    <row r="15" spans="1:3">
      <c r="A15" t="str">
        <v>Shopping Centers</v>
      </c>
      <c r="B15" s="29">
        <f>SUMIF(Principal!Z:Z,Analises!A15,Principal!W:W)</f>
        <v>117732680.07842509</v>
      </c>
      <c r="C15" s="29">
        <f>SUMIFS(Principal!W:W,Principal!X:X,"Subiu",Principal!Z:Z,Analises!A15)</f>
        <v>117732680.07842509</v>
      </c>
    </row>
    <row r="16" spans="1:3">
      <c r="A16" t="str">
        <v>Banco</v>
      </c>
      <c r="B16" s="29">
        <f>SUMIF(Principal!Z:Z,Analises!A16,Principal!W:W)</f>
        <v>3740512018.7834516</v>
      </c>
      <c r="C16" s="29">
        <f>SUMIFS(Principal!W:W,Principal!X:X,"Subiu",Principal!Z:Z,Analises!A16)</f>
        <v>3740512018.7834516</v>
      </c>
    </row>
    <row r="17" spans="1:3">
      <c r="A17" t="str">
        <v>Saúde</v>
      </c>
      <c r="B17" s="29">
        <f>SUMIF(Principal!Z:Z,Analises!A17,Principal!W:W)</f>
        <v>60321469.882996619</v>
      </c>
      <c r="C17" s="29">
        <f>SUMIFS(Principal!W:W,Principal!X:X,"Subiu",Principal!Z:Z,Analises!A17)</f>
        <v>453917907.01323998</v>
      </c>
    </row>
    <row r="18" spans="1:3">
      <c r="A18" t="str">
        <v>Química</v>
      </c>
      <c r="B18" s="29">
        <f>SUMIF(Principal!Z:Z,Analises!A18,Principal!W:W)</f>
        <v>69054317.636038527</v>
      </c>
      <c r="C18" s="29">
        <f>SUMIFS(Principal!W:W,Principal!X:X,"Subiu",Principal!Z:Z,Analises!A18)</f>
        <v>69054317.636038527</v>
      </c>
    </row>
    <row r="19" spans="1:3">
      <c r="A19" t="str">
        <v>Transporte Aéreo</v>
      </c>
      <c r="B19" s="29">
        <f>SUMIF(Principal!Z:Z,Analises!A19,Principal!W:W)</f>
        <v>-37540997.063642688</v>
      </c>
      <c r="C19" s="29">
        <f>SUMIFS(Principal!W:W,Principal!X:X,"Subiu",Principal!Z:Z,Analises!A19)</f>
        <v>65452205.552800186</v>
      </c>
    </row>
    <row r="20" spans="1:3">
      <c r="A20" t="str">
        <v>Educação</v>
      </c>
      <c r="B20" s="29">
        <f>SUMIF(Principal!Z:Z,Analises!A20,Principal!W:W)</f>
        <v>54641872.47123301</v>
      </c>
      <c r="C20" s="29">
        <f>SUMIFS(Principal!W:W,Principal!X:X,"Subiu",Principal!Z:Z,Analises!A20)</f>
        <v>72295838.986160949</v>
      </c>
    </row>
    <row r="21" spans="1:3">
      <c r="A21" t="str">
        <v>Construção Civil</v>
      </c>
      <c r="B21" s="29">
        <f>SUMIF(Principal!Z:Z,Analises!A21,Principal!W:W)</f>
        <v>-61087401.606067643</v>
      </c>
      <c r="C21" s="29">
        <f>SUMIFS(Principal!W:W,Principal!X:X,"Subiu",Principal!Z:Z,Analises!A21)</f>
        <v>37525872.377283879</v>
      </c>
    </row>
    <row r="22" spans="1:3">
      <c r="A22" t="str">
        <v>Moda</v>
      </c>
      <c r="B22" s="29">
        <f>SUMIF(Principal!Z:Z,Analises!A22,Principal!W:W)</f>
        <v>41021792.090771534</v>
      </c>
      <c r="C22" s="29">
        <f>SUMIFS(Principal!W:W,Principal!X:X,"Subiu",Principal!Z:Z,Analises!A22)</f>
        <v>41021792.090771534</v>
      </c>
    </row>
    <row r="23" spans="1:3">
      <c r="A23" t="str">
        <v>Alimentos</v>
      </c>
      <c r="B23" s="29">
        <f>SUMIF(Principal!Z:Z,Analises!A23,Principal!W:W)</f>
        <v>407833683.0924499</v>
      </c>
      <c r="C23" s="29">
        <f>SUMIFS(Principal!W:W,Principal!X:X,"Subiu",Principal!Z:Z,Analises!A23)</f>
        <v>407833683.0924499</v>
      </c>
    </row>
    <row r="24" spans="1:3">
      <c r="A24" t="str">
        <v>Varejo</v>
      </c>
      <c r="B24" s="29">
        <f>SUMIF(Principal!Z:Z,Analises!A24,Principal!W:W)</f>
        <v>-793989067.61633921</v>
      </c>
      <c r="C24" s="29">
        <f>SUMIFS(Principal!W:W,Principal!X:X,"Subiu",Principal!Z:Z,Analises!A24)</f>
        <v>34834535.49753806</v>
      </c>
    </row>
    <row r="25" spans="1:3">
      <c r="A25" t="str">
        <v>Telecomunicações</v>
      </c>
      <c r="B25" s="29">
        <f>SUMIF(Principal!Z:Z,Analises!A25,Principal!W:W)</f>
        <v>292938114.42357796</v>
      </c>
      <c r="C25" s="29">
        <f>SUMIFS(Principal!W:W,Principal!X:X,"Subiu",Principal!Z:Z,Analises!A25)</f>
        <v>292938114.42357796</v>
      </c>
    </row>
    <row r="26" spans="1:3">
      <c r="A26" t="str">
        <v>Logística</v>
      </c>
      <c r="B26" s="29">
        <f>SUMIF(Principal!Z:Z,Analises!A26,Principal!W:W)</f>
        <v>233902674.79257408</v>
      </c>
      <c r="C26" s="29">
        <f>SUMIFS(Principal!W:W,Principal!X:X,"Subiu",Principal!Z:Z,Analises!A26)</f>
        <v>233902674.79257408</v>
      </c>
    </row>
    <row r="27" spans="1:3">
      <c r="A27" t="str">
        <v>Pagamentos</v>
      </c>
      <c r="B27" s="29">
        <f>SUMIF(Principal!Z:Z,Analises!A27,Principal!W:W)</f>
        <v>43657683.375540853</v>
      </c>
      <c r="C27" s="29">
        <f>SUMIFS(Principal!W:W,Principal!X:X,"Subiu",Principal!Z:Z,Analises!A27)</f>
        <v>43657683.375540853</v>
      </c>
    </row>
    <row r="28" spans="1:3">
      <c r="A28" t="str">
        <v>Serviços</v>
      </c>
      <c r="B28" s="29">
        <f>SUMIF(Principal!Z:Z,Analises!A28,Principal!W:W)</f>
        <v>18068446.609983239</v>
      </c>
      <c r="C28" s="29">
        <f>SUMIFS(Principal!W:W,Principal!X:X,"Subiu",Principal!Z:Z,Analises!A28)</f>
        <v>18068446.609983239</v>
      </c>
    </row>
    <row r="29" spans="1:3">
      <c r="A29" t="str">
        <v>Holding</v>
      </c>
      <c r="B29" s="29">
        <f>SUMIF(Principal!Z:Z,Analises!A29,Principal!W:W)</f>
        <v>379272692.08429301</v>
      </c>
      <c r="C29" s="29">
        <f>SUMIFS(Principal!W:W,Principal!X:X,"Subiu",Principal!Z:Z,Analises!A29)</f>
        <v>416092244.42376298</v>
      </c>
    </row>
    <row r="30" spans="1:3">
      <c r="A30" t="str">
        <v>Tecnologia</v>
      </c>
      <c r="B30" s="29">
        <f>SUMIF(Principal!Z:Z,Analises!A30,Principal!W:W)</f>
        <v>6067508.9045804553</v>
      </c>
      <c r="C30" s="29">
        <f>SUMIFS(Principal!W:W,Principal!X:X,"Subiu",Principal!Z:Z,Analises!A30)</f>
        <v>15598886.650556229</v>
      </c>
    </row>
    <row r="31" spans="1:3">
      <c r="A31" t="str">
        <v>Farmácias</v>
      </c>
      <c r="B31" s="29">
        <f>SUMIF(Principal!Z:Z,Analises!A31,Principal!W:W)</f>
        <v>202352473.73982856</v>
      </c>
      <c r="C31" s="29">
        <f>SUMIFS(Principal!W:W,Principal!X:X,"Subiu",Principal!Z:Z,Analises!A31)</f>
        <v>202352473.73982856</v>
      </c>
    </row>
    <row r="32" spans="1:3">
      <c r="A32" t="str">
        <v>Bebidas</v>
      </c>
      <c r="B32" s="29">
        <f>SUMIF(Principal!Z:Z,Analises!A32,Principal!W:W)</f>
        <v>0</v>
      </c>
      <c r="C32" s="29">
        <f>SUMIFS(Principal!W:W,Principal!X:X,"Subiu",Principal!Z:Z,Analises!A32)</f>
        <v>0</v>
      </c>
    </row>
    <row r="33" spans="1:3">
      <c r="A33" t="str">
        <v>Seguros</v>
      </c>
      <c r="B33" s="29">
        <f>SUMIF(Principal!Z:Z,Analises!A33,Principal!W:W)</f>
        <v>-26297880.209676646</v>
      </c>
      <c r="C33" s="29">
        <f>SUMIFS(Principal!W:W,Principal!X:X,"Subiu",Principal!Z:Z,Analises!A33)</f>
        <v>0</v>
      </c>
    </row>
    <row r="34" spans="1:3">
      <c r="A34" t="str">
        <v>Saneamento</v>
      </c>
      <c r="B34" s="29">
        <f>SUMIF(Principal!Z:Z,Analises!A34,Principal!W:W)</f>
        <v>-15725678.564115381</v>
      </c>
      <c r="C34" s="29">
        <f>SUMIFS(Principal!W:W,Principal!X:X,"Subiu",Principal!Z:Z,Analises!A34)</f>
        <v>0</v>
      </c>
    </row>
    <row r="35" spans="1:3">
      <c r="A35" t="str">
        <v>Engenharia Elétrica</v>
      </c>
      <c r="B35" s="29">
        <f>SUMIF(Principal!Z:Z,Analises!A35,Principal!W:W)</f>
        <v>-118230410.43964578</v>
      </c>
      <c r="C35" s="29">
        <f>SUMIFS(Principal!W:W,Principal!X:X,"Subiu",Principal!Z:Z,Analises!A35)</f>
        <v>0</v>
      </c>
    </row>
    <row r="36" spans="1:3">
      <c r="A36" t="str">
        <v>Agricultura</v>
      </c>
      <c r="B36" s="29">
        <f>SUMIF(Principal!Z:Z,Analises!A36,Principal!W:W)</f>
        <v>-9468663.6817041729</v>
      </c>
      <c r="C36" s="29">
        <f>SUMIFS(Principal!W:W,Principal!X:X,"Subiu",Principal!Z:Z,Analises!A36)</f>
        <v>0</v>
      </c>
    </row>
    <row r="37" spans="1:3">
      <c r="A37" t="str">
        <v>Infraestrutura</v>
      </c>
      <c r="B37" s="29">
        <f>SUMIF(Principal!Z:Z,Analises!A37,Principal!W:W)</f>
        <v>-39743554.314914532</v>
      </c>
      <c r="C37" s="29">
        <f>SUMIFS(Principal!W:W,Principal!X:X,"Subiu",Principal!Z:Z,Analises!A37)</f>
        <v>0</v>
      </c>
    </row>
    <row r="38" spans="1:3">
      <c r="A38" t="str">
        <v>Pet Shop</v>
      </c>
      <c r="B38" s="29">
        <f>SUMIF(Principal!Z:Z,Analises!A38,Principal!W:W)</f>
        <v>-9242203.6520125903</v>
      </c>
      <c r="C38" s="29">
        <f>SUMIFS(Principal!W:W,Principal!X:X,"Subiu",Principal!Z:Z,Analises!A38)</f>
        <v>0</v>
      </c>
    </row>
    <row r="39" spans="1:3">
      <c r="A39" t="str">
        <v>Calçados</v>
      </c>
      <c r="B39" s="29">
        <f>SUMIF(Principal!Z:Z,Analises!A39,Principal!W:W)</f>
        <v>-21126374.325644854</v>
      </c>
      <c r="C39" s="29">
        <f>SUMIFS(Principal!W:W,Principal!X:X,"Subiu",Principal!Z:Z,Analises!A39)</f>
        <v>0</v>
      </c>
    </row>
    <row r="40" spans="1:3">
      <c r="A40" t="str">
        <v>Aeroespacial</v>
      </c>
      <c r="B40" s="29">
        <f>SUMIF(Principal!Z:Z,Analises!A40,Principal!W:W)</f>
        <v>-233651943.49695757</v>
      </c>
      <c r="C40" s="29">
        <f>SUMIFS(Principal!W:W,Principal!X:X,"Subiu",Principal!Z:Z,Analises!A40)</f>
        <v>0</v>
      </c>
    </row>
    <row r="41" spans="1:3">
      <c r="A41" t="str">
        <v>Cosméticos</v>
      </c>
      <c r="B41" s="29">
        <f>SUMIF(Principal!Z:Z,Analises!A41,Principal!W:W)</f>
        <v>-193280001.20849475</v>
      </c>
      <c r="C41" s="29">
        <f>SUMIFS(Principal!W:W,Principal!X:X,"Subiu",Principal!Z:Z,Analises!A41)</f>
        <v>0</v>
      </c>
    </row>
    <row r="42" spans="1:3">
      <c r="A42" t="str">
        <v>Bolsa de Valores</v>
      </c>
      <c r="B42" s="29">
        <f>SUMIF(Principal!Z:Z,Analises!A42,Principal!W:W)</f>
        <v>-1173785666.3607426</v>
      </c>
      <c r="C42" s="29">
        <f>SUMIFS(Principal!W:W,Principal!X:X,"Subiu",Principal!Z:Z,Analises!A42)</f>
        <v>0</v>
      </c>
    </row>
    <row r="43" spans="1:3">
      <c r="A43" t="str">
        <v>Farmacêutica</v>
      </c>
      <c r="B43" s="29">
        <f>SUMIF(Principal!Z:Z,Analises!A43,Principal!W:W)</f>
        <v>-208257014.19914994</v>
      </c>
      <c r="C43" s="29">
        <f>SUMIFS(Principal!W:W,Principal!X:X,"Subiu",Principal!Z:Z,Analises!A43)</f>
        <v>0</v>
      </c>
    </row>
    <row r="44" spans="1:3">
      <c r="A44" t="str">
        <v>Agronegócio</v>
      </c>
      <c r="B44" s="29">
        <f>SUMIF(Principal!Z:Z,Analises!A44,Principal!W:W)</f>
        <v>-79432785.73975119</v>
      </c>
      <c r="C44" s="29">
        <f>SUMIFS(Principal!W:W,Principal!X:X,"Subiu",Principal!Z:Z,Analises!A44)</f>
        <v>0</v>
      </c>
    </row>
    <row r="45" spans="1:3">
      <c r="A45" t="str">
        <v>Aluguel de Carros</v>
      </c>
      <c r="B45" s="29">
        <f>SUMIF(Principal!Z:Z,Analises!A45,Principal!W:W)</f>
        <v>-1807432634.4595425</v>
      </c>
      <c r="C45" s="29">
        <f>SUMIFS(Principal!W:W,Principal!X:X,"Subiu",Principal!Z:Z,Analises!A45)</f>
        <v>0</v>
      </c>
    </row>
    <row r="46" spans="1:3">
      <c r="A46" t="str">
        <v>Turismo</v>
      </c>
      <c r="B46" s="29">
        <f>SUMIF(Principal!Z:Z,Analises!A46,Principal!W:W)</f>
        <v>-73557408.055094168</v>
      </c>
      <c r="C46" s="29">
        <f>SUMIFS(Principal!W:W,Principal!X:X,"Subiu",Principal!Z:Z,Analises!A46)</f>
        <v>0</v>
      </c>
    </row>
    <row r="49" spans="1:3">
      <c r="A49" s="32" t="s">
        <v>1060</v>
      </c>
      <c r="B49" s="32" t="s">
        <v>1070</v>
      </c>
    </row>
    <row r="50" spans="1:3">
      <c r="A50" t="str" cm="1">
        <f t="array" ref="A50:A52">_xlfn.UNIQUE(Principal!X2:X82)</f>
        <v>Subiu</v>
      </c>
      <c r="B50" s="29">
        <f>SUMIF(Principal!X:X,Analises!A50,Principal!W:W)</f>
        <v>19719227010.141911</v>
      </c>
    </row>
    <row r="51" spans="1:3">
      <c r="A51" t="str">
        <v>Estável</v>
      </c>
      <c r="B51" s="29">
        <f>SUMIF(Principal!X:X,Analises!A51,Principal!W:W)</f>
        <v>0</v>
      </c>
    </row>
    <row r="52" spans="1:3">
      <c r="A52" t="str">
        <v>Desceu</v>
      </c>
      <c r="B52" s="29">
        <f>SUMIF(Principal!X:X,Analises!A52,Principal!W:W)</f>
        <v>-6338819961.3153486</v>
      </c>
    </row>
    <row r="53" spans="1:3">
      <c r="A53" s="26" t="s">
        <v>1072</v>
      </c>
      <c r="B53" s="29">
        <f>B50+B52</f>
        <v>13380407048.826561</v>
      </c>
    </row>
    <row r="54" spans="1:3">
      <c r="A54" s="26"/>
      <c r="B54" s="29"/>
    </row>
    <row r="55" spans="1:3">
      <c r="A55" s="32" t="s">
        <v>1073</v>
      </c>
      <c r="B55" s="32" t="s">
        <v>1070</v>
      </c>
      <c r="C55" s="32" t="s">
        <v>1058</v>
      </c>
    </row>
    <row r="56" spans="1:3">
      <c r="A56" t="str" cm="1">
        <f t="array" ref="A56:A58">_xlfn.UNIQUE(Principal!AB2:AB82)</f>
        <v>Entre 50 e 100 anos</v>
      </c>
      <c r="B56" s="29">
        <f>SUMIF(Principal!AB:AB,Analises!A56,Principal!W:W)</f>
        <v>9090622572.5223637</v>
      </c>
      <c r="C56">
        <f>COUNTIF(Principal!AB:AB,Analises!A56)</f>
        <v>37</v>
      </c>
    </row>
    <row r="57" spans="1:3">
      <c r="A57" t="str">
        <v>Menos de 50 anos</v>
      </c>
      <c r="B57" s="29">
        <f>SUMIF(Principal!AB:AB,Analises!A57,Principal!W:W)</f>
        <v>3812197550.6729441</v>
      </c>
      <c r="C57">
        <f>COUNTIF(Principal!AB:AB,Analises!A57)</f>
        <v>35</v>
      </c>
    </row>
    <row r="58" spans="1:3">
      <c r="A58" t="str">
        <v>Mais de 100 anos</v>
      </c>
      <c r="B58" s="29">
        <f>SUMIF(Principal!AB:AB,Analises!A58,Principal!W:W)</f>
        <v>477586925.63124967</v>
      </c>
      <c r="C58">
        <f>COUNTIF(Principal!AB:AB,Analises!A58)</f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FAAE-A8C7-4EAF-AC2B-754BEFC4DCA7}">
  <dimension ref="A1:C80"/>
  <sheetViews>
    <sheetView workbookViewId="0">
      <selection activeCell="A2" sqref="A2"/>
    </sheetView>
  </sheetViews>
  <sheetFormatPr defaultRowHeight="12.75"/>
  <cols>
    <col min="1" max="1" width="9" bestFit="1" customWidth="1"/>
  </cols>
  <sheetData>
    <row r="1" spans="1:3" ht="13.5" thickBot="1">
      <c r="A1" t="s">
        <v>183</v>
      </c>
      <c r="B1" t="s">
        <v>1062</v>
      </c>
      <c r="C1" t="s">
        <v>1074</v>
      </c>
    </row>
    <row r="2" spans="1:3" ht="13.5" thickBot="1">
      <c r="A2" s="22" t="s">
        <v>188</v>
      </c>
      <c r="B2" s="23" t="s">
        <v>1015</v>
      </c>
      <c r="C2" s="20">
        <v>63</v>
      </c>
    </row>
    <row r="3" spans="1:3" ht="13.5" thickBot="1">
      <c r="A3" s="24" t="s">
        <v>239</v>
      </c>
      <c r="B3" s="25" t="s">
        <v>1016</v>
      </c>
      <c r="C3" s="21">
        <v>18</v>
      </c>
    </row>
    <row r="4" spans="1:3" ht="13.5" thickBot="1">
      <c r="A4" s="24" t="s">
        <v>186</v>
      </c>
      <c r="B4" s="25" t="s">
        <v>1017</v>
      </c>
      <c r="C4" s="21">
        <v>73</v>
      </c>
    </row>
    <row r="5" spans="1:3" ht="13.5" thickBot="1">
      <c r="A5" s="24" t="s">
        <v>270</v>
      </c>
      <c r="B5" s="25" t="s">
        <v>1018</v>
      </c>
      <c r="C5" s="21">
        <v>102</v>
      </c>
    </row>
    <row r="6" spans="1:3" ht="13.5" thickBot="1">
      <c r="A6" s="24" t="s">
        <v>312</v>
      </c>
      <c r="B6" s="25" t="s">
        <v>1019</v>
      </c>
      <c r="C6" s="21">
        <v>113</v>
      </c>
    </row>
    <row r="7" spans="1:3" ht="13.5" thickBot="1">
      <c r="A7" s="24" t="s">
        <v>217</v>
      </c>
      <c r="B7" s="25" t="s">
        <v>1017</v>
      </c>
      <c r="C7" s="21">
        <v>11</v>
      </c>
    </row>
    <row r="8" spans="1:3" ht="13.5" thickBot="1">
      <c r="A8" s="24" t="s">
        <v>186</v>
      </c>
      <c r="B8" s="25" t="s">
        <v>1017</v>
      </c>
      <c r="C8" s="21">
        <v>73</v>
      </c>
    </row>
    <row r="9" spans="1:3" ht="13.5" thickBot="1">
      <c r="A9" s="24" t="s">
        <v>191</v>
      </c>
      <c r="B9" s="25" t="s">
        <v>1016</v>
      </c>
      <c r="C9" s="21">
        <v>83</v>
      </c>
    </row>
    <row r="10" spans="1:3" ht="13.5" thickBot="1">
      <c r="A10" s="24" t="s">
        <v>254</v>
      </c>
      <c r="B10" s="25" t="s">
        <v>1020</v>
      </c>
      <c r="C10" s="21">
        <v>54</v>
      </c>
    </row>
    <row r="11" spans="1:3" ht="13.5" thickBot="1">
      <c r="A11" s="24" t="s">
        <v>197</v>
      </c>
      <c r="B11" s="25" t="s">
        <v>1021</v>
      </c>
      <c r="C11" s="21">
        <v>17</v>
      </c>
    </row>
    <row r="12" spans="1:3" ht="13.5" thickBot="1">
      <c r="A12" s="24" t="s">
        <v>289</v>
      </c>
      <c r="B12" s="25" t="s">
        <v>1022</v>
      </c>
      <c r="C12" s="21">
        <v>54</v>
      </c>
    </row>
    <row r="13" spans="1:3" ht="13.5" thickBot="1">
      <c r="A13" s="24" t="s">
        <v>304</v>
      </c>
      <c r="B13" s="25" t="s">
        <v>1023</v>
      </c>
      <c r="C13" s="21">
        <v>24</v>
      </c>
    </row>
    <row r="14" spans="1:3" ht="13.5" thickBot="1">
      <c r="A14" s="24" t="s">
        <v>194</v>
      </c>
      <c r="B14" s="25" t="s">
        <v>1024</v>
      </c>
      <c r="C14" s="21">
        <v>18</v>
      </c>
    </row>
    <row r="15" spans="1:3" ht="13.5" thickBot="1">
      <c r="A15" s="24" t="s">
        <v>286</v>
      </c>
      <c r="B15" s="25" t="s">
        <v>1017</v>
      </c>
      <c r="C15" s="21">
        <v>11</v>
      </c>
    </row>
    <row r="16" spans="1:3" ht="13.5" thickBot="1">
      <c r="A16" s="24" t="s">
        <v>202</v>
      </c>
      <c r="B16" s="25" t="s">
        <v>1019</v>
      </c>
      <c r="C16" s="21">
        <v>28</v>
      </c>
    </row>
    <row r="17" spans="1:3" ht="13.5" thickBot="1">
      <c r="A17" s="24" t="s">
        <v>227</v>
      </c>
      <c r="B17" s="25" t="s">
        <v>1015</v>
      </c>
      <c r="C17" s="21">
        <v>83</v>
      </c>
    </row>
    <row r="18" spans="1:3" ht="13.5" thickBot="1">
      <c r="A18" s="24" t="s">
        <v>266</v>
      </c>
      <c r="B18" s="25" t="s">
        <v>1025</v>
      </c>
      <c r="C18" s="21">
        <v>61</v>
      </c>
    </row>
    <row r="19" spans="1:3" ht="13.5" thickBot="1">
      <c r="A19" s="24" t="s">
        <v>253</v>
      </c>
      <c r="B19" s="25" t="s">
        <v>1019</v>
      </c>
      <c r="C19" s="21">
        <v>88</v>
      </c>
    </row>
    <row r="20" spans="1:3" ht="13.5" thickBot="1">
      <c r="A20" s="24" t="s">
        <v>199</v>
      </c>
      <c r="B20" s="25" t="s">
        <v>1026</v>
      </c>
      <c r="C20" s="21">
        <v>46</v>
      </c>
    </row>
    <row r="21" spans="1:3" ht="13.5" thickBot="1">
      <c r="A21" s="24" t="s">
        <v>260</v>
      </c>
      <c r="B21" s="25" t="s">
        <v>1027</v>
      </c>
      <c r="C21" s="21">
        <v>54</v>
      </c>
    </row>
    <row r="22" spans="1:3" ht="13.5" thickBot="1">
      <c r="A22" s="24" t="s">
        <v>193</v>
      </c>
      <c r="B22" s="25" t="s">
        <v>1021</v>
      </c>
      <c r="C22" s="21">
        <v>82</v>
      </c>
    </row>
    <row r="23" spans="1:3" ht="13.5" thickBot="1">
      <c r="A23" s="24" t="s">
        <v>228</v>
      </c>
      <c r="B23" s="25" t="s">
        <v>1028</v>
      </c>
      <c r="C23" s="21">
        <v>31</v>
      </c>
    </row>
    <row r="24" spans="1:3" ht="13.5" thickBot="1">
      <c r="A24" s="24" t="s">
        <v>234</v>
      </c>
      <c r="B24" s="25" t="s">
        <v>1029</v>
      </c>
      <c r="C24" s="21">
        <v>76</v>
      </c>
    </row>
    <row r="25" spans="1:3" ht="13.5" thickBot="1">
      <c r="A25" s="24" t="s">
        <v>219</v>
      </c>
      <c r="B25" s="25" t="s">
        <v>1028</v>
      </c>
      <c r="C25" s="21">
        <v>88</v>
      </c>
    </row>
    <row r="26" spans="1:3" ht="13.5" thickBot="1">
      <c r="A26" s="24" t="s">
        <v>339</v>
      </c>
      <c r="B26" s="25" t="s">
        <v>1030</v>
      </c>
      <c r="C26" s="21">
        <v>26</v>
      </c>
    </row>
    <row r="27" spans="1:3" ht="13.5" thickBot="1">
      <c r="A27" s="24" t="s">
        <v>216</v>
      </c>
      <c r="B27" s="25" t="s">
        <v>1031</v>
      </c>
      <c r="C27" s="21">
        <v>15</v>
      </c>
    </row>
    <row r="28" spans="1:3" ht="13.5" thickBot="1">
      <c r="A28" s="24" t="s">
        <v>190</v>
      </c>
      <c r="B28" s="25" t="s">
        <v>1032</v>
      </c>
      <c r="C28" s="21">
        <v>14</v>
      </c>
    </row>
    <row r="29" spans="1:3" ht="13.5" thickBot="1">
      <c r="A29" s="24" t="s">
        <v>285</v>
      </c>
      <c r="B29" s="25" t="s">
        <v>1033</v>
      </c>
      <c r="C29" s="21">
        <v>5</v>
      </c>
    </row>
    <row r="30" spans="1:3" ht="13.5" thickBot="1">
      <c r="A30" s="24" t="s">
        <v>256</v>
      </c>
      <c r="B30" s="25" t="s">
        <v>1030</v>
      </c>
      <c r="C30" s="21">
        <v>28</v>
      </c>
    </row>
    <row r="31" spans="1:3" ht="13.5" thickBot="1">
      <c r="A31" s="24" t="s">
        <v>273</v>
      </c>
      <c r="B31" s="25" t="s">
        <v>1034</v>
      </c>
      <c r="C31" s="21">
        <v>27</v>
      </c>
    </row>
    <row r="32" spans="1:3" ht="13.5" thickBot="1">
      <c r="A32" s="24" t="s">
        <v>208</v>
      </c>
      <c r="B32" s="25" t="s">
        <v>1035</v>
      </c>
      <c r="C32" s="21">
        <v>27</v>
      </c>
    </row>
    <row r="33" spans="1:3" ht="13.5" thickBot="1">
      <c r="A33" s="24" t="s">
        <v>299</v>
      </c>
      <c r="B33" s="25" t="s">
        <v>1017</v>
      </c>
      <c r="C33" s="21">
        <v>11</v>
      </c>
    </row>
    <row r="34" spans="1:3" ht="13.5" thickBot="1">
      <c r="A34" s="24" t="s">
        <v>196</v>
      </c>
      <c r="B34" s="25" t="s">
        <v>1034</v>
      </c>
      <c r="C34" s="21">
        <v>58</v>
      </c>
    </row>
    <row r="35" spans="1:3" ht="13.5" thickBot="1">
      <c r="A35" s="24" t="s">
        <v>213</v>
      </c>
      <c r="B35" s="25" t="s">
        <v>1021</v>
      </c>
      <c r="C35" s="21">
        <v>217</v>
      </c>
    </row>
    <row r="36" spans="1:3" ht="13.5" thickBot="1">
      <c r="A36" s="24" t="s">
        <v>251</v>
      </c>
      <c r="B36" s="25" t="s">
        <v>1036</v>
      </c>
      <c r="C36" s="21">
        <v>122</v>
      </c>
    </row>
    <row r="37" spans="1:3" ht="13.5" thickBot="1">
      <c r="A37" s="24" t="s">
        <v>255</v>
      </c>
      <c r="B37" s="25" t="s">
        <v>1015</v>
      </c>
      <c r="C37" s="21">
        <v>124</v>
      </c>
    </row>
    <row r="38" spans="1:3" ht="13.5" thickBot="1">
      <c r="A38" s="24" t="s">
        <v>303</v>
      </c>
      <c r="B38" s="25" t="s">
        <v>1019</v>
      </c>
      <c r="C38" s="21">
        <v>28</v>
      </c>
    </row>
    <row r="39" spans="1:3" ht="13.5" thickBot="1">
      <c r="A39" s="24" t="s">
        <v>321</v>
      </c>
      <c r="B39" s="25" t="s">
        <v>1028</v>
      </c>
      <c r="C39" s="21">
        <v>72</v>
      </c>
    </row>
    <row r="40" spans="1:3" ht="13.5" thickBot="1">
      <c r="A40" s="24" t="s">
        <v>184</v>
      </c>
      <c r="B40" s="25" t="s">
        <v>1029</v>
      </c>
      <c r="C40" s="21">
        <v>68</v>
      </c>
    </row>
    <row r="41" spans="1:3" ht="13.5" thickBot="1">
      <c r="A41" s="24" t="s">
        <v>236</v>
      </c>
      <c r="B41" s="25" t="s">
        <v>1015</v>
      </c>
      <c r="C41" s="21">
        <v>124</v>
      </c>
    </row>
    <row r="42" spans="1:3" ht="13.5" thickBot="1">
      <c r="A42" s="24" t="s">
        <v>233</v>
      </c>
      <c r="B42" s="25" t="s">
        <v>1019</v>
      </c>
      <c r="C42" s="21">
        <v>13</v>
      </c>
    </row>
    <row r="43" spans="1:3" ht="13.5" thickBot="1">
      <c r="A43" s="24" t="s">
        <v>209</v>
      </c>
      <c r="B43" s="25" t="s">
        <v>1019</v>
      </c>
      <c r="C43" s="21">
        <v>70</v>
      </c>
    </row>
    <row r="44" spans="1:3" ht="13.5" thickBot="1">
      <c r="A44" s="24" t="s">
        <v>235</v>
      </c>
      <c r="B44" s="25" t="s">
        <v>1031</v>
      </c>
      <c r="C44" s="21">
        <v>71</v>
      </c>
    </row>
    <row r="45" spans="1:3" ht="13.5" thickBot="1">
      <c r="A45" s="24" t="s">
        <v>248</v>
      </c>
      <c r="B45" s="25" t="s">
        <v>1028</v>
      </c>
      <c r="C45" s="21">
        <v>18</v>
      </c>
    </row>
    <row r="46" spans="1:3" ht="13.5" thickBot="1">
      <c r="A46" s="24" t="s">
        <v>220</v>
      </c>
      <c r="B46" s="25" t="s">
        <v>1037</v>
      </c>
      <c r="C46" s="21">
        <v>34</v>
      </c>
    </row>
    <row r="47" spans="1:3" ht="13.5" thickBot="1">
      <c r="A47" s="24" t="s">
        <v>276</v>
      </c>
      <c r="B47" s="25" t="s">
        <v>1038</v>
      </c>
      <c r="C47" s="21">
        <v>15</v>
      </c>
    </row>
    <row r="48" spans="1:3" ht="13.5" thickBot="1">
      <c r="A48" s="24" t="s">
        <v>322</v>
      </c>
      <c r="B48" s="25" t="s">
        <v>1039</v>
      </c>
      <c r="C48" s="21">
        <v>51</v>
      </c>
    </row>
    <row r="49" spans="1:3" ht="13.5" thickBot="1">
      <c r="A49" s="24" t="s">
        <v>332</v>
      </c>
      <c r="B49" s="25" t="s">
        <v>1035</v>
      </c>
      <c r="C49" s="21">
        <v>60</v>
      </c>
    </row>
    <row r="50" spans="1:3" ht="13.5" thickBot="1">
      <c r="A50" s="24" t="s">
        <v>230</v>
      </c>
      <c r="B50" s="25" t="s">
        <v>1019</v>
      </c>
      <c r="C50" s="21">
        <v>73</v>
      </c>
    </row>
    <row r="51" spans="1:3" ht="13.5" thickBot="1">
      <c r="A51" s="24" t="s">
        <v>288</v>
      </c>
      <c r="B51" s="25" t="s">
        <v>1019</v>
      </c>
      <c r="C51" s="21">
        <v>62</v>
      </c>
    </row>
    <row r="52" spans="1:3" ht="13.5" thickBot="1">
      <c r="A52" s="24" t="s">
        <v>298</v>
      </c>
      <c r="B52" s="25" t="s">
        <v>1019</v>
      </c>
      <c r="C52" s="21">
        <v>23</v>
      </c>
    </row>
    <row r="53" spans="1:3" ht="13.5" thickBot="1">
      <c r="A53" s="24" t="s">
        <v>252</v>
      </c>
      <c r="B53" s="25" t="s">
        <v>1040</v>
      </c>
      <c r="C53" s="21">
        <v>64</v>
      </c>
    </row>
    <row r="54" spans="1:3" ht="13.5" thickBot="1">
      <c r="A54" s="24" t="s">
        <v>326</v>
      </c>
      <c r="B54" s="25" t="s">
        <v>1041</v>
      </c>
      <c r="C54" s="21">
        <v>49</v>
      </c>
    </row>
    <row r="55" spans="1:3" ht="13.5" thickBot="1">
      <c r="A55" s="24" t="s">
        <v>119</v>
      </c>
      <c r="B55" s="25" t="s">
        <v>1034</v>
      </c>
      <c r="C55" s="21">
        <v>62</v>
      </c>
    </row>
    <row r="56" spans="1:3" ht="13.5" thickBot="1">
      <c r="A56" s="24" t="s">
        <v>302</v>
      </c>
      <c r="B56" s="25" t="s">
        <v>1042</v>
      </c>
      <c r="C56" s="21">
        <v>27</v>
      </c>
    </row>
    <row r="57" spans="1:3" ht="13.5" thickBot="1">
      <c r="A57" s="24" t="s">
        <v>195</v>
      </c>
      <c r="B57" s="25" t="s">
        <v>1025</v>
      </c>
      <c r="C57" s="21">
        <v>20</v>
      </c>
    </row>
    <row r="58" spans="1:3" ht="13.5" thickBot="1">
      <c r="A58" s="24" t="s">
        <v>356</v>
      </c>
      <c r="B58" s="25" t="s">
        <v>1019</v>
      </c>
      <c r="C58" s="21">
        <v>26</v>
      </c>
    </row>
    <row r="59" spans="1:3" ht="13.5" thickBot="1">
      <c r="A59" s="24" t="s">
        <v>357</v>
      </c>
      <c r="B59" s="25" t="s">
        <v>1019</v>
      </c>
      <c r="C59" s="21">
        <v>29</v>
      </c>
    </row>
    <row r="60" spans="1:3" ht="13.5" thickBot="1">
      <c r="A60" s="24" t="s">
        <v>295</v>
      </c>
      <c r="B60" s="25" t="s">
        <v>1019</v>
      </c>
      <c r="C60" s="21">
        <v>19</v>
      </c>
    </row>
    <row r="61" spans="1:3" ht="13.5" thickBot="1">
      <c r="A61" s="24" t="s">
        <v>316</v>
      </c>
      <c r="B61" s="25" t="s">
        <v>1038</v>
      </c>
      <c r="C61" s="21">
        <v>87</v>
      </c>
    </row>
    <row r="62" spans="1:3" ht="13.5" thickBot="1">
      <c r="A62" s="24" t="s">
        <v>198</v>
      </c>
      <c r="B62" s="25" t="s">
        <v>1043</v>
      </c>
      <c r="C62" s="21">
        <v>20</v>
      </c>
    </row>
    <row r="63" spans="1:3" ht="13.5" thickBot="1">
      <c r="A63" s="24" t="s">
        <v>331</v>
      </c>
      <c r="B63" s="25" t="s">
        <v>1026</v>
      </c>
      <c r="C63" s="21">
        <v>46</v>
      </c>
    </row>
    <row r="64" spans="1:3" ht="13.5" thickBot="1">
      <c r="A64" s="24" t="s">
        <v>307</v>
      </c>
      <c r="B64" s="25" t="s">
        <v>1022</v>
      </c>
      <c r="C64" s="21">
        <v>101</v>
      </c>
    </row>
    <row r="65" spans="1:3" ht="13.5" thickBot="1">
      <c r="A65" s="24" t="s">
        <v>212</v>
      </c>
      <c r="B65" s="25" t="s">
        <v>1029</v>
      </c>
      <c r="C65" s="21">
        <v>20</v>
      </c>
    </row>
    <row r="66" spans="1:3" ht="13.5" thickBot="1">
      <c r="A66" s="24" t="s">
        <v>325</v>
      </c>
      <c r="B66" s="25" t="s">
        <v>1044</v>
      </c>
      <c r="C66" s="21">
        <v>117</v>
      </c>
    </row>
    <row r="67" spans="1:3" ht="13.5" thickBot="1">
      <c r="A67" s="24" t="s">
        <v>244</v>
      </c>
      <c r="B67" s="25" t="s">
        <v>1026</v>
      </c>
      <c r="C67" s="21">
        <v>62</v>
      </c>
    </row>
    <row r="68" spans="1:3" ht="13.5" thickBot="1">
      <c r="A68" s="24" t="s">
        <v>287</v>
      </c>
      <c r="B68" s="25" t="s">
        <v>1045</v>
      </c>
      <c r="C68" s="21">
        <v>57</v>
      </c>
    </row>
    <row r="69" spans="1:3" ht="13.5" thickBot="1">
      <c r="A69" s="24" t="s">
        <v>200</v>
      </c>
      <c r="B69" s="25" t="s">
        <v>1046</v>
      </c>
      <c r="C69" s="21">
        <v>57</v>
      </c>
    </row>
    <row r="70" spans="1:3" ht="13.5" thickBot="1">
      <c r="A70" s="24" t="s">
        <v>229</v>
      </c>
      <c r="B70" s="25" t="s">
        <v>1029</v>
      </c>
      <c r="C70" s="21">
        <v>55</v>
      </c>
    </row>
    <row r="71" spans="1:3" ht="13.5" thickBot="1">
      <c r="A71" s="24" t="s">
        <v>187</v>
      </c>
      <c r="B71" s="25" t="s">
        <v>1047</v>
      </c>
      <c r="C71" s="21">
        <v>172</v>
      </c>
    </row>
    <row r="72" spans="1:3" ht="13.5" thickBot="1">
      <c r="A72" s="24" t="s">
        <v>263</v>
      </c>
      <c r="B72" s="25" t="s">
        <v>1048</v>
      </c>
      <c r="C72" s="21">
        <v>62</v>
      </c>
    </row>
    <row r="73" spans="1:3" ht="13.5" thickBot="1">
      <c r="A73" s="24" t="s">
        <v>290</v>
      </c>
      <c r="B73" s="25" t="s">
        <v>1049</v>
      </c>
      <c r="C73" s="21">
        <v>88</v>
      </c>
    </row>
    <row r="74" spans="1:3" ht="13.5" thickBot="1">
      <c r="A74" s="24" t="s">
        <v>185</v>
      </c>
      <c r="B74" s="25" t="s">
        <v>1022</v>
      </c>
      <c r="C74" s="21">
        <v>48</v>
      </c>
    </row>
    <row r="75" spans="1:3" ht="13.5" thickBot="1">
      <c r="A75" s="24" t="s">
        <v>201</v>
      </c>
      <c r="B75" s="25" t="s">
        <v>1029</v>
      </c>
      <c r="C75" s="21">
        <v>63</v>
      </c>
    </row>
    <row r="76" spans="1:3" ht="13.5" thickBot="1">
      <c r="A76" s="24" t="s">
        <v>259</v>
      </c>
      <c r="B76" s="25" t="s">
        <v>1029</v>
      </c>
      <c r="C76" s="21">
        <v>38</v>
      </c>
    </row>
    <row r="77" spans="1:3" ht="13.5" thickBot="1">
      <c r="A77" s="24" t="s">
        <v>269</v>
      </c>
      <c r="B77" s="25" t="s">
        <v>1029</v>
      </c>
      <c r="C77" s="21">
        <v>73</v>
      </c>
    </row>
    <row r="78" spans="1:3" ht="13.5" thickBot="1">
      <c r="A78" s="24" t="s">
        <v>203</v>
      </c>
      <c r="B78" s="25" t="s">
        <v>1050</v>
      </c>
      <c r="C78" s="21">
        <v>52</v>
      </c>
    </row>
    <row r="79" spans="1:3" ht="13.5" thickBot="1">
      <c r="A79" s="24" t="s">
        <v>189</v>
      </c>
      <c r="B79" s="25" t="s">
        <v>1051</v>
      </c>
      <c r="C79" s="21">
        <v>53</v>
      </c>
    </row>
    <row r="80" spans="1:3" ht="13.5" thickBot="1">
      <c r="A80" s="24" t="s">
        <v>192</v>
      </c>
      <c r="B80" s="25" t="s">
        <v>1024</v>
      </c>
      <c r="C80" s="2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Analises</vt:lpstr>
      <vt:lpstr>chat_gpt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Marchiori</cp:lastModifiedBy>
  <dcterms:modified xsi:type="dcterms:W3CDTF">2024-03-30T02:18:50Z</dcterms:modified>
</cp:coreProperties>
</file>