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60" windowWidth="28770" windowHeight="9600" tabRatio="845"/>
  </bookViews>
  <sheets>
    <sheet name="Questions" sheetId="8" r:id="rId1"/>
    <sheet name="UCS Info" sheetId="1" r:id="rId2"/>
    <sheet name="NetApp Info" sheetId="13" r:id="rId3"/>
    <sheet name="Nexus Info" sheetId="14" r:id="rId4"/>
    <sheet name="VMWare Info" sheetId="15" r:id="rId5"/>
    <sheet name="1000v Info" sheetId="7" r:id="rId6"/>
    <sheet name="Interfaces" sheetId="3" r:id="rId7"/>
    <sheet name="FCoE Variables" sheetId="4" state="hidden" r:id="rId8"/>
    <sheet name="FC Variables" sheetId="11" state="hidden" r:id="rId9"/>
    <sheet name="iSCSI Variables" sheetId="12" state="hidden" r:id="rId10"/>
    <sheet name="Answers" sheetId="10" state="hidden" r:id="rId11"/>
    <sheet name="hidden work" sheetId="9" state="hidden" r:id="rId12"/>
    <sheet name="Interface map" sheetId="16" state="hidden" r:id="rId13"/>
  </sheets>
  <definedNames>
    <definedName name="Cisco_Nexus_1110_X_A">Interfaces!$A$76:$E$77</definedName>
    <definedName name="Cisco_Nexus_1110_X_B">Interfaces!$A$78:$E$79</definedName>
    <definedName name="Cisco_Nexus_5548_A">Interfaces!$A$3:$E$15</definedName>
    <definedName name="Cisco_Nexus_5548_B">Interfaces!$A$16:$E$28</definedName>
    <definedName name="Cisco_UCS_Fabric_Interconnect_A">Interfaces!$A$51:$E$61</definedName>
    <definedName name="Cisco_UCS_Fabric_Interconnect_B">Interfaces!$A$62:$E$72</definedName>
    <definedName name="NetApp_A">Interfaces!$B$31:$E$39</definedName>
    <definedName name="NetApp_B">Interfaces!$B$40:$E$48</definedName>
    <definedName name="NetApp_Controller_A">Interfaces!$A$31:$E$39</definedName>
    <definedName name="NetApp_Controller_B">Interfaces!$A$40:$E$48</definedName>
    <definedName name="Nexus_1000V_A">Interfaces!$B$76:$E$77</definedName>
    <definedName name="Nexus_1000v_B">Interfaces!$B$78:$E$79</definedName>
    <definedName name="Nexus_5548_A">Interfaces!$B$3:$E$15</definedName>
    <definedName name="Nexus_5548_B">Interfaces!$B$16:$E$28</definedName>
    <definedName name="UCS_FI_A">Interfaces!$B$51:$E$61</definedName>
    <definedName name="UCS_FI_B">Interfaces!$B$62:$E$72</definedName>
    <definedName name="Variables_1" localSheetId="8">'FC Variables'!$A$2:$B$114</definedName>
    <definedName name="Variables_1" localSheetId="7">'FCoE Variables'!$A$2:$B$187</definedName>
    <definedName name="Variables_1" localSheetId="9">'iSCSI Variables'!$A$2:$B$122</definedName>
  </definedNames>
  <calcPr calcId="145621"/>
</workbook>
</file>

<file path=xl/calcChain.xml><?xml version="1.0" encoding="utf-8"?>
<calcChain xmlns="http://schemas.openxmlformats.org/spreadsheetml/2006/main">
  <c r="C58" i="16" l="1"/>
  <c r="C59" i="16"/>
  <c r="C60" i="16"/>
  <c r="C61" i="16"/>
  <c r="C50" i="16"/>
  <c r="C51" i="16"/>
  <c r="C52" i="16"/>
  <c r="C53" i="16"/>
  <c r="C54" i="16"/>
  <c r="C55" i="16"/>
  <c r="C56" i="16"/>
  <c r="C57" i="16"/>
  <c r="C42" i="16"/>
  <c r="C43" i="16"/>
  <c r="C44" i="16"/>
  <c r="C45" i="16"/>
  <c r="C46" i="16"/>
  <c r="C47" i="16"/>
  <c r="C48" i="16"/>
  <c r="C49" i="16"/>
  <c r="C34" i="16"/>
  <c r="C35" i="16"/>
  <c r="C36" i="16"/>
  <c r="C37" i="16"/>
  <c r="C38" i="16"/>
  <c r="C39" i="16"/>
  <c r="C40" i="16"/>
  <c r="C41" i="16"/>
  <c r="C26" i="16"/>
  <c r="C27" i="16"/>
  <c r="C28" i="16"/>
  <c r="C29" i="16"/>
  <c r="C30" i="16"/>
  <c r="C31" i="16"/>
  <c r="C32" i="16"/>
  <c r="C33" i="16"/>
  <c r="C14" i="16"/>
  <c r="C15" i="16"/>
  <c r="C16" i="16"/>
  <c r="C17" i="16"/>
  <c r="C18" i="16"/>
  <c r="C19" i="16"/>
  <c r="C20" i="16"/>
  <c r="C21" i="16"/>
  <c r="C22" i="16"/>
  <c r="C23" i="16"/>
  <c r="C24" i="16"/>
  <c r="C25" i="16"/>
  <c r="C7" i="16"/>
  <c r="C6" i="16"/>
  <c r="C2" i="16"/>
  <c r="C3" i="16"/>
  <c r="C4" i="16"/>
  <c r="C5" i="16"/>
  <c r="C8" i="16"/>
  <c r="C9" i="16"/>
  <c r="C10" i="16"/>
  <c r="C11" i="16"/>
  <c r="C12" i="16"/>
  <c r="C13" i="16"/>
  <c r="B180" i="11"/>
  <c r="B179" i="11"/>
  <c r="B178" i="11"/>
  <c r="B177" i="11"/>
  <c r="B176" i="11"/>
  <c r="B175" i="11"/>
  <c r="B174" i="11"/>
  <c r="B173" i="11"/>
  <c r="B172" i="11"/>
  <c r="B171" i="11"/>
  <c r="B170" i="11"/>
  <c r="B165" i="11"/>
  <c r="B164" i="11"/>
  <c r="B163" i="11"/>
  <c r="B162" i="11"/>
  <c r="B161" i="11"/>
  <c r="B160" i="11"/>
  <c r="B159" i="11"/>
  <c r="B158" i="11"/>
  <c r="B157" i="11"/>
  <c r="B156" i="11"/>
  <c r="B155" i="11"/>
  <c r="B154" i="11"/>
  <c r="B153" i="11"/>
  <c r="B152" i="11"/>
  <c r="B151" i="11"/>
  <c r="B150" i="11"/>
  <c r="B149" i="11"/>
  <c r="B148" i="11"/>
  <c r="B147" i="11"/>
  <c r="B146" i="11"/>
  <c r="B145" i="11"/>
  <c r="B144" i="11"/>
  <c r="B143" i="11"/>
  <c r="B142" i="11"/>
  <c r="B141" i="11"/>
  <c r="B140" i="11"/>
  <c r="B139" i="11"/>
  <c r="B138" i="11"/>
  <c r="B137" i="11"/>
  <c r="B136" i="11"/>
  <c r="B135" i="11"/>
  <c r="B134" i="11"/>
  <c r="B133" i="11"/>
  <c r="B132" i="11"/>
  <c r="B131" i="11"/>
  <c r="B130" i="11"/>
  <c r="B129" i="11"/>
  <c r="B128" i="11"/>
  <c r="B127" i="11"/>
  <c r="B126" i="11"/>
  <c r="B125" i="11"/>
  <c r="B124" i="11"/>
  <c r="B123" i="11"/>
  <c r="B122" i="11"/>
  <c r="B120" i="11"/>
  <c r="B119" i="11"/>
  <c r="B118" i="11"/>
  <c r="B117" i="11"/>
  <c r="B116" i="11"/>
  <c r="B115" i="11"/>
  <c r="B114" i="11"/>
  <c r="B111" i="11"/>
  <c r="B110" i="11"/>
  <c r="B109" i="11"/>
  <c r="B108" i="1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65" i="11"/>
  <c r="B64" i="11"/>
  <c r="B63" i="11"/>
  <c r="B62" i="11"/>
  <c r="B61" i="11"/>
  <c r="B60" i="11"/>
  <c r="B59" i="11"/>
  <c r="B58"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186" i="12"/>
  <c r="B185" i="12"/>
  <c r="B184" i="12"/>
  <c r="B183" i="12"/>
  <c r="B182" i="12"/>
  <c r="B181" i="12"/>
  <c r="B180" i="12"/>
  <c r="B179" i="12"/>
  <c r="B178" i="12"/>
  <c r="B177" i="12"/>
  <c r="B176" i="12"/>
  <c r="B175" i="12"/>
  <c r="B174" i="12"/>
  <c r="B173" i="12"/>
  <c r="B172" i="12"/>
  <c r="B171" i="12"/>
  <c r="B170" i="12"/>
  <c r="B169" i="12"/>
  <c r="B168" i="12"/>
  <c r="B167" i="12"/>
  <c r="B166" i="12"/>
  <c r="B165" i="12"/>
  <c r="B164" i="12"/>
  <c r="B163" i="12"/>
  <c r="B162" i="12"/>
  <c r="B161" i="12"/>
  <c r="B160" i="12"/>
  <c r="B159" i="12"/>
  <c r="B158" i="12"/>
  <c r="B157" i="12"/>
  <c r="B156" i="12"/>
  <c r="B155" i="12"/>
  <c r="B154" i="12"/>
  <c r="B153" i="12"/>
  <c r="B152" i="12"/>
  <c r="B151" i="12"/>
  <c r="B150" i="12"/>
  <c r="B149" i="12"/>
  <c r="B148" i="12"/>
  <c r="B147" i="12"/>
  <c r="B146" i="12"/>
  <c r="B145" i="12"/>
  <c r="B144" i="12"/>
  <c r="B143" i="12"/>
  <c r="B142" i="12"/>
  <c r="B141" i="12"/>
  <c r="B140" i="12"/>
  <c r="B139" i="12"/>
  <c r="B138" i="12"/>
  <c r="B137" i="12"/>
  <c r="B136" i="12"/>
  <c r="B135" i="12"/>
  <c r="B134" i="12"/>
  <c r="B133" i="12"/>
  <c r="B132" i="12"/>
  <c r="B131" i="12"/>
  <c r="B130" i="12"/>
  <c r="B128" i="12"/>
  <c r="B127" i="12"/>
  <c r="B126" i="12"/>
  <c r="B125" i="12"/>
  <c r="B124" i="12"/>
  <c r="B123" i="12"/>
  <c r="B122" i="12"/>
  <c r="B119" i="12"/>
  <c r="B118" i="12"/>
  <c r="B117" i="12"/>
  <c r="B116" i="12"/>
  <c r="B115" i="12"/>
  <c r="B114" i="12"/>
  <c r="B113" i="12"/>
  <c r="B112" i="12"/>
  <c r="B111" i="12"/>
  <c r="B110" i="12"/>
  <c r="B109" i="12"/>
  <c r="B108" i="12"/>
  <c r="B107" i="12"/>
  <c r="B106" i="12"/>
  <c r="B105" i="12"/>
  <c r="B104" i="12"/>
  <c r="B103" i="12"/>
  <c r="B102" i="12"/>
  <c r="B101" i="12"/>
  <c r="B100" i="12"/>
  <c r="B99" i="12"/>
  <c r="B98" i="12"/>
  <c r="B97" i="12"/>
  <c r="B96" i="12"/>
  <c r="B95" i="12"/>
  <c r="B94" i="12"/>
  <c r="B93" i="12"/>
  <c r="B92" i="12"/>
  <c r="B91" i="12"/>
  <c r="B90" i="12"/>
  <c r="B89" i="12"/>
  <c r="B88" i="12"/>
  <c r="B87" i="12"/>
  <c r="B86" i="12"/>
  <c r="B85" i="12"/>
  <c r="B84" i="12"/>
  <c r="B83" i="12"/>
  <c r="B82" i="12"/>
  <c r="B81" i="12"/>
  <c r="B80" i="12"/>
  <c r="B79" i="12"/>
  <c r="B78" i="12"/>
  <c r="B77" i="12"/>
  <c r="B76" i="12"/>
  <c r="B75" i="12"/>
  <c r="B74" i="12"/>
  <c r="B73" i="12"/>
  <c r="B72" i="12"/>
  <c r="B71" i="12"/>
  <c r="B70" i="12"/>
  <c r="B69" i="12"/>
  <c r="B68" i="12"/>
  <c r="B67" i="12"/>
  <c r="B66" i="12"/>
  <c r="B65" i="12"/>
  <c r="B64" i="12"/>
  <c r="B63" i="12"/>
  <c r="B62" i="12"/>
  <c r="B61" i="12"/>
  <c r="B60" i="12"/>
  <c r="B59" i="12"/>
  <c r="B58" i="12"/>
  <c r="B56" i="12"/>
  <c r="B55" i="12"/>
  <c r="B54" i="12"/>
  <c r="B53" i="12"/>
  <c r="B52" i="12"/>
  <c r="B51" i="12"/>
  <c r="B50" i="12"/>
  <c r="B49" i="12"/>
  <c r="B48" i="12"/>
  <c r="B47" i="12"/>
  <c r="B46" i="12"/>
  <c r="B45" i="12"/>
  <c r="B44" i="12"/>
  <c r="B43" i="12"/>
  <c r="B42" i="12"/>
  <c r="B41" i="12"/>
  <c r="B40" i="12"/>
  <c r="B39" i="12"/>
  <c r="B38" i="12"/>
  <c r="B37" i="12"/>
  <c r="B36" i="12"/>
  <c r="B35" i="12"/>
  <c r="B34" i="12"/>
  <c r="B33" i="12"/>
  <c r="B32" i="12"/>
  <c r="B31" i="12"/>
  <c r="B30" i="12"/>
  <c r="B29" i="12"/>
  <c r="B28" i="12"/>
  <c r="B27" i="12"/>
  <c r="B26" i="12"/>
  <c r="B25" i="12"/>
  <c r="B24" i="12"/>
  <c r="B23" i="12"/>
  <c r="B22" i="12"/>
  <c r="B21" i="12"/>
  <c r="B20" i="12"/>
  <c r="B19" i="12"/>
  <c r="B18" i="12"/>
  <c r="B17" i="12"/>
  <c r="B16" i="12"/>
  <c r="B15" i="12"/>
  <c r="B14" i="12"/>
  <c r="B13" i="12"/>
  <c r="B12" i="12"/>
  <c r="B11" i="12"/>
  <c r="B10" i="12"/>
  <c r="B9" i="12"/>
  <c r="B8" i="12"/>
  <c r="B7" i="12"/>
  <c r="B6" i="12"/>
  <c r="B5" i="12"/>
  <c r="B4" i="12"/>
  <c r="B3" i="12"/>
  <c r="B182" i="4"/>
  <c r="B183" i="4"/>
  <c r="B184" i="4"/>
  <c r="B185" i="4"/>
  <c r="B186" i="4"/>
  <c r="B187" i="4"/>
  <c r="B188" i="4"/>
  <c r="B189" i="4"/>
  <c r="B190" i="4"/>
  <c r="B191" i="4"/>
  <c r="B192" i="4"/>
  <c r="B99" i="4"/>
  <c r="B96" i="4"/>
  <c r="B101" i="4"/>
  <c r="B100" i="4"/>
  <c r="B86" i="4"/>
  <c r="B85" i="4"/>
  <c r="B117" i="4"/>
  <c r="B128" i="4"/>
  <c r="B124" i="4"/>
  <c r="B125" i="4"/>
  <c r="B126" i="4"/>
  <c r="B123" i="4"/>
  <c r="B63" i="4"/>
  <c r="B62" i="4"/>
  <c r="B61" i="4"/>
  <c r="B60" i="4"/>
  <c r="B58" i="4"/>
  <c r="B57" i="4"/>
  <c r="B56" i="4"/>
  <c r="B50" i="4"/>
  <c r="B49" i="4"/>
  <c r="B46" i="4"/>
  <c r="B38" i="4"/>
  <c r="B39" i="4"/>
  <c r="B40" i="4"/>
  <c r="B35" i="4"/>
  <c r="B36" i="4"/>
  <c r="B37" i="4"/>
  <c r="B34" i="4"/>
  <c r="B33" i="4"/>
  <c r="B32" i="4"/>
  <c r="B31" i="4"/>
  <c r="B24" i="4"/>
  <c r="B25" i="4"/>
  <c r="B26" i="4"/>
  <c r="B23" i="4"/>
  <c r="B19" i="4"/>
  <c r="B20" i="4"/>
  <c r="B21" i="4"/>
  <c r="B22" i="4"/>
  <c r="B15" i="4"/>
  <c r="B16" i="4"/>
  <c r="B17" i="4"/>
  <c r="B18" i="4"/>
  <c r="B14" i="4"/>
  <c r="B13" i="4"/>
  <c r="B12" i="4"/>
  <c r="B11" i="4"/>
  <c r="B8" i="4"/>
  <c r="B9" i="4"/>
  <c r="B10" i="4"/>
  <c r="B7" i="4"/>
  <c r="B6" i="4"/>
  <c r="B3" i="4"/>
  <c r="B4" i="4"/>
  <c r="B5" i="4"/>
  <c r="B27" i="13"/>
  <c r="B26" i="13"/>
  <c r="B23" i="13"/>
  <c r="B22" i="13"/>
  <c r="B25" i="13"/>
  <c r="B24" i="13"/>
  <c r="B21" i="13"/>
  <c r="B20" i="13"/>
  <c r="B19" i="13"/>
  <c r="B18" i="13"/>
  <c r="B177" i="4"/>
  <c r="B166" i="4"/>
  <c r="B167" i="4"/>
  <c r="B168" i="4"/>
  <c r="B169" i="4"/>
  <c r="B170" i="4"/>
  <c r="B171" i="4"/>
  <c r="B172" i="4"/>
  <c r="B173" i="4"/>
  <c r="B174" i="4"/>
  <c r="B175" i="4"/>
  <c r="B176" i="4"/>
  <c r="B24" i="14"/>
  <c r="B154" i="4" s="1"/>
  <c r="B161" i="4"/>
  <c r="B160" i="4"/>
  <c r="B144" i="4"/>
  <c r="B145" i="4"/>
  <c r="B136" i="4"/>
  <c r="B137" i="4"/>
  <c r="B138" i="4"/>
  <c r="B139" i="4"/>
  <c r="B140" i="4"/>
  <c r="B141" i="4"/>
  <c r="B142" i="4"/>
  <c r="B143" i="4"/>
  <c r="B135" i="4"/>
  <c r="B131" i="4"/>
  <c r="B132" i="4"/>
  <c r="B133" i="4"/>
  <c r="B134" i="4"/>
  <c r="B130" i="4"/>
  <c r="B129" i="4"/>
  <c r="B29" i="4"/>
  <c r="B28" i="4"/>
  <c r="B102" i="4"/>
  <c r="B97" i="4"/>
  <c r="B98" i="4"/>
  <c r="B95" i="4"/>
  <c r="B105" i="4"/>
  <c r="B106" i="4"/>
  <c r="B107" i="4"/>
  <c r="B108" i="4"/>
  <c r="B109" i="4"/>
  <c r="B110" i="4"/>
  <c r="B111" i="4"/>
  <c r="B112" i="4"/>
  <c r="B113" i="4"/>
  <c r="B114" i="4"/>
  <c r="B115" i="4"/>
  <c r="B116" i="4"/>
  <c r="B104" i="4"/>
  <c r="B103" i="4"/>
  <c r="B84" i="4"/>
  <c r="B78" i="4"/>
  <c r="B79" i="4"/>
  <c r="B75" i="4"/>
  <c r="B74" i="4"/>
  <c r="B71" i="4"/>
  <c r="B70" i="4"/>
  <c r="B69" i="4"/>
  <c r="B68" i="4"/>
  <c r="B67" i="4"/>
  <c r="B66" i="4"/>
  <c r="B65" i="4"/>
  <c r="B64" i="4"/>
  <c r="B5" i="10"/>
  <c r="B21" i="14"/>
  <c r="B27" i="14"/>
  <c r="B26" i="14"/>
  <c r="B20" i="14"/>
  <c r="B23" i="14"/>
  <c r="B92" i="4" s="1"/>
  <c r="B22" i="14"/>
  <c r="B91" i="4" s="1"/>
  <c r="B16" i="14"/>
  <c r="B87" i="4" s="1"/>
  <c r="B14" i="14"/>
  <c r="B83" i="4" s="1"/>
  <c r="B13" i="14"/>
  <c r="B82" i="4" s="1"/>
  <c r="B12" i="14"/>
  <c r="B81" i="4" s="1"/>
  <c r="B11" i="14"/>
  <c r="B80" i="4" s="1"/>
  <c r="B8" i="14"/>
  <c r="B77" i="4" s="1"/>
  <c r="B7" i="14"/>
  <c r="B76" i="4" s="1"/>
  <c r="B18" i="14"/>
  <c r="B89" i="4" s="1"/>
  <c r="B25" i="14"/>
  <c r="B94" i="4" s="1"/>
  <c r="B19" i="14"/>
  <c r="B90" i="4" s="1"/>
  <c r="B17" i="14"/>
  <c r="B88" i="4" s="1"/>
  <c r="B121" i="4"/>
  <c r="B4" i="14"/>
  <c r="B73" i="4" s="1"/>
  <c r="B3" i="14"/>
  <c r="B72" i="4" s="1"/>
  <c r="B39" i="14"/>
  <c r="B38" i="14"/>
  <c r="B157" i="4" l="1"/>
  <c r="B150" i="4"/>
  <c r="B159" i="4"/>
  <c r="B146" i="4"/>
  <c r="B156" i="4"/>
  <c r="B155" i="4"/>
  <c r="B162" i="4"/>
  <c r="B163" i="4"/>
  <c r="B151" i="4"/>
  <c r="B164" i="4"/>
  <c r="B148" i="4"/>
  <c r="B152" i="4"/>
  <c r="B147" i="4"/>
  <c r="B165" i="4"/>
  <c r="B149" i="4"/>
  <c r="B153" i="4"/>
  <c r="B158" i="4"/>
  <c r="B93" i="4"/>
  <c r="D79" i="3"/>
  <c r="D78" i="3"/>
  <c r="D77" i="3"/>
  <c r="D76" i="3"/>
  <c r="D27" i="3"/>
  <c r="D26" i="3"/>
  <c r="D14" i="3"/>
  <c r="D13" i="3"/>
  <c r="B43" i="4" l="1"/>
  <c r="B42" i="4"/>
  <c r="B122" i="4"/>
  <c r="B120" i="4"/>
  <c r="B55" i="4"/>
  <c r="B54" i="4"/>
  <c r="B53" i="4"/>
  <c r="B52" i="4"/>
  <c r="B51" i="4"/>
  <c r="B47" i="4"/>
  <c r="B48" i="4"/>
  <c r="B45" i="4"/>
  <c r="B41" i="4"/>
  <c r="B30" i="4"/>
  <c r="B27" i="4"/>
  <c r="B44" i="4"/>
  <c r="B2" i="10" l="1"/>
  <c r="B4" i="10"/>
  <c r="D72" i="3"/>
  <c r="D71" i="3"/>
  <c r="D61" i="3"/>
  <c r="D60" i="3"/>
  <c r="D69" i="3"/>
  <c r="D68" i="3"/>
  <c r="D67" i="3"/>
  <c r="D66" i="3"/>
  <c r="D58" i="3"/>
  <c r="D57" i="3"/>
  <c r="D56" i="3"/>
  <c r="D55" i="3"/>
  <c r="D48" i="3"/>
  <c r="D47" i="3"/>
  <c r="D46" i="3"/>
  <c r="D45" i="3"/>
  <c r="D43" i="3"/>
  <c r="D42" i="3"/>
  <c r="D39" i="3"/>
  <c r="D38" i="3"/>
  <c r="D37" i="3"/>
  <c r="D36" i="3"/>
  <c r="D34" i="3"/>
  <c r="D33" i="3"/>
  <c r="D25" i="3"/>
  <c r="D24" i="3"/>
  <c r="D23" i="3"/>
  <c r="D22" i="3"/>
  <c r="D21" i="3"/>
  <c r="D20" i="3"/>
  <c r="D19" i="3"/>
  <c r="D18" i="3"/>
  <c r="D17" i="3"/>
  <c r="D16" i="3"/>
  <c r="D12" i="3"/>
  <c r="D11" i="3"/>
  <c r="D10" i="3"/>
  <c r="D9" i="3"/>
  <c r="D8" i="3"/>
  <c r="D7" i="3"/>
  <c r="D6" i="3"/>
  <c r="D5" i="3"/>
  <c r="D4" i="3"/>
  <c r="D3" i="3"/>
  <c r="B3" i="10"/>
</calcChain>
</file>

<file path=xl/connections.xml><?xml version="1.0" encoding="utf-8"?>
<connections xmlns="http://schemas.openxmlformats.org/spreadsheetml/2006/main">
  <connection id="1" name="Variables" type="6" refreshedVersion="4" background="1" saveData="1">
    <textPr sourceFile="C:\FTP\scripts\Fpod-Build\Variables.csv" tab="0" semicolon="1">
      <textFields count="3">
        <textField type="text"/>
        <textField/>
        <textField/>
      </textFields>
    </textPr>
  </connection>
  <connection id="2" name="Variables1" type="6" refreshedVersion="4" background="1" saveData="1">
    <textPr sourceFile="C:\FTP\scripts\Fpod-Build\Variables.csv" tab="0" semicolon="1">
      <textFields count="3">
        <textField type="text"/>
        <textField/>
        <textField/>
      </textFields>
    </textPr>
  </connection>
  <connection id="3" name="Variables11" type="6" refreshedVersion="4" background="1" saveData="1">
    <textPr sourceFile="C:\FTP\scripts\Fpod-Build\Variables.csv" tab="0" semicolon="1">
      <textFields count="3">
        <textField type="text"/>
        <textField/>
        <textField/>
      </textFields>
    </textPr>
  </connection>
</connections>
</file>

<file path=xl/sharedStrings.xml><?xml version="1.0" encoding="utf-8"?>
<sst xmlns="http://schemas.openxmlformats.org/spreadsheetml/2006/main" count="2087" uniqueCount="1089">
  <si>
    <t>UCSM Mgmt VIP</t>
  </si>
  <si>
    <t>Virtual IP of the UCSM System</t>
  </si>
  <si>
    <t>UCSM Mgmt IP Pool Start</t>
  </si>
  <si>
    <t>Starting IP Address of the Mgmt IP Pool</t>
  </si>
  <si>
    <t>UCSM Mgmt IP Pool Finish</t>
  </si>
  <si>
    <t>Last IP Address of the Mgmt IP Pool</t>
  </si>
  <si>
    <t>UCSM Mgmt IP Subnet Mask</t>
  </si>
  <si>
    <t>Mgmt IP Pool Subnet Mask</t>
  </si>
  <si>
    <t>UCSM Mgmt IP Gateway</t>
  </si>
  <si>
    <t>Mgmt IP Pool Gateway Address</t>
  </si>
  <si>
    <t>Site ID Code</t>
  </si>
  <si>
    <t>Single HEX digit that corrisponds to the site ID, such as 1 or A</t>
  </si>
  <si>
    <t>Site Description</t>
  </si>
  <si>
    <t>Pod ID</t>
  </si>
  <si>
    <t>Description of the Site of the Pod</t>
  </si>
  <si>
    <t>Single HEX digit that corrisponds to the pod ID, such as 1 or 2</t>
  </si>
  <si>
    <t>Pod Description</t>
  </si>
  <si>
    <t>Description of the Pod</t>
  </si>
  <si>
    <t>UCSM Default Username</t>
  </si>
  <si>
    <t>Username for the UCSM for Build purposes</t>
  </si>
  <si>
    <t>UCSM Default Password</t>
  </si>
  <si>
    <t>Password for the default Username for Build</t>
  </si>
  <si>
    <t>Organization Name</t>
  </si>
  <si>
    <t>High Level UCS Config</t>
  </si>
  <si>
    <t>VSAN A ID</t>
  </si>
  <si>
    <t>VSAN B ID</t>
  </si>
  <si>
    <t>VSAN A Name</t>
  </si>
  <si>
    <t>VSAN B Name</t>
  </si>
  <si>
    <t>FCoE VLAN A ID</t>
  </si>
  <si>
    <t>FCoE VLAN B ID</t>
  </si>
  <si>
    <t>UCS Pools and Policies</t>
  </si>
  <si>
    <t>WWNN Pool Starting Address (20:21:00:25:B5:00:00:01)</t>
  </si>
  <si>
    <t>WWNN Pool Ending Address</t>
  </si>
  <si>
    <t>VLANs</t>
  </si>
  <si>
    <t>ESXi Management VLAN Name</t>
  </si>
  <si>
    <t>ESXi Management VLAN ID</t>
  </si>
  <si>
    <t>ESXi vMotion VLAN ID</t>
  </si>
  <si>
    <t>ESXi vMotion VLAN Name</t>
  </si>
  <si>
    <t>ESXi Storage VLAN Name</t>
  </si>
  <si>
    <t>ESXi Storage Access VLAN Name</t>
  </si>
  <si>
    <t>ESXi Storage VLAN ID</t>
  </si>
  <si>
    <t>ESXi Storage Access VLAN ID</t>
  </si>
  <si>
    <t>ESXi VM VLAN #1 Name</t>
  </si>
  <si>
    <t>ESXi VM Client VLAN #1 Name</t>
  </si>
  <si>
    <t>ESXi VM VLAN #1 ID</t>
  </si>
  <si>
    <t>ESXi VM Client VLAN #1 ID</t>
  </si>
  <si>
    <t>Templates</t>
  </si>
  <si>
    <t>MAC Pool ESXi Mgmt ID</t>
  </si>
  <si>
    <t>MAC Pool vMotion ID</t>
  </si>
  <si>
    <t>Fabric A MAC Address Pool vMotion Start (00:25:B5:11:01:XX)</t>
  </si>
  <si>
    <t>MAC Pool Storage Access ID</t>
  </si>
  <si>
    <t>MAC Pool VM Traffic #1 ID</t>
  </si>
  <si>
    <t>MAC Pool Identifier Code for Storage Access(00:25:B5:11:XX:00)</t>
  </si>
  <si>
    <t>MAC Pool Identifier Code for vMotion (00:25:B5:11:XX:00)</t>
  </si>
  <si>
    <t>MAC Pool Identifier Code for ESXi Mgmt (00:25:B5:11:XX:00)</t>
  </si>
  <si>
    <t>MAC Address Pool ESXi Mgmt Start (00:25:B5:11:01:XX)</t>
  </si>
  <si>
    <t>MAC Address Pool Storage Access Start (00:25:B5:11:01:XX)</t>
  </si>
  <si>
    <t>MAC Pool Identifier Code for VM Traffic (00:25:B5:11:XX:00)</t>
  </si>
  <si>
    <t>MAC Address Pool VM Traffic Start (00:25:B5:11:01:XX)</t>
  </si>
  <si>
    <t>Fabric A vNIC Template Name for ESXi Mgmt</t>
  </si>
  <si>
    <t>Fabric A ESXi Management vNIC Template Name</t>
  </si>
  <si>
    <t>Fabric A vMotion vNIC Template Name</t>
  </si>
  <si>
    <t>Fabric A vNIC Template Name for vMotion</t>
  </si>
  <si>
    <t>Fabric A Storage Access vNIC Template Name</t>
  </si>
  <si>
    <t>Fabric A vNIC Template Name for Storage Access</t>
  </si>
  <si>
    <t>Fabric A VM Traffic vNIC Template Name</t>
  </si>
  <si>
    <t>Fabric A vNIC Template Name for VM Traffic</t>
  </si>
  <si>
    <t>Fabric B ESXi Management vNIC Template Name</t>
  </si>
  <si>
    <t>Fabric B vMotion vNIC Template Name</t>
  </si>
  <si>
    <t>Fabric B Storage Access vNIC Template Name</t>
  </si>
  <si>
    <t>Fabric B VM Traffic vNIC Template Name</t>
  </si>
  <si>
    <t>Fabric B vNIC Template Name for ESXi Mgmt</t>
  </si>
  <si>
    <t>Fabric B vNIC Template Name for vMotion</t>
  </si>
  <si>
    <t>Fabric B vNIC Template Name for Storage Access</t>
  </si>
  <si>
    <t>Fabric B vNIC Template Name for VM Traffic</t>
  </si>
  <si>
    <t>Fabric A vHBA Template Name</t>
  </si>
  <si>
    <t>Fabric B vHBA Template Name</t>
  </si>
  <si>
    <t>Service Profile Template Name</t>
  </si>
  <si>
    <t>Service Profile Prefix for ESXi Hosts</t>
  </si>
  <si>
    <t>Prefix for ESXi Service Profiles (ESXi_</t>
  </si>
  <si>
    <t>Test</t>
  </si>
  <si>
    <t>255.255.255.0</t>
  </si>
  <si>
    <t>172.26.56.220</t>
  </si>
  <si>
    <t>172.26.56.201</t>
  </si>
  <si>
    <t>172.26.56.1</t>
  </si>
  <si>
    <t>admin</t>
  </si>
  <si>
    <t>test</t>
  </si>
  <si>
    <t>172.26.56.20</t>
  </si>
  <si>
    <t>172.26.56.10</t>
  </si>
  <si>
    <t>Mgmt</t>
  </si>
  <si>
    <t>vMotion</t>
  </si>
  <si>
    <t>NFS</t>
  </si>
  <si>
    <t>Server</t>
  </si>
  <si>
    <t>ESXi_A</t>
  </si>
  <si>
    <t>vMotion_A</t>
  </si>
  <si>
    <t>NFS_A</t>
  </si>
  <si>
    <t>VM_A</t>
  </si>
  <si>
    <t>ESXi_B</t>
  </si>
  <si>
    <t>vMotion_B</t>
  </si>
  <si>
    <t>NFS_B</t>
  </si>
  <si>
    <t>VM_B</t>
  </si>
  <si>
    <t>ESXi_</t>
  </si>
  <si>
    <t>POD1</t>
  </si>
  <si>
    <t>172.26.56.5</t>
  </si>
  <si>
    <t>UUID Pool Name</t>
  </si>
  <si>
    <t>Pool1</t>
  </si>
  <si>
    <t>MAC Pool VM Traffic #1 Name</t>
  </si>
  <si>
    <t>MAC Pool Storage Access Name</t>
  </si>
  <si>
    <t>MAC Pool vMotion Name</t>
  </si>
  <si>
    <t>MAC Pool ESXi Mgmt Name</t>
  </si>
  <si>
    <t>ESXi_Mgmt</t>
  </si>
  <si>
    <t>VM</t>
  </si>
  <si>
    <t>02</t>
  </si>
  <si>
    <t>03</t>
  </si>
  <si>
    <t>04</t>
  </si>
  <si>
    <t>01</t>
  </si>
  <si>
    <t>FAB</t>
  </si>
  <si>
    <t>FAB_A</t>
  </si>
  <si>
    <t>FAB_B</t>
  </si>
  <si>
    <t>WWNN_Pool</t>
  </si>
  <si>
    <t>WWPN Pool Name</t>
  </si>
  <si>
    <t>WWNN Pool Name</t>
  </si>
  <si>
    <t>Local Device</t>
  </si>
  <si>
    <t>Local Port</t>
  </si>
  <si>
    <t>Connection</t>
  </si>
  <si>
    <t>Remote Device</t>
  </si>
  <si>
    <t>Remote Port</t>
  </si>
  <si>
    <t>Cisco Nexus 5548 A</t>
  </si>
  <si>
    <t>Eth1/1</t>
  </si>
  <si>
    <t>10GbE or FCoE</t>
  </si>
  <si>
    <t>NetApp Controller A</t>
  </si>
  <si>
    <t>e2a</t>
  </si>
  <si>
    <t>Eth1/2</t>
  </si>
  <si>
    <t>NetApp Controller B</t>
  </si>
  <si>
    <t>10GbE</t>
  </si>
  <si>
    <t>Cisco UCS Fabric Interconnect A</t>
  </si>
  <si>
    <t>Cisco UCS Fabric Interconnect B</t>
  </si>
  <si>
    <t>MGMT0</t>
  </si>
  <si>
    <t>100MbE</t>
  </si>
  <si>
    <t>100MbE Management Switch</t>
  </si>
  <si>
    <t>Any</t>
  </si>
  <si>
    <r>
      <t>Cisco Nexus</t>
    </r>
    <r>
      <rPr>
        <vertAlign val="superscript"/>
        <sz val="8"/>
        <color rgb="FF000000"/>
        <rFont val="Arial"/>
        <family val="2"/>
      </rPr>
      <t> </t>
    </r>
    <r>
      <rPr>
        <sz val="8"/>
        <color rgb="FF000000"/>
        <rFont val="Arial"/>
        <family val="2"/>
      </rPr>
      <t>5548 B</t>
    </r>
  </si>
  <si>
    <t>e0M</t>
  </si>
  <si>
    <t>e0P</t>
  </si>
  <si>
    <t>1GbE</t>
  </si>
  <si>
    <t>SAS shelves</t>
  </si>
  <si>
    <t>ACP port</t>
  </si>
  <si>
    <t>Nexus 5548 A</t>
  </si>
  <si>
    <t>Nexus 5548 B</t>
  </si>
  <si>
    <t>Cisco UCS Fabric Interconnect</t>
  </si>
  <si>
    <t>10GbE/FCoE</t>
  </si>
  <si>
    <t>port 1</t>
  </si>
  <si>
    <t>port 2</t>
  </si>
  <si>
    <t>Eth1/3</t>
  </si>
  <si>
    <t>Eth1/4</t>
  </si>
  <si>
    <t>L1</t>
  </si>
  <si>
    <t>UCS Fabric Interconnect B</t>
  </si>
  <si>
    <t>L2</t>
  </si>
  <si>
    <t>UCS Fabric Interconnect A</t>
  </si>
  <si>
    <t>Name</t>
  </si>
  <si>
    <t>VSAN-A</t>
  </si>
  <si>
    <t>VSAN-B</t>
  </si>
  <si>
    <t>Variable</t>
  </si>
  <si>
    <t>Description</t>
  </si>
  <si>
    <t>Customer Implementation Value</t>
  </si>
  <si>
    <t>Out-of-band management IP for cluster node 01</t>
  </si>
  <si>
    <t>Out-of-band management network netmask</t>
  </si>
  <si>
    <t>Out-of-band management network default gateway</t>
  </si>
  <si>
    <t>Number of disks to assign to each storage controller</t>
  </si>
  <si>
    <t>Out-of-band management IP for cluster node 02</t>
  </si>
  <si>
    <t>Storage cluster host name</t>
  </si>
  <si>
    <t>Cluster base license key</t>
  </si>
  <si>
    <t>Global default administrative password</t>
  </si>
  <si>
    <t>In-band management IP for the storage cluster</t>
  </si>
  <si>
    <t xml:space="preserve">In-band management network netmask </t>
  </si>
  <si>
    <t>In-band management network default gateway</t>
  </si>
  <si>
    <t>DNS domain name</t>
  </si>
  <si>
    <t>DNS server IP(s)</t>
  </si>
  <si>
    <t>Node location string for each node</t>
  </si>
  <si>
    <t>Cluster node 01 host name</t>
  </si>
  <si>
    <t>Cluster node 02 host name</t>
  </si>
  <si>
    <t>RAID group size for each node</t>
  </si>
  <si>
    <t>Number of disks to assign to each storage data aggregate</t>
  </si>
  <si>
    <t>Out-of-band cluster node 01 service processor management IP</t>
  </si>
  <si>
    <t>Out-of-band cluster node 02 device processor management IP</t>
  </si>
  <si>
    <t>FlexPod time zone (for example, America/New_York)</t>
  </si>
  <si>
    <t>NTP server IP address</t>
  </si>
  <si>
    <t>Administrator e-mail address</t>
  </si>
  <si>
    <t>Cluster location string</t>
  </si>
  <si>
    <t>VSC or OnCommand virtual machine fully qualified domain name (FQDN)</t>
  </si>
  <si>
    <t>Storage cluster SNMP v1/v2 community name</t>
  </si>
  <si>
    <t>Mail server host name</t>
  </si>
  <si>
    <t>Infrastructure Vserver FQDN</t>
  </si>
  <si>
    <t>Two-letter country code</t>
  </si>
  <si>
    <t>State or province name</t>
  </si>
  <si>
    <t>City name</t>
  </si>
  <si>
    <t>Organization or company name</t>
  </si>
  <si>
    <t>Organizational unit name</t>
  </si>
  <si>
    <t>Cluster node 01 FQDN</t>
  </si>
  <si>
    <t>NFS VLAN IP address for each VMware ESXi host</t>
  </si>
  <si>
    <t>Cluster node 01 NFS VLAN IP address</t>
  </si>
  <si>
    <t>Cluster node 02 NFS VLAN IP address</t>
  </si>
  <si>
    <t>NFS VLAN netmask</t>
  </si>
  <si>
    <t>Cisco Nexus A host name</t>
  </si>
  <si>
    <t>Out-of-band Cisco Nexus A management IP address</t>
  </si>
  <si>
    <t>Cisco Nexus B host name</t>
  </si>
  <si>
    <t>Out-of-band Cisco Nexus B management IP address</t>
  </si>
  <si>
    <t>In-band management network VLAN ID</t>
  </si>
  <si>
    <t>Native VLAN ID</t>
  </si>
  <si>
    <t>NFS VLAN ID</t>
  </si>
  <si>
    <t>Cisco Nexus 1000v packet control VLAN ID</t>
  </si>
  <si>
    <t>VMware vMotionÂ® VLAN ID</t>
  </si>
  <si>
    <t>VM traffic VLAN ID</t>
  </si>
  <si>
    <t>Unique Cisco Nexus switch VPC domain ID</t>
  </si>
  <si>
    <t>Cisco Nexus 1110X-1 host name</t>
  </si>
  <si>
    <t>Cisco Nexus 1110X-2 host name</t>
  </si>
  <si>
    <t>Fabric A FCoE VLAN ID</t>
  </si>
  <si>
    <t>Fabric A VSAN ID</t>
  </si>
  <si>
    <t>Fabric B FCoE VLAN ID</t>
  </si>
  <si>
    <t>Fabric B VSAN ID</t>
  </si>
  <si>
    <t>Cisco UCS Manager cluster host name</t>
  </si>
  <si>
    <t>Cisco UCS fabric interconnect (FI) A out-of-band management IP address</t>
  </si>
  <si>
    <t>Cisco UCS Manager cluster IP address</t>
  </si>
  <si>
    <t>Cisco UCS FI B out-of-band management IP address</t>
  </si>
  <si>
    <t>Out-of-band management IP for each Cisco Nexus 1110-X CIMC</t>
  </si>
  <si>
    <t>Unique Cisco Nexus 110-X domain ID</t>
  </si>
  <si>
    <t>Virtual storage appliance (VSA) host name</t>
  </si>
  <si>
    <t>In-band VSA management IP address</t>
  </si>
  <si>
    <t>In-band management network netmask</t>
  </si>
  <si>
    <t>Unique Cisco Nexus 1000v virtual supervisor module (VSM) domain ID</t>
  </si>
  <si>
    <t>Cisco Nexus 1000v VSM management IP address</t>
  </si>
  <si>
    <t>Cisco Nexus 1000v VSM host name</t>
  </si>
  <si>
    <t>Name of node</t>
  </si>
  <si>
    <t>Root aggregate name of Node 01</t>
  </si>
  <si>
    <t>Port for cluster management</t>
  </si>
  <si>
    <t>Domain name</t>
  </si>
  <si>
    <t>IP address of the DNS server</t>
  </si>
  <si>
    <t>Password for VS admin account</t>
  </si>
  <si>
    <t>Management IP address for Vserver</t>
  </si>
  <si>
    <t>Subnet mask for Vserver</t>
  </si>
  <si>
    <t>&lt;&lt;var_rule_index&gt;&gt;</t>
  </si>
  <si>
    <t>Rule index number</t>
  </si>
  <si>
    <t>IP address for FTP server</t>
  </si>
  <si>
    <t>WWPN of FCP_LIF01a</t>
  </si>
  <si>
    <t>WWPN of FCP_LIF02a</t>
  </si>
  <si>
    <t>WWPN of FCP_LIF01b</t>
  </si>
  <si>
    <t>WWPN of FCP_LIF02b</t>
  </si>
  <si>
    <t>Storage cluster FQDN</t>
  </si>
  <si>
    <t>Cluster node 02 FQDN</t>
  </si>
  <si>
    <t>Data ONTAP 8.1.2 URL  format: http://</t>
  </si>
  <si>
    <t>Eth1/14</t>
  </si>
  <si>
    <t>Eth1/13</t>
  </si>
  <si>
    <t>Eth1/32</t>
  </si>
  <si>
    <t>Eth1/31</t>
  </si>
  <si>
    <t>Eth1/20</t>
  </si>
  <si>
    <t>This variable list originates from Cisco documentation on Flexpod Deployment and is filled in via other sheets. DO NOT FILL IN MANUALLY. This sheet is used to generate the input files for the scripts. http://www.cisco.com/en/US/docs/unified_computing/ucs/UCS_CVDs/esxi51_ucsm2_Clusterdeploy.pdf</t>
  </si>
  <si>
    <t>FCoE/FC</t>
  </si>
  <si>
    <t>Eth1/12</t>
  </si>
  <si>
    <t>Eth1/11</t>
  </si>
  <si>
    <t>e3a</t>
  </si>
  <si>
    <t>Eth1/17</t>
  </si>
  <si>
    <t>Eth1/18</t>
  </si>
  <si>
    <t>e1a</t>
  </si>
  <si>
    <t>NetApp Controller A (cluster)</t>
  </si>
  <si>
    <t>NetApp Controller B (cluster)</t>
  </si>
  <si>
    <t>e4a</t>
  </si>
  <si>
    <t>Eth1/19</t>
  </si>
  <si>
    <t>c0a</t>
  </si>
  <si>
    <t>c0b</t>
  </si>
  <si>
    <t>e0a</t>
  </si>
  <si>
    <t>GbE management switch</t>
  </si>
  <si>
    <t>port 3</t>
  </si>
  <si>
    <t>port 4</t>
  </si>
  <si>
    <t>Eth1/15</t>
  </si>
  <si>
    <t>Eth1/16</t>
  </si>
  <si>
    <t>Cisco Nexus 1110-X A</t>
  </si>
  <si>
    <t xml:space="preserve"> 1GbE</t>
  </si>
  <si>
    <t>Cisco Nexus 1110-X B</t>
  </si>
  <si>
    <t>LOM A</t>
  </si>
  <si>
    <t>LOM B</t>
  </si>
  <si>
    <t>Boot from (FCoE, FC, iSCSI)?</t>
  </si>
  <si>
    <t>is there a nexus 1000v appliance</t>
  </si>
  <si>
    <t>FCoE</t>
  </si>
  <si>
    <t>Boot from</t>
  </si>
  <si>
    <t>iSCSI</t>
  </si>
  <si>
    <t>FC</t>
  </si>
  <si>
    <t>Data Ontap Cluster</t>
  </si>
  <si>
    <t>Yes or No</t>
  </si>
  <si>
    <t>Question</t>
  </si>
  <si>
    <t>Answer</t>
  </si>
  <si>
    <t>What protocol will be used to boot from</t>
  </si>
  <si>
    <t>Is there a nexus 1000v appliance</t>
  </si>
  <si>
    <t>Will netapp data ontap cluster be used</t>
  </si>
  <si>
    <t>&lt;&lt;ntap_node01_mgmt_ip&gt;&gt;</t>
  </si>
  <si>
    <t>&lt;&lt;ntap_node01_mgmt_mask&gt;&gt;</t>
  </si>
  <si>
    <t>&lt;&lt;ntap_node01_mgmt_gateway&gt;&gt;</t>
  </si>
  <si>
    <t>&lt;&lt;ntap_url_boot_software&gt;&gt;</t>
  </si>
  <si>
    <t>&lt;&lt;ntap_#_of_disks&gt;&gt;</t>
  </si>
  <si>
    <t>&lt;&lt;ntap_node02_mgmt_ip&gt;&gt;</t>
  </si>
  <si>
    <t>&lt;&lt;ntap_node02_mgmt_mask&gt;&gt;</t>
  </si>
  <si>
    <t>&lt;&lt;ntap_node02_mgmt_gateway&gt;&gt;</t>
  </si>
  <si>
    <t>&lt;&lt;ntap_clustername&gt;&gt;</t>
  </si>
  <si>
    <t>&lt;&lt;ntap_cluster_base_license_key&gt;&gt;</t>
  </si>
  <si>
    <t>&lt;&lt;ntap_password&gt;&gt;</t>
  </si>
  <si>
    <t>&lt;&lt;ntap_clustermgmt_ip&gt;&gt;</t>
  </si>
  <si>
    <t>&lt;&lt;ntap_clustermgmt_mask&gt;&gt;</t>
  </si>
  <si>
    <t>&lt;&lt;ntap_clustermgmt_gateway&gt;&gt;</t>
  </si>
  <si>
    <t>&lt;&lt;global_dns_domain_name&gt;&gt;</t>
  </si>
  <si>
    <t>&lt;&lt;global_node_location&gt;&gt;</t>
  </si>
  <si>
    <t>&lt;&lt;ntap_node01&gt;&gt;</t>
  </si>
  <si>
    <t>&lt;&lt;ntap_node02&gt;&gt;</t>
  </si>
  <si>
    <t>&lt;&lt;ntap_raidsize&gt;&gt;</t>
  </si>
  <si>
    <t>&lt;&lt;ntap_num_disks&gt;&gt;</t>
  </si>
  <si>
    <t>&lt;&lt;ntap_node01_sp_ip&gt;&gt;</t>
  </si>
  <si>
    <t>&lt;&lt;ntap_node01_sp_mask&gt;&gt;</t>
  </si>
  <si>
    <t>&lt;&lt;ntap_node01_sp_gateway&gt;&gt;</t>
  </si>
  <si>
    <t>&lt;&lt;ntap_node02_sp_ip&gt;&gt;</t>
  </si>
  <si>
    <t>&lt;&lt;ntap_node02_sp_mask&gt;&gt;</t>
  </si>
  <si>
    <t>&lt;&lt;ntap_node02_sp_gateway&gt;&gt;</t>
  </si>
  <si>
    <t>&lt;&lt;global_snmp_contact&gt;&gt;</t>
  </si>
  <si>
    <t>&lt;&lt;global_snmp_location&gt;&gt;</t>
  </si>
  <si>
    <t>&lt;&lt;ntap_oncommand_server_fqdn&gt;&gt;</t>
  </si>
  <si>
    <t>&lt;&lt;global_snmp_community&gt;&gt;</t>
  </si>
  <si>
    <t>&lt;&lt;global_mailhost&gt;&gt;</t>
  </si>
  <si>
    <t>&lt;&lt;ntap_storage_admin_email&gt;&gt;</t>
  </si>
  <si>
    <t>&lt;&lt;ntap_security_cert_vserver_common_name&gt;&gt;</t>
  </si>
  <si>
    <t>&lt;&lt;global_country_code&gt;&gt;</t>
  </si>
  <si>
    <t>&lt;&lt;global_state&gt;&gt;</t>
  </si>
  <si>
    <t>&lt;&lt;global_city&gt;&gt;</t>
  </si>
  <si>
    <t>&lt;&lt;global_org&gt;&gt;</t>
  </si>
  <si>
    <t>&lt;&lt;global_unit&gt;&gt;</t>
  </si>
  <si>
    <t>&lt;&lt;ntap_security_cert_cluster_common_name&gt;&gt;</t>
  </si>
  <si>
    <t>&lt;&lt;ntap_security_cert_node01_common_name&gt;&gt;</t>
  </si>
  <si>
    <t>&lt;&lt;ntap_security_cert_node02_common_name&gt;&gt;</t>
  </si>
  <si>
    <t>&lt;&lt;ntap_esxi_host1_nfs_ip&gt;&gt;</t>
  </si>
  <si>
    <t>&lt;&lt;ntap_node01_nfs_lif_ip&gt;&gt;</t>
  </si>
  <si>
    <t>&lt;&lt;ntap_node01_nfs_lif_mask&gt;&gt;</t>
  </si>
  <si>
    <t>&lt;&lt;ntap_node02_nfs_lif_ip&gt;&gt;</t>
  </si>
  <si>
    <t>&lt;&lt;ntap_node02_nfs_lif_mask&gt;&gt;</t>
  </si>
  <si>
    <t>&lt;&lt;ucs_clustername&gt;&gt;</t>
  </si>
  <si>
    <t>&lt;&lt;ucs_ucsa_mgmt_ip&gt;&gt;</t>
  </si>
  <si>
    <t>&lt;&lt;ucs_ucsa_mgmt_mask&gt;&gt;</t>
  </si>
  <si>
    <t>&lt;&lt;ucs_ucsa_mgmt_gateway&gt;&gt;</t>
  </si>
  <si>
    <t>&lt;&lt;ucs_ucs_cluster_ip&gt;&gt;</t>
  </si>
  <si>
    <t>&lt;&lt;ucs_ucsb_mgmt_ip&gt;&gt;</t>
  </si>
  <si>
    <t>&lt;&lt;nx1_cimc_mask&gt;&gt;</t>
  </si>
  <si>
    <t>&lt;&lt;nx1_cimc_gateway&gt;&gt;</t>
  </si>
  <si>
    <t>&lt;&lt;nx1_1110x_domain_id&gt;&gt;</t>
  </si>
  <si>
    <t>&lt;&lt;nx1_1110x_vsa&gt;&gt;</t>
  </si>
  <si>
    <t>&lt;&lt;nx1_1110x_vsa_ip&gt;&gt;</t>
  </si>
  <si>
    <t>&lt;&lt;nx1_1110x_vsa_mask&gt;&gt;</t>
  </si>
  <si>
    <t>&lt;&lt;nx1_1110x_vsa_gateway&gt;&gt;</t>
  </si>
  <si>
    <t>&lt;&lt;nx1_vsm_domain_id&gt;&gt;</t>
  </si>
  <si>
    <t>&lt;&lt;nx1_vsm_mgmt_ip&gt;&gt;</t>
  </si>
  <si>
    <t>&lt;&lt;nx1_vsm_mgmt_mask&gt;&gt;</t>
  </si>
  <si>
    <t>&lt;&lt;nx1_vsm_mgmt_gateway&gt;&gt;</t>
  </si>
  <si>
    <t>&lt;&lt;nx1_vsm_hostname&gt;&gt;</t>
  </si>
  <si>
    <t>&lt;&lt;vmw_vcenter_server_ip&gt;&gt;</t>
  </si>
  <si>
    <t>&lt;&lt;ntap_node01_rootaggrname&gt;&gt;</t>
  </si>
  <si>
    <t>&lt;&lt;ntap_clustermgmt_port&gt;&gt;</t>
  </si>
  <si>
    <t>&lt;&lt;global_domain_name&gt;&gt;</t>
  </si>
  <si>
    <t>&lt;&lt;ucs_fcp_lif01a_wwpn&gt;&gt;</t>
  </si>
  <si>
    <t>&lt;&lt;ucs_fcp_lif02a_wwpn&gt;&gt;</t>
  </si>
  <si>
    <t>&lt;&lt;ucs_fcp_lif01b_wwpn&gt;&gt;</t>
  </si>
  <si>
    <t>&lt;&lt;ucs_fcp_lif02b_wwpn&gt;&gt;</t>
  </si>
  <si>
    <t>&lt;&lt;ntap_node01_flexclone_license_key&gt;&gt;</t>
  </si>
  <si>
    <t>&lt;&lt;ntap_node01_fcp_license_key&gt;&gt;</t>
  </si>
  <si>
    <t>&lt;&lt;ntap_node01_iscsi_license_key&gt;&gt;</t>
  </si>
  <si>
    <t>&lt;&lt;ntap_node01_fcoe_license_key&gt;&gt;</t>
  </si>
  <si>
    <t>&lt;&lt;ntap_node01_nfs_license_key&gt;&gt;</t>
  </si>
  <si>
    <t>&lt;&lt;ntap_node02_flexclone_license_key&gt;&gt;</t>
  </si>
  <si>
    <t>&lt;&lt;ntap_node02_fcp_license_key&gt;&gt;</t>
  </si>
  <si>
    <t>&lt;&lt;ntap_node02_iscsi_license_key&gt;&gt;</t>
  </si>
  <si>
    <t>&lt;&lt;ntap_node02_fcoe_license_key&gt;&gt;</t>
  </si>
  <si>
    <t>&lt;&lt;ntap_node02_nfs_license_key&gt;&gt;</t>
  </si>
  <si>
    <t>Node 01 flexclone license key</t>
  </si>
  <si>
    <t>Node 01 fcp license key</t>
  </si>
  <si>
    <t>Node 01 iscsi license key</t>
  </si>
  <si>
    <t>Node 01 fcoe license key</t>
  </si>
  <si>
    <t>Node 01 nfs license key</t>
  </si>
  <si>
    <t>Node 02 flexclone license key</t>
  </si>
  <si>
    <t>Node 02 fcp license key</t>
  </si>
  <si>
    <t>Node 02 iscsi license key</t>
  </si>
  <si>
    <t>Node 02 fcoe license key</t>
  </si>
  <si>
    <t>Node 02 nfs license key</t>
  </si>
  <si>
    <t>&lt;&lt;ans_boot_from&gt;&gt;</t>
  </si>
  <si>
    <t>&lt;&lt;global_timezone&gt;&gt;</t>
  </si>
  <si>
    <t>&lt;&lt;nex_nexus_A_hostname&gt;&gt;</t>
  </si>
  <si>
    <t>&lt;&lt;nex_nexus_A_mgmt0_ip&gt;&gt;</t>
  </si>
  <si>
    <t>&lt;&lt;nex_nexus_A_mgmt0_netmask&gt;&gt;</t>
  </si>
  <si>
    <t>&lt;&lt;nex_nexus_A_mgmt0_gw&gt;&gt;</t>
  </si>
  <si>
    <t>&lt;&lt;nex_nexus_B_hostname&gt;&gt;</t>
  </si>
  <si>
    <t>&lt;&lt;nex_nexus_B_mgmt0_ip&gt;&gt;</t>
  </si>
  <si>
    <t>&lt;&lt;nex_nexus_B_mgmt0_netmask&gt;&gt;</t>
  </si>
  <si>
    <t>&lt;&lt;nex_nexus_B_mgmt0_gw&gt;&gt;</t>
  </si>
  <si>
    <t>&lt;&lt;nex_ib-mgmt_vlan_id&gt;&gt;</t>
  </si>
  <si>
    <t>&lt;&lt;nex_native_vlan_id&gt;&gt;</t>
  </si>
  <si>
    <t>&lt;&lt;nex_nfs_vlan_id&gt;&gt;</t>
  </si>
  <si>
    <t>&lt;&lt;nex_pkt-ctrl_vlan_id&gt;&gt;</t>
  </si>
  <si>
    <t>&lt;&lt;nex_vmotion_vlan_id&gt;&gt;</t>
  </si>
  <si>
    <t>&lt;&lt;nex_vm-traffic_vlan_id&gt;&gt;</t>
  </si>
  <si>
    <t>&lt;&lt;nex_nexus_vpc_domain_id&gt;&gt;</t>
  </si>
  <si>
    <t>&lt;&lt;nex_fabric_a_fcoe_vlan_id&gt;&gt;</t>
  </si>
  <si>
    <t>&lt;&lt;nex_vsan_a_id&gt;&gt;</t>
  </si>
  <si>
    <t>&lt;&lt;nex_fabric_b_fcoe_vlan_id&gt;&gt;</t>
  </si>
  <si>
    <t>&lt;&lt;nex_vsan_b_id&gt;&gt;</t>
  </si>
  <si>
    <t>&lt;&lt;ans_1000v&gt;&gt;</t>
  </si>
  <si>
    <t>&lt;&lt;ans_ntap_cluster&gt;&gt;</t>
  </si>
  <si>
    <t>Organization Unit Name</t>
  </si>
  <si>
    <t>City Name</t>
  </si>
  <si>
    <t>State</t>
  </si>
  <si>
    <t>Two Letter Country code</t>
  </si>
  <si>
    <t>Country Code</t>
  </si>
  <si>
    <t>AD</t>
  </si>
  <si>
    <t>AE</t>
  </si>
  <si>
    <t>AF</t>
  </si>
  <si>
    <t>AG</t>
  </si>
  <si>
    <t>AI</t>
  </si>
  <si>
    <t>AL</t>
  </si>
  <si>
    <t>AM</t>
  </si>
  <si>
    <t>AO</t>
  </si>
  <si>
    <t>AQ</t>
  </si>
  <si>
    <t>Co</t>
  </si>
  <si>
    <t>AR</t>
  </si>
  <si>
    <t>AS</t>
  </si>
  <si>
    <t>AT</t>
  </si>
  <si>
    <t>AU</t>
  </si>
  <si>
    <t>AW</t>
  </si>
  <si>
    <t>AX</t>
  </si>
  <si>
    <t>AZ</t>
  </si>
  <si>
    <t>BA</t>
  </si>
  <si>
    <t>BB</t>
  </si>
  <si>
    <t>BD</t>
  </si>
  <si>
    <t>BE</t>
  </si>
  <si>
    <t>BF</t>
  </si>
  <si>
    <t>Burkina Faso</t>
  </si>
  <si>
    <t>.bf</t>
  </si>
  <si>
    <t>ISO 3166-2:BF</t>
  </si>
  <si>
    <t xml:space="preserve">Name changed from Upper Volta </t>
  </si>
  <si>
    <t>BG</t>
  </si>
  <si>
    <t>BH</t>
  </si>
  <si>
    <t>BI</t>
  </si>
  <si>
    <t>BJ</t>
  </si>
  <si>
    <t>Benin</t>
  </si>
  <si>
    <t>.bj</t>
  </si>
  <si>
    <t>ISO 3166-2:BJ</t>
  </si>
  <si>
    <t xml:space="preserve">Name changed from Dahomey </t>
  </si>
  <si>
    <t>BL</t>
  </si>
  <si>
    <t>BM</t>
  </si>
  <si>
    <t>BN</t>
  </si>
  <si>
    <t>BO</t>
  </si>
  <si>
    <t>BQ</t>
  </si>
  <si>
    <t>Pr</t>
  </si>
  <si>
    <t>BR</t>
  </si>
  <si>
    <t>BS</t>
  </si>
  <si>
    <t>BT</t>
  </si>
  <si>
    <t>BV</t>
  </si>
  <si>
    <t>BW</t>
  </si>
  <si>
    <t>BY</t>
  </si>
  <si>
    <t>BZ</t>
  </si>
  <si>
    <t>CA</t>
  </si>
  <si>
    <t>CC</t>
  </si>
  <si>
    <t>CD</t>
  </si>
  <si>
    <t>CF</t>
  </si>
  <si>
    <t>CG</t>
  </si>
  <si>
    <t>CH</t>
  </si>
  <si>
    <t>CI</t>
  </si>
  <si>
    <t>CK</t>
  </si>
  <si>
    <t>CL</t>
  </si>
  <si>
    <t>CM</t>
  </si>
  <si>
    <t>CN</t>
  </si>
  <si>
    <t>CO</t>
  </si>
  <si>
    <t>CR</t>
  </si>
  <si>
    <t>CU</t>
  </si>
  <si>
    <t>CV</t>
  </si>
  <si>
    <t>CW</t>
  </si>
  <si>
    <t>CX</t>
  </si>
  <si>
    <t>CY</t>
  </si>
  <si>
    <t>CZ</t>
  </si>
  <si>
    <t>DE</t>
  </si>
  <si>
    <t>DJ</t>
  </si>
  <si>
    <t>DK</t>
  </si>
  <si>
    <t>DM</t>
  </si>
  <si>
    <t>DO</t>
  </si>
  <si>
    <t>DZ</t>
  </si>
  <si>
    <t>EC</t>
  </si>
  <si>
    <t>EE</t>
  </si>
  <si>
    <t>EG</t>
  </si>
  <si>
    <t>EH</t>
  </si>
  <si>
    <t>ER</t>
  </si>
  <si>
    <t>ES</t>
  </si>
  <si>
    <t>ET</t>
  </si>
  <si>
    <t>FI</t>
  </si>
  <si>
    <t>FJ</t>
  </si>
  <si>
    <t>FK</t>
  </si>
  <si>
    <t>FM</t>
  </si>
  <si>
    <t>FO</t>
  </si>
  <si>
    <t>FR</t>
  </si>
  <si>
    <t>GA</t>
  </si>
  <si>
    <t>GB</t>
  </si>
  <si>
    <t>(.</t>
  </si>
  <si>
    <t>.u</t>
  </si>
  <si>
    <t>GD</t>
  </si>
  <si>
    <t>GE</t>
  </si>
  <si>
    <t>GF</t>
  </si>
  <si>
    <t>GG</t>
  </si>
  <si>
    <t>GH</t>
  </si>
  <si>
    <t>GI</t>
  </si>
  <si>
    <t>GL</t>
  </si>
  <si>
    <t>GM</t>
  </si>
  <si>
    <t>GN</t>
  </si>
  <si>
    <t>GP</t>
  </si>
  <si>
    <t>GQ</t>
  </si>
  <si>
    <t>GR</t>
  </si>
  <si>
    <t>GS</t>
  </si>
  <si>
    <t>GT</t>
  </si>
  <si>
    <t>GU</t>
  </si>
  <si>
    <t>GW</t>
  </si>
  <si>
    <t>GY</t>
  </si>
  <si>
    <t>HK</t>
  </si>
  <si>
    <t>HM</t>
  </si>
  <si>
    <t>HN</t>
  </si>
  <si>
    <t>HR</t>
  </si>
  <si>
    <t>HT</t>
  </si>
  <si>
    <t>HU</t>
  </si>
  <si>
    <t>ID</t>
  </si>
  <si>
    <t>IE</t>
  </si>
  <si>
    <t>IL</t>
  </si>
  <si>
    <t>IM</t>
  </si>
  <si>
    <t>IN</t>
  </si>
  <si>
    <t>IO</t>
  </si>
  <si>
    <t>IQ</t>
  </si>
  <si>
    <t>IR</t>
  </si>
  <si>
    <t>IS</t>
  </si>
  <si>
    <t>IT</t>
  </si>
  <si>
    <t>JE</t>
  </si>
  <si>
    <t>JM</t>
  </si>
  <si>
    <t>JO</t>
  </si>
  <si>
    <t>JP</t>
  </si>
  <si>
    <t>KE</t>
  </si>
  <si>
    <t>KG</t>
  </si>
  <si>
    <t>KH</t>
  </si>
  <si>
    <t>KI</t>
  </si>
  <si>
    <t>KM</t>
  </si>
  <si>
    <t>KN</t>
  </si>
  <si>
    <t>KP</t>
  </si>
  <si>
    <t>KR</t>
  </si>
  <si>
    <t>KW</t>
  </si>
  <si>
    <t>KY</t>
  </si>
  <si>
    <t>KZ</t>
  </si>
  <si>
    <t>LA</t>
  </si>
  <si>
    <t>LB</t>
  </si>
  <si>
    <t>LC</t>
  </si>
  <si>
    <t>LI</t>
  </si>
  <si>
    <t>LK</t>
  </si>
  <si>
    <t>LR</t>
  </si>
  <si>
    <t>LS</t>
  </si>
  <si>
    <t>LT</t>
  </si>
  <si>
    <t>LU</t>
  </si>
  <si>
    <t>LV</t>
  </si>
  <si>
    <t>LY</t>
  </si>
  <si>
    <t>MA</t>
  </si>
  <si>
    <t>MC</t>
  </si>
  <si>
    <t>MD</t>
  </si>
  <si>
    <t>ME</t>
  </si>
  <si>
    <t>MF</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</si>
  <si>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</si>
  <si>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</si>
  <si>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</si>
  <si>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</si>
  <si>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</si>
  <si>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</si>
  <si>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</si>
  <si>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</si>
  <si>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</si>
  <si>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</si>
  <si>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</si>
  <si>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</si>
  <si>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</si>
  <si>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</si>
  <si>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</si>
  <si>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</si>
  <si>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</si>
  <si>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</si>
  <si>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</si>
  <si>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</si>
  <si>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</si>
  <si>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</si>
  <si>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</si>
  <si>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</si>
  <si>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</si>
  <si>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</si>
  <si>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</si>
  <si>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</si>
  <si>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</si>
  <si>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</si>
  <si>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</si>
  <si>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</si>
  <si>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</si>
  <si>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PF</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</si>
  <si>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</si>
  <si>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</si>
  <si>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</si>
  <si>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</si>
  <si>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</si>
  <si>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</si>
  <si>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</si>
  <si>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</si>
  <si>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</si>
  <si>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</si>
  <si>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</si>
  <si>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</si>
  <si>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</si>
  <si>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</si>
  <si>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</si>
  <si>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</si>
  <si>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</si>
  <si>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</si>
  <si>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</si>
  <si>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</si>
  <si>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</si>
  <si>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</si>
  <si>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</si>
  <si>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</si>
  <si>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</si>
  <si>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</si>
  <si>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</si>
  <si>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</si>
  <si>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</si>
  <si>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</si>
  <si>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</si>
  <si>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</si>
  <si>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SS</t>
  </si>
  <si>
    <t>ST</t>
  </si>
  <si>
    <t>SV</t>
  </si>
  <si>
    <t>SX</t>
  </si>
  <si>
    <t>SY</t>
  </si>
  <si>
    <t>SZ</t>
  </si>
  <si>
    <t>TC</t>
  </si>
  <si>
    <t>TD</t>
  </si>
  <si>
    <t>TF</t>
  </si>
  <si>
    <t>TG</t>
  </si>
  <si>
    <t>TH</t>
  </si>
  <si>
    <t>TJ</t>
  </si>
  <si>
    <t>TK</t>
  </si>
  <si>
    <t>TL</t>
  </si>
  <si>
    <t>TM</t>
  </si>
  <si>
    <t>TN</t>
  </si>
  <si>
    <t>TO</t>
  </si>
  <si>
    <t>TR</t>
  </si>
  <si>
    <t>TT</t>
  </si>
  <si>
    <t>TV</t>
  </si>
  <si>
    <t>TW</t>
  </si>
  <si>
    <t>TZ</t>
  </si>
  <si>
    <t>UA</t>
  </si>
  <si>
    <t>UG</t>
  </si>
  <si>
    <t>UM</t>
  </si>
  <si>
    <t>US</t>
  </si>
  <si>
    <t>UY</t>
  </si>
  <si>
    <t>UZ</t>
  </si>
  <si>
    <t>VA</t>
  </si>
  <si>
    <t>VC</t>
  </si>
  <si>
    <t>VE</t>
  </si>
  <si>
    <t>VG</t>
  </si>
  <si>
    <t>VI</t>
  </si>
  <si>
    <t>VN</t>
  </si>
  <si>
    <t>VU</t>
  </si>
  <si>
    <t>WF</t>
  </si>
  <si>
    <t>WS</t>
  </si>
  <si>
    <t>YE</t>
  </si>
  <si>
    <t>YT</t>
  </si>
  <si>
    <t>ZA</t>
  </si>
  <si>
    <t>ZM</t>
  </si>
  <si>
    <t>ZW</t>
  </si>
  <si>
    <t>us</t>
  </si>
  <si>
    <t>SNMP Contact</t>
  </si>
  <si>
    <t>SNMP Community</t>
  </si>
  <si>
    <t>Organization Information</t>
  </si>
  <si>
    <t>Deployment Information</t>
  </si>
  <si>
    <t>DNS Name</t>
  </si>
  <si>
    <t>Domain Name</t>
  </si>
  <si>
    <t>Mail Host</t>
  </si>
  <si>
    <t>NTP Server 1</t>
  </si>
  <si>
    <t>Timezone</t>
  </si>
  <si>
    <t>test@test.local</t>
  </si>
  <si>
    <t>test.local</t>
  </si>
  <si>
    <t>mail.test.local</t>
  </si>
  <si>
    <t>public</t>
  </si>
  <si>
    <t>Albany</t>
  </si>
  <si>
    <t>NY</t>
  </si>
  <si>
    <t>SNMP Location</t>
  </si>
  <si>
    <t>Albany NY</t>
  </si>
  <si>
    <t>DNS Server 1</t>
  </si>
  <si>
    <t>DNS Server 2</t>
  </si>
  <si>
    <t>&lt;&lt;global_dns_ip_02&gt;&gt;</t>
  </si>
  <si>
    <t>&lt;&lt;global_dns_ip_01&gt;&gt;</t>
  </si>
  <si>
    <t>&lt;&lt;global_ntp_server_01&gt;&gt;</t>
  </si>
  <si>
    <t>&lt;&lt;global_ntp_server_02&gt;&gt;</t>
  </si>
  <si>
    <t>NTP Server 2</t>
  </si>
  <si>
    <t>&lt;&lt;ntap_aggr_name&gt;&gt;</t>
  </si>
  <si>
    <t>aggr1</t>
  </si>
  <si>
    <t>&lt;&lt;ntap_vif_name&gt;&gt;</t>
  </si>
  <si>
    <t>&lt;&lt;ntap_vserver_mgmt_ip&gt;&gt;</t>
  </si>
  <si>
    <t>&lt;&lt;ntap_vserver_mgmt_mask&gt;&gt;</t>
  </si>
  <si>
    <t>&lt;&lt;ntap_vsadmin_password&gt;&gt;</t>
  </si>
  <si>
    <t>Cisco Nexus 5548 B</t>
  </si>
  <si>
    <t>EST5EDT</t>
  </si>
  <si>
    <t>Nexus 1000v</t>
  </si>
  <si>
    <t>UCS Fabric Interconnects</t>
  </si>
  <si>
    <t>NetApp Controllers</t>
  </si>
  <si>
    <t>Nexus 5k</t>
  </si>
  <si>
    <t>Value</t>
  </si>
  <si>
    <t>High Level Nexus Config</t>
  </si>
  <si>
    <t>Nexus A</t>
  </si>
  <si>
    <t>Nexus B</t>
  </si>
  <si>
    <t>VM Traffic VLAN</t>
  </si>
  <si>
    <t>VPC Domain ID</t>
  </si>
  <si>
    <t>FCoE A VLAN ID</t>
  </si>
  <si>
    <t>FCoE B VLAN ID</t>
  </si>
  <si>
    <t>inband Management VLAN Name</t>
  </si>
  <si>
    <t>Native VLAN Name</t>
  </si>
  <si>
    <t>inband Management VLAN ID</t>
  </si>
  <si>
    <t>NFS VLAN Name</t>
  </si>
  <si>
    <t>Packet Control VLAN Name</t>
  </si>
  <si>
    <t>Packet Control VLAN ID</t>
  </si>
  <si>
    <t>vMotion VLAN Name</t>
  </si>
  <si>
    <t>vMotion VLAN ID</t>
  </si>
  <si>
    <t>VM Traffic VLAN Name</t>
  </si>
  <si>
    <t>FCoE B VLAN Name</t>
  </si>
  <si>
    <t>FCoE A VLAN Name</t>
  </si>
  <si>
    <t>iSCSI A VLAN Name</t>
  </si>
  <si>
    <t>iSCSI A VLAN ID</t>
  </si>
  <si>
    <t>iSCSI B VLAN Name</t>
  </si>
  <si>
    <t>iSCSI B VLAN ID</t>
  </si>
  <si>
    <t>NexusB</t>
  </si>
  <si>
    <t>NexusA</t>
  </si>
  <si>
    <t>192.168.10.1</t>
  </si>
  <si>
    <t>192.168.10.254</t>
  </si>
  <si>
    <t>192.168.10.2</t>
  </si>
  <si>
    <t>FCoE-A</t>
  </si>
  <si>
    <t>FCoE-B</t>
  </si>
  <si>
    <t>Native</t>
  </si>
  <si>
    <t>PacketControl</t>
  </si>
  <si>
    <t>iSCSI-A</t>
  </si>
  <si>
    <t>iSCSI-B</t>
  </si>
  <si>
    <t>FCoE VLAN of VSAN A</t>
  </si>
  <si>
    <t>FCoE VLAN of VSAN B</t>
  </si>
  <si>
    <t>VSAN ID of Fabric B (Typically 102)</t>
  </si>
  <si>
    <t>VSAN ID of Fabric A (Typically 101)</t>
  </si>
  <si>
    <t>Nexus A Hostname</t>
  </si>
  <si>
    <t>Nexus A Management Gateway</t>
  </si>
  <si>
    <t>Nexus B Hostname</t>
  </si>
  <si>
    <t>Nexus B Management Gateway</t>
  </si>
  <si>
    <t>Out of band Management?</t>
  </si>
  <si>
    <t>&lt;&lt;ans_OoB_Mgmt&gt;&gt;</t>
  </si>
  <si>
    <t>Will there be out of band management</t>
  </si>
  <si>
    <t>Nexus B Management IP Address</t>
  </si>
  <si>
    <t>Nexus B Management Subnet Mask</t>
  </si>
  <si>
    <t>Nexus A Management Subnet Mask</t>
  </si>
  <si>
    <t>Nexus A Management IP Address</t>
  </si>
  <si>
    <t>&lt;&lt;nex_ib-mgmt_vlan_name&gt;&gt;</t>
  </si>
  <si>
    <t>&lt;&lt;nex_native_vlan_name&gt;&gt;</t>
  </si>
  <si>
    <t>&lt;&lt;nex_nfs_vlan_name&gt;&gt;</t>
  </si>
  <si>
    <t>&lt;&lt;nex_pkt-ctrl_vlan_name&gt;&gt;</t>
  </si>
  <si>
    <t>&lt;&lt;nex_vmotion_vlan_name&gt;&gt;</t>
  </si>
  <si>
    <t>&lt;&lt;nex_vm-traffic_vlan_name&gt;&gt;</t>
  </si>
  <si>
    <t>&lt;&lt;nex_fabric_a_fcoe_vlan_name&gt;&gt;</t>
  </si>
  <si>
    <t>&lt;&lt;nex_vsan_a_name&gt;&gt;</t>
  </si>
  <si>
    <t>&lt;&lt;nex_fabric_b_fcoe_vlan_name&gt;&gt;</t>
  </si>
  <si>
    <t>&lt;&lt;nex_vsan_b_name&gt;&gt;</t>
  </si>
  <si>
    <t>&lt;&lt;nex_fabric_a_iscsi_vlan_name&gt;&gt;</t>
  </si>
  <si>
    <t>&lt;&lt;nex_fabric_a_iscsi_vlan_id&gt;&gt;</t>
  </si>
  <si>
    <t>&lt;&lt;nex_fabric_b_iscsi_vlan_name&gt;&gt;</t>
  </si>
  <si>
    <t>&lt;&lt;nex_fabric_b_iscsi_vlan_id&gt;&gt;</t>
  </si>
  <si>
    <t>High Level 1000v Config</t>
  </si>
  <si>
    <t>Nexus 1000v A</t>
  </si>
  <si>
    <t>Nexus 1000v B</t>
  </si>
  <si>
    <t>NX-1000v-B</t>
  </si>
  <si>
    <t>NX-1000v-A</t>
  </si>
  <si>
    <t>&lt;&lt;nx1_cimc_a_ip&gt;&gt;</t>
  </si>
  <si>
    <t>&lt;&lt;nx1_cimc_b_ip&gt;&gt;</t>
  </si>
  <si>
    <t>&lt;&lt;nx1_nexus_1110x-2&gt;&gt;</t>
  </si>
  <si>
    <t>&lt;&lt;nx1_nexus_1110x-1&gt;&gt;</t>
  </si>
  <si>
    <t>Nexus 1000v A Hostname</t>
  </si>
  <si>
    <t>Nexus 1000v B Hostname</t>
  </si>
  <si>
    <t>Nexus 1000v VSA domain ID</t>
  </si>
  <si>
    <t>Nexus 1000v CIMC subnet Mask</t>
  </si>
  <si>
    <t>nexus 1000v CIMC Gateway</t>
  </si>
  <si>
    <t>Nexus 1000v VSA Hostname</t>
  </si>
  <si>
    <t>Nexus 1000v VSA IP Address</t>
  </si>
  <si>
    <t>Nexus 1000v VSA Subnet Mask</t>
  </si>
  <si>
    <t>Nexus 1000v VSA Gateway</t>
  </si>
  <si>
    <t>Nexus 1000v VSM Domain ID</t>
  </si>
  <si>
    <t>Nexus 1000v VSM Management Subnet Mask</t>
  </si>
  <si>
    <t>Nexus 1000v VSM Management Hostname</t>
  </si>
  <si>
    <t>Nexus 1000v VSM Management Gateway</t>
  </si>
  <si>
    <t>Nexus 1000v VSM Management IP</t>
  </si>
  <si>
    <t>Nexus 1000v B CIMC IP Address</t>
  </si>
  <si>
    <t>Nexus 1000v A CIMC IP Address</t>
  </si>
  <si>
    <t>192.168.21.254</t>
  </si>
  <si>
    <t>192.168.20.254</t>
  </si>
  <si>
    <t>192.168.11.11</t>
  </si>
  <si>
    <t>192.168.11.12</t>
  </si>
  <si>
    <t>VSM</t>
  </si>
  <si>
    <t>VSA</t>
  </si>
  <si>
    <t>192.168.20.10</t>
  </si>
  <si>
    <t>192.168.20.11</t>
  </si>
  <si>
    <t>192.168.11.254</t>
  </si>
  <si>
    <t>UCS1</t>
  </si>
  <si>
    <t>Name of the UCS Cluster</t>
  </si>
  <si>
    <t>UCS Clustername</t>
  </si>
  <si>
    <t>&lt;&lt;global_nameserver_ip_2&gt;&gt;</t>
  </si>
  <si>
    <t>&lt;&lt;global_nameserver_ip_1&gt;&gt;</t>
  </si>
  <si>
    <t>&lt;&lt;vmw_nfs_ip_pool_start&gt;&gt;</t>
  </si>
  <si>
    <t>&lt;&lt;vmw_nfs_ip_pool_end&gt;&gt;</t>
  </si>
  <si>
    <t>&lt;&lt;vmw_vmhost_ip_pool_end&gt;&gt;</t>
  </si>
  <si>
    <t>&lt;&lt;vmw_vmhost_ip_pool_start&gt;&gt;</t>
  </si>
  <si>
    <t>&lt;&lt;ucs_blade_mgmt_ip_pool_start&gt;&gt;</t>
  </si>
  <si>
    <t>&lt;&lt;ucs_blade_mgmt_ip_pool_end&gt;&gt;</t>
  </si>
  <si>
    <t>&lt;&lt;ucs_site_code&gt;&gt;</t>
  </si>
  <si>
    <t>&lt;&lt;ucs_Site_description&gt;&gt;</t>
  </si>
  <si>
    <t>&lt;&lt;ucs_pod_id&gt;&gt;</t>
  </si>
  <si>
    <t>&lt;&lt;ucs_pod_description&gt;&gt;</t>
  </si>
  <si>
    <t>&lt;&lt;ucs_uuid_pool_name&gt;&gt;</t>
  </si>
  <si>
    <t>&lt;&lt;ucs_mac_pool_esxi_mgmt_name&gt;&gt;</t>
  </si>
  <si>
    <t>&lt;&lt;ucs_mac_pool_esxi_mgmt_id&gt;&gt;</t>
  </si>
  <si>
    <t>&lt;&lt;ucs_mac_pool_vmotion_name&gt;&gt;</t>
  </si>
  <si>
    <t>&lt;&lt;ucs_mac_pool_vmotiont_id&gt;&gt;</t>
  </si>
  <si>
    <t>&lt;&lt;ucs_mac_pool_nfs_name&gt;&gt;</t>
  </si>
  <si>
    <t>&lt;&lt;ucs_mac_pool_nfs_id&gt;&gt;</t>
  </si>
  <si>
    <t>&lt;&lt;ucs_mac_pool_vm_name&gt;&gt;</t>
  </si>
  <si>
    <t>&lt;&lt;ucs_mac_pool_vm_id&gt;&gt;</t>
  </si>
  <si>
    <t>NFS Mac pool</t>
  </si>
  <si>
    <t>&lt;&lt;ucs_nfs_vlan_name&gt;&gt;</t>
  </si>
  <si>
    <t>&lt;&lt;ucs_nfs_vlan_id&gt;&gt;</t>
  </si>
  <si>
    <t>&lt;&lt;ucs_pkt-ctrl_vlan_name&gt;&gt;</t>
  </si>
  <si>
    <t>&lt;&lt;ucs_pkt-ctrl_vlan_id&gt;&gt;</t>
  </si>
  <si>
    <t>&lt;&lt;ucs_vmotion_vlan_name&gt;&gt;</t>
  </si>
  <si>
    <t>&lt;&lt;ucs_vmotion_vlan_id&gt;&gt;</t>
  </si>
  <si>
    <t>&lt;&lt;ucs_vm-traffic_vlan_name&gt;&gt;</t>
  </si>
  <si>
    <t>&lt;&lt;ucs_vm-traffic_vlan_id&gt;&gt;</t>
  </si>
  <si>
    <t>VMware vMotion</t>
  </si>
  <si>
    <t>&lt;&lt;ucs_wwnn_pool_name&gt;&gt;</t>
  </si>
  <si>
    <t>&lt;&lt;ucs_wwpn_pool_name&gt;&gt;</t>
  </si>
  <si>
    <t>&lt;&lt;ucs_fabric_a_fcoe_vlan_name&gt;&gt;</t>
  </si>
  <si>
    <t>&lt;&lt;ucs_fabric_a_fcoe_vlan_id&gt;&gt;</t>
  </si>
  <si>
    <t>&lt;&lt;ucs_vsan_a_name&gt;&gt;</t>
  </si>
  <si>
    <t>&lt;&lt;ucs_vsan_a_id&gt;&gt;</t>
  </si>
  <si>
    <t>&lt;&lt;ucs_fabric_a_iscsi_vlan_name&gt;&gt;</t>
  </si>
  <si>
    <t>&lt;&lt;ucs_fabric_a_iscsi_vlan_id&gt;&gt;</t>
  </si>
  <si>
    <t>&lt;&lt;ucs_fabric_b_fcoe_vlan_name&gt;&gt;</t>
  </si>
  <si>
    <t>&lt;&lt;ucs_fabric_b_fcoe_vlan_id&gt;&gt;</t>
  </si>
  <si>
    <t>&lt;&lt;ucs_vsan_b_name&gt;&gt;</t>
  </si>
  <si>
    <t>&lt;&lt;ucs_vsan_b_id&gt;&gt;</t>
  </si>
  <si>
    <t>&lt;&lt;ucs_fabric_b_iscsi_vlan_name&gt;&gt;</t>
  </si>
  <si>
    <t>&lt;&lt;ucs_fabric_b_iscsi_vlan_id&gt;&gt;</t>
  </si>
  <si>
    <t>&lt;&lt;ucs_esxi_mgmt_vlan_id&gt;&gt;</t>
  </si>
  <si>
    <t>&lt;&lt;ucs_esxi_mgmt_vlan_name&gt;&gt;</t>
  </si>
  <si>
    <t>High Level Netapp Config</t>
  </si>
  <si>
    <t>&lt;&lt;ucs_template_vnic_a_vmotion&gt;&gt;</t>
  </si>
  <si>
    <t>&lt;&lt;ucs_template_vnic_a_esxi_mgmt&gt;&gt;</t>
  </si>
  <si>
    <t>&lt;&lt;ucs_template_vnic_b_vmotion&gt;&gt;</t>
  </si>
  <si>
    <t>&lt;&lt;ucs_template_vnic_b_esxi_mgmt&gt;&gt;</t>
  </si>
  <si>
    <t>&lt;&lt;ucs_template_hba_a&gt;&gt;</t>
  </si>
  <si>
    <t>&lt;&lt;ucs_template_hba_b&gt;&gt;</t>
  </si>
  <si>
    <t>&lt;&lt;ucs_template_profile_name&gt;&gt;</t>
  </si>
  <si>
    <t>&lt;&lt;ucs_template_profile_prefix&gt;&gt;</t>
  </si>
  <si>
    <t>Cluster Name</t>
  </si>
  <si>
    <t>Boot Software URL</t>
  </si>
  <si>
    <t>Number of Disks to assign controllers</t>
  </si>
  <si>
    <t>Aggregate Name</t>
  </si>
  <si>
    <t>VIF name</t>
  </si>
  <si>
    <t>Cluster Base License</t>
  </si>
  <si>
    <t>Cluster management IP address</t>
  </si>
  <si>
    <t>Cluster Management Subnet Mask</t>
  </si>
  <si>
    <t>Cluster Management Gateway</t>
  </si>
  <si>
    <t>192.168.20.1</t>
  </si>
  <si>
    <t>192.168.20.20</t>
  </si>
  <si>
    <t>192.168.20.21</t>
  </si>
  <si>
    <t>Cluster Password</t>
  </si>
  <si>
    <t>Raid Size</t>
  </si>
  <si>
    <t xml:space="preserve">Number of Aggregate Disks </t>
  </si>
  <si>
    <t>vif1</t>
  </si>
  <si>
    <t>test1234</t>
  </si>
  <si>
    <t>Oncommand FQDN</t>
  </si>
  <si>
    <t>Storage Admin Email</t>
  </si>
  <si>
    <t>Cluster Common Name</t>
  </si>
  <si>
    <t>Vserver Common Name</t>
  </si>
  <si>
    <t>oncommand.test.local</t>
  </si>
  <si>
    <t>admin@test.local</t>
  </si>
  <si>
    <t>vserver</t>
  </si>
  <si>
    <t>cn=vserver,dc=test,dc=local</t>
  </si>
  <si>
    <t>cn=node1,dc=test,dc=local</t>
  </si>
  <si>
    <t>cn=node2,dc=test,dc=local</t>
  </si>
  <si>
    <t>cn=netapp,dc=test,dc=local</t>
  </si>
  <si>
    <t>netapp</t>
  </si>
  <si>
    <t>ftp://netapp-boot.test.local</t>
  </si>
  <si>
    <t>SMKQROWJNQYQSDAAAAAAAAAAAAAA</t>
  </si>
  <si>
    <t>Netapp Node 1 Name</t>
  </si>
  <si>
    <t>Netapp Controller 1</t>
  </si>
  <si>
    <t>Netapp Controller 2</t>
  </si>
  <si>
    <t>Netapp Node 1 IP Address</t>
  </si>
  <si>
    <t>Netapp Node 1 subnet mask</t>
  </si>
  <si>
    <t>Netapp Node 1 Gateway</t>
  </si>
  <si>
    <t>Netapp Node 1 Flexclone License</t>
  </si>
  <si>
    <t>Netapp Node 1 FCP License</t>
  </si>
  <si>
    <t>Netapp Node 1 iSCSI License</t>
  </si>
  <si>
    <t>Netapp Node 1 FCoE License</t>
  </si>
  <si>
    <t>Netapp Node 1 NFS License</t>
  </si>
  <si>
    <t>Netapp Node 1 Serice Processor IP</t>
  </si>
  <si>
    <t>Netapp Node 1 Serice Processor Subnet Mask</t>
  </si>
  <si>
    <t>Netapp Node 1 Serice Processor gateway</t>
  </si>
  <si>
    <t>192.168.21.11</t>
  </si>
  <si>
    <t>Netapp Node 2 Name</t>
  </si>
  <si>
    <t>Netapp Node 2 IP Address</t>
  </si>
  <si>
    <t>Netapp Node 2 subnet mask</t>
  </si>
  <si>
    <t>Netapp Node 2 Gateway</t>
  </si>
  <si>
    <t>Netapp Node 2 Flexclone License</t>
  </si>
  <si>
    <t>Netapp Node 2 FCP License</t>
  </si>
  <si>
    <t>Netapp Node 2 iSCSI License</t>
  </si>
  <si>
    <t>Netapp Node 2 FCoE License</t>
  </si>
  <si>
    <t>Netapp Node 2 NFS License</t>
  </si>
  <si>
    <t>Netapp Node 2 Serice Processor IP</t>
  </si>
  <si>
    <t>Netapp Node 2 Serice Processor Subnet Mask</t>
  </si>
  <si>
    <t>Netapp Node 2 Serice Processor gateway</t>
  </si>
  <si>
    <t>192.168.21.12</t>
  </si>
  <si>
    <t>IJQRDAFTVDDCMAXAGAAAAAAAAAAA</t>
  </si>
  <si>
    <t>ENHZFAFTVDDCMAXAGAAAAAAAAAAA</t>
  </si>
  <si>
    <t>WOSCDAFTVDDCMAXAGAAAAAAAAAAA</t>
  </si>
  <si>
    <t>YZWYBAFTVDDCMAXAGAAAAAAAAAAA</t>
  </si>
  <si>
    <t>GMLOLTJWOZNBBGXAGAAAAAAAAAAA</t>
  </si>
  <si>
    <t>CQCWNTJWOZNBBGXAGAAAAAAAAAAA</t>
  </si>
  <si>
    <t>WCSVJTJWOZNBBGXAGAAAAAAAAAAA</t>
  </si>
  <si>
    <t>URNZKTJWOZNBBGXAGAAAAAAAAAAA</t>
  </si>
  <si>
    <t>netapp-01</t>
  </si>
  <si>
    <t>netapp-02</t>
  </si>
  <si>
    <t>192.168.20.12</t>
  </si>
  <si>
    <t>192.168.22.1</t>
  </si>
  <si>
    <t>192.168.22.2</t>
  </si>
  <si>
    <t>High Level Vmware Config</t>
  </si>
  <si>
    <t>&lt;&lt;ucs_pool_ip_iscsi_a_start&gt;&gt;</t>
  </si>
  <si>
    <t>&lt;&lt;ucs_pool_ip_iscsi_b_start&gt;&gt;</t>
  </si>
  <si>
    <t>&lt;&lt;ucs_pool_ip_iscsi_a_end&gt;&gt;</t>
  </si>
  <si>
    <t>&lt;&lt;ucs_pool_ip_iscsi_a_mask&gt;&gt;</t>
  </si>
  <si>
    <t>&lt;&lt;ucs_pool_ip_iscsi_b_end&gt;&gt;</t>
  </si>
  <si>
    <t>&lt;&lt;ucs_pool_ip_iscsi_b_mask&gt;&gt;</t>
  </si>
  <si>
    <t>UCS iSCSI A IP Pool Start</t>
  </si>
  <si>
    <t>UCS iSCSI A IP Pool End</t>
  </si>
  <si>
    <t>UCS iSCSI A IP Pool Subnet Mask</t>
  </si>
  <si>
    <t>192.168.23.201</t>
  </si>
  <si>
    <t>192.168.23.220</t>
  </si>
  <si>
    <t>UCS iSCSI B IP Pool Start</t>
  </si>
  <si>
    <t>UCS iSCSI B IP Pool End</t>
  </si>
  <si>
    <t>UCS iSCSI B IP Pool Subnet Mask</t>
  </si>
  <si>
    <t>192.168.24.201</t>
  </si>
  <si>
    <t>192.168.24.220</t>
  </si>
  <si>
    <t>Netapp Node 1 NFS LIF IP address</t>
  </si>
  <si>
    <t>Netapp Node 1 NFS LIF Subnet Mask</t>
  </si>
  <si>
    <t>Netapp Node 1 iSCSI A LIF IP address</t>
  </si>
  <si>
    <t>Netapp Node 1 iSCSI A LIF Subnet Mask</t>
  </si>
  <si>
    <t>Netapp Node 1 iSCSI B LIF IP address</t>
  </si>
  <si>
    <t>Netapp Node 1 iSCSI B LIF Subnet Mask</t>
  </si>
  <si>
    <t>192.168.23.11</t>
  </si>
  <si>
    <t>192.168.24.11</t>
  </si>
  <si>
    <t>192.168.23.12</t>
  </si>
  <si>
    <t>192.168.24.12</t>
  </si>
  <si>
    <t>Netapp Node 2 NFS LIF IP address</t>
  </si>
  <si>
    <t>Netapp Node 2 NFS LIF Subnet Mask</t>
  </si>
  <si>
    <t>Netapp Node 2 iSCSI A LIF IP address</t>
  </si>
  <si>
    <t>Netapp Node 2 iSCSI A LIF Subnet Mask</t>
  </si>
  <si>
    <t>Netapp Node 2 iSCSI B LIF IP address</t>
  </si>
  <si>
    <t>Netapp Node 2 iSCSI B LIF Subnet Mask</t>
  </si>
  <si>
    <t>Netapp Node 2 Common Name</t>
  </si>
  <si>
    <t>Netapp Node 1 Common Name</t>
  </si>
  <si>
    <t>&lt;&lt;ntap_node01_iscsi_a_lif_ip&gt;&gt;</t>
  </si>
  <si>
    <t>&lt;&lt;ntap_node01_iscsi_a_lif_mask&gt;&gt;</t>
  </si>
  <si>
    <t>&lt;&lt;ntap_node01_iscsi_b_lif_ip&gt;&gt;</t>
  </si>
  <si>
    <t>&lt;&lt;ntap_node01_iscsi_b_lif_mask&gt;&gt;</t>
  </si>
  <si>
    <t>&lt;&lt;ntap_node02_iscsi_a_lif_ip&gt;&gt;</t>
  </si>
  <si>
    <t>&lt;&lt;ntap_node02_iscsi_a_lif_mask&gt;&gt;</t>
  </si>
  <si>
    <t>&lt;&lt;ntap_node02_iscsi_b_lif_ip&gt;&gt;</t>
  </si>
  <si>
    <t>&lt;&lt;ntap_node02_iscsi_b_lif_mask&gt;&gt;</t>
  </si>
  <si>
    <t>Vserver Configuration</t>
  </si>
  <si>
    <t>Vserver Name</t>
  </si>
  <si>
    <t>Vserver Admin Password</t>
  </si>
  <si>
    <t>Vserver Management IP address</t>
  </si>
  <si>
    <t>Vserver Management Subnet Mask</t>
  </si>
  <si>
    <t>Vserver Management Gateway</t>
  </si>
  <si>
    <t>&lt;&lt;ntap_vserver_mgmt_gateway&gt;&gt;</t>
  </si>
  <si>
    <t>Subnet gateway for Vserver</t>
  </si>
  <si>
    <t>&lt;&lt;global_ftp_server&gt;&gt;</t>
  </si>
  <si>
    <t>FTP Server</t>
  </si>
  <si>
    <t>&lt;&lt;ntap_vserver_name&gt;&gt;</t>
  </si>
  <si>
    <t>TBD</t>
  </si>
  <si>
    <t>Fabric Interconnects</t>
  </si>
  <si>
    <t>&lt;&lt;ucs_ucsb_mgmt_mask&gt;&gt;</t>
  </si>
  <si>
    <t>&lt;&lt;ucs_ucsb_mgmt_gateway&gt;&gt;</t>
  </si>
  <si>
    <t>UCS Fabic Interconnect A Management IP</t>
  </si>
  <si>
    <t>UCS Fabic Interconnect B Management IP</t>
  </si>
  <si>
    <t>172.26.56.101</t>
  </si>
  <si>
    <t>172.26.56.102</t>
  </si>
  <si>
    <t>vCenter IP Address</t>
  </si>
  <si>
    <t>&lt;&lt;vmw_vmhost_ip_mask&gt;&gt;</t>
  </si>
  <si>
    <t>&lt;&lt;vmw_nfs_ip_mask&gt;&gt;</t>
  </si>
  <si>
    <t>&lt;&lt;vmw_vmotion_ip_pool_start&gt;&gt;</t>
  </si>
  <si>
    <t>&lt;&lt;vmw_vmotion_ip_pool_end&gt;&gt;</t>
  </si>
  <si>
    <t>&lt;&lt;vmw_vmotion_ip_mask&gt;&gt;</t>
  </si>
  <si>
    <t>VMWare ESXi Host IP Pool Start</t>
  </si>
  <si>
    <t>VMWare ESXi Host IP Pool End</t>
  </si>
  <si>
    <t>&lt;&lt;vmw_vmhost_ip_gateway&gt;&gt;</t>
  </si>
  <si>
    <t>VMWare ESXi Host IP Gateway</t>
  </si>
  <si>
    <t>VMWare ESXi Host IP Mask</t>
  </si>
  <si>
    <t>VMWare ESXi NFS IP Pool Start</t>
  </si>
  <si>
    <t>VMWare ESXi NFS IP Pool End</t>
  </si>
  <si>
    <t>VMWare ESXi NFS IP Mask</t>
  </si>
  <si>
    <t>VMWare ESXi vMotion IP Pool Start</t>
  </si>
  <si>
    <t>VMWare ESXi vMotion IP Pool End</t>
  </si>
  <si>
    <t>VMWare ESXi vMotion IP Mask</t>
  </si>
  <si>
    <t>192.168.22.201</t>
  </si>
  <si>
    <t>192.268.22.220</t>
  </si>
  <si>
    <t>172.26.56.200</t>
  </si>
  <si>
    <t>192.168.100.201</t>
  </si>
  <si>
    <t>192.168.100.220</t>
  </si>
  <si>
    <t>&lt;&lt;ucs_template_vnic_a_nfs&gt;&gt;</t>
  </si>
  <si>
    <t>&lt;&lt;ucs_template_vnic_a_vm&gt;&gt;</t>
  </si>
  <si>
    <t>&lt;&lt;ucs_template_vnic_b_nfs&gt;&gt;</t>
  </si>
  <si>
    <t>&lt;&lt;ucs_template_vnic_b_vm&gt;&gt;</t>
  </si>
  <si>
    <t>&lt;&lt;Nexus_A&gt;&gt;</t>
  </si>
  <si>
    <t>&lt;&lt;Nexus_B&gt;&gt;</t>
  </si>
  <si>
    <t>&lt;&lt;NetApp_A&gt;&gt;</t>
  </si>
  <si>
    <t>Nexus 5548 A (cluster)</t>
  </si>
  <si>
    <t>Nexus 5548 B (cluster)</t>
  </si>
  <si>
    <t>&lt;&lt;NetApp_B&gt;&gt;</t>
  </si>
  <si>
    <t>&lt;&lt;Fabric_Interconnect_A&gt;&gt;</t>
  </si>
  <si>
    <t>&lt;&lt;Fabric_Interconnect_B&gt;&gt;</t>
  </si>
  <si>
    <t>&lt;&lt;1000v_A&gt;&gt;</t>
  </si>
  <si>
    <t>&lt;&lt;1000v_B&gt;&gt;</t>
  </si>
  <si>
    <r>
      <t>Chassis 1 FEX A</t>
    </r>
    <r>
      <rPr>
        <sz val="8"/>
        <color theme="0"/>
        <rFont val="Arial"/>
        <family val="2"/>
      </rPr>
      <t xml:space="preserve"> (4)</t>
    </r>
  </si>
  <si>
    <r>
      <t>Chassis 1 FEX A</t>
    </r>
    <r>
      <rPr>
        <sz val="8"/>
        <color theme="0"/>
        <rFont val="Arial"/>
        <family val="2"/>
      </rPr>
      <t xml:space="preserve"> (3)</t>
    </r>
  </si>
  <si>
    <r>
      <t>Chassis 1 FEX A</t>
    </r>
    <r>
      <rPr>
        <sz val="8"/>
        <color theme="0"/>
        <rFont val="Arial"/>
        <family val="2"/>
      </rPr>
      <t xml:space="preserve"> (2)</t>
    </r>
  </si>
  <si>
    <r>
      <t>Chassis 1 FEX A</t>
    </r>
    <r>
      <rPr>
        <sz val="8"/>
        <color theme="0"/>
        <rFont val="Arial"/>
        <family val="2"/>
      </rPr>
      <t xml:space="preserve"> (1)</t>
    </r>
  </si>
  <si>
    <r>
      <t>Nexus 5548 A</t>
    </r>
    <r>
      <rPr>
        <sz val="8"/>
        <color theme="0"/>
        <rFont val="Arial"/>
        <family val="2"/>
      </rPr>
      <t xml:space="preserve"> (FAB A1)</t>
    </r>
  </si>
  <si>
    <r>
      <t>Nexus 5548 A</t>
    </r>
    <r>
      <rPr>
        <sz val="8"/>
        <color theme="0"/>
        <rFont val="Arial"/>
        <family val="2"/>
      </rPr>
      <t xml:space="preserve"> (FAB A2)</t>
    </r>
  </si>
  <si>
    <r>
      <t>NetApp Controller A</t>
    </r>
    <r>
      <rPr>
        <sz val="8"/>
        <color theme="0"/>
        <rFont val="Arial"/>
        <family val="2"/>
      </rPr>
      <t xml:space="preserve"> (2)</t>
    </r>
  </si>
  <si>
    <r>
      <t>NetApp Controller A</t>
    </r>
    <r>
      <rPr>
        <sz val="8"/>
        <color theme="0"/>
        <rFont val="Arial"/>
        <family val="2"/>
      </rPr>
      <t xml:space="preserve"> (1)</t>
    </r>
  </si>
  <si>
    <r>
      <t>NetApp Controller B</t>
    </r>
    <r>
      <rPr>
        <sz val="8"/>
        <color theme="0"/>
        <rFont val="Arial"/>
        <family val="2"/>
      </rPr>
      <t xml:space="preserve"> (2)</t>
    </r>
  </si>
  <si>
    <r>
      <t>NetApp Controller B</t>
    </r>
    <r>
      <rPr>
        <sz val="8"/>
        <color theme="0"/>
        <rFont val="Arial"/>
        <family val="2"/>
      </rPr>
      <t xml:space="preserve"> (1)</t>
    </r>
  </si>
  <si>
    <r>
      <t>Cisco UCS Fabric Interconnect B</t>
    </r>
    <r>
      <rPr>
        <sz val="8"/>
        <color theme="0"/>
        <rFont val="Arial"/>
        <family val="2"/>
      </rPr>
      <t xml:space="preserve"> (FAB B2)</t>
    </r>
  </si>
  <si>
    <r>
      <t>Cisco UCS Fabric Interconnect B</t>
    </r>
    <r>
      <rPr>
        <sz val="8"/>
        <color theme="0"/>
        <rFont val="Arial"/>
        <family val="2"/>
      </rPr>
      <t xml:space="preserve"> (FAB B1)</t>
    </r>
  </si>
  <si>
    <r>
      <t>Cisco Nexus 5548 A</t>
    </r>
    <r>
      <rPr>
        <sz val="8"/>
        <color theme="0"/>
        <rFont val="Arial"/>
        <family val="2"/>
      </rPr>
      <t xml:space="preserve"> (2)</t>
    </r>
  </si>
  <si>
    <r>
      <t>Cisco Nexus 5548 A</t>
    </r>
    <r>
      <rPr>
        <sz val="8"/>
        <color theme="0"/>
        <rFont val="Arial"/>
        <family val="2"/>
      </rPr>
      <t xml:space="preserve"> (1)</t>
    </r>
  </si>
  <si>
    <r>
      <t>Cisco UCS Fabric Interconnect A</t>
    </r>
    <r>
      <rPr>
        <sz val="8"/>
        <color theme="0"/>
        <rFont val="Arial"/>
        <family val="2"/>
      </rPr>
      <t xml:space="preserve"> (FAB A2)</t>
    </r>
  </si>
  <si>
    <r>
      <t>Cisco UCS Fabric Interconnect A</t>
    </r>
    <r>
      <rPr>
        <sz val="8"/>
        <color theme="0"/>
        <rFont val="Arial"/>
        <family val="2"/>
      </rPr>
      <t xml:space="preserve"> (FAB A1)</t>
    </r>
  </si>
  <si>
    <r>
      <t>Cisco Nexus 5548 B</t>
    </r>
    <r>
      <rPr>
        <sz val="8"/>
        <color theme="0"/>
        <rFont val="Arial"/>
        <family val="2"/>
      </rPr>
      <t xml:space="preserve"> (2)</t>
    </r>
  </si>
  <si>
    <r>
      <t>Cisco Nexus 5548 B</t>
    </r>
    <r>
      <rPr>
        <sz val="8"/>
        <color theme="0"/>
        <rFont val="Arial"/>
        <family val="2"/>
      </rPr>
      <t xml:space="preserve"> (1)</t>
    </r>
  </si>
  <si>
    <r>
      <t>Nexus 5548 B</t>
    </r>
    <r>
      <rPr>
        <sz val="8"/>
        <color theme="0"/>
        <rFont val="Arial"/>
        <family val="2"/>
      </rPr>
      <t xml:space="preserve"> (FAB B2)</t>
    </r>
  </si>
  <si>
    <r>
      <t>Nexus 5548 B</t>
    </r>
    <r>
      <rPr>
        <sz val="8"/>
        <color theme="0"/>
        <rFont val="Arial"/>
        <family val="2"/>
      </rPr>
      <t xml:space="preserve"> (FAB B1)</t>
    </r>
  </si>
  <si>
    <r>
      <t>Chassis 1 FEX B</t>
    </r>
    <r>
      <rPr>
        <sz val="8"/>
        <color theme="0"/>
        <rFont val="Arial"/>
        <family val="2"/>
      </rPr>
      <t xml:space="preserve"> (1)</t>
    </r>
  </si>
  <si>
    <r>
      <t>Chassis 1 FEX B</t>
    </r>
    <r>
      <rPr>
        <sz val="8"/>
        <color theme="0"/>
        <rFont val="Arial"/>
        <family val="2"/>
      </rPr>
      <t xml:space="preserve"> (2)</t>
    </r>
  </si>
  <si>
    <r>
      <t>Chassis 1 FEX B</t>
    </r>
    <r>
      <rPr>
        <sz val="8"/>
        <color theme="0"/>
        <rFont val="Arial"/>
        <family val="2"/>
      </rPr>
      <t xml:space="preserve"> (3)</t>
    </r>
  </si>
  <si>
    <r>
      <t>Chassis 1 FEX B</t>
    </r>
    <r>
      <rPr>
        <sz val="8"/>
        <color theme="0"/>
        <rFont val="Arial"/>
        <family val="2"/>
      </rPr>
      <t xml:space="preserve"> (4)</t>
    </r>
  </si>
  <si>
    <t>&lt;&lt;NetApp_A_Cluster&gt;&gt;</t>
  </si>
  <si>
    <t>&lt;&lt;NetApp_B_Cluster&gt;&gt;</t>
  </si>
  <si>
    <t>&lt;&lt;Nexus_B_1&gt;&gt;</t>
  </si>
  <si>
    <t>&lt;&lt;Nexus_B_2&gt;&gt;</t>
  </si>
  <si>
    <t>&lt;&lt;Fabric_Interconnect_A_FAB_A1&gt;&gt;</t>
  </si>
  <si>
    <t>&lt;&lt;Fabric_Interconnect_A_FAB_A2&gt;&gt;</t>
  </si>
  <si>
    <t>&lt;&lt;Fabric_Interconnect_B_FAB_B1&gt;&gt;</t>
  </si>
  <si>
    <t>&lt;&lt;Fabric_Interconnect_B_FAB_B2&gt;&gt;</t>
  </si>
  <si>
    <t>&lt;&lt;gbe_management&gt;&gt;</t>
  </si>
  <si>
    <t>&lt;&lt;NetApp_B_1&gt;&gt;</t>
  </si>
  <si>
    <t>&lt;&lt;NetApp_B_2&gt;&gt;</t>
  </si>
  <si>
    <t>&lt;&lt;SAS&gt;&gt;</t>
  </si>
  <si>
    <t>&lt;&lt;Nexus_A_cluster&gt;&gt;</t>
  </si>
  <si>
    <t>&lt;&lt;Nexus_B_cluster&gt;&gt;</t>
  </si>
  <si>
    <t>&lt;&lt;NetApp_A_1&gt;&gt;</t>
  </si>
  <si>
    <t>&lt;&lt;NetApp_A_2&gt;&gt;</t>
  </si>
  <si>
    <t>&lt;&lt;Chassis_1_FEXA_1&gt;&gt;</t>
  </si>
  <si>
    <t>&lt;&lt;Chassis_1_FEXA_2&gt;&gt;</t>
  </si>
  <si>
    <t>&lt;&lt;Chassis_1_FEXA_3&gt;&gt;</t>
  </si>
  <si>
    <t>&lt;&lt;Chassis_1_FEXA_4&gt;&gt;</t>
  </si>
  <si>
    <t>&lt;&lt;Nexus_A_FAB_A_1&gt;&gt;</t>
  </si>
  <si>
    <t>&lt;&lt;Nexus_A_FAB_A_2&gt;&gt;</t>
  </si>
  <si>
    <t>&lt;&lt;Chassis_1_FEXB_1&gt;&gt;</t>
  </si>
  <si>
    <t>&lt;&lt;Chassis_1_FEXB_2&gt;&gt;</t>
  </si>
  <si>
    <t>&lt;&lt;Chassis_1_FEXB_3&gt;&gt;</t>
  </si>
  <si>
    <t>&lt;&lt;Chassis_1_FEXB_4&gt;&gt;</t>
  </si>
  <si>
    <t>&lt;&lt;Nexus_A_FAB_B_1&gt;&gt;</t>
  </si>
  <si>
    <t>&lt;&lt;Nexus_A_FAB_B_2&gt;&gt;</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</si>
</sst>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5"/>
      <color theme="3"/>
      <name val="Calibri"/>
      <family val="2"/>
      <scheme val="minor"/>
    </font>
    <font>
      <b/>
      <sz val="9"/>
      <color rgb="FF336666"/>
      <name val="Arial"/>
      <family val="2"/>
    </font>
    <font>
      <sz val="8"/>
      <color rgb="FF000000"/>
      <name val="Arial"/>
      <family val="2"/>
    </font>
    <font>
      <vertAlign val="superscript"/>
      <sz val="8"/>
      <color rgb="FF000000"/>
      <name val="Arial"/>
      <family val="2"/>
    </font>
    <font>
      <b/>
      <sz val="11"/>
      <color theme="3"/>
      <name val="Calibri"/>
      <family val="2"/>
      <scheme val="minor"/>
    </font>
    <font>
      <u/>
      <sz val="11"/>
      <color theme="10"/>
      <name val="Calibri"/>
      <family val="2"/>
      <scheme val="minor"/>
    </font>
    <font>
      <sz val="11"/>
      <color theme="1"/>
      <name val="Calibri"/>
      <family val="2"/>
      <scheme val="minor"/>
    </font>
    <font>
      <b/>
      <sz val="13"/>
      <color theme="3"/>
      <name val="Calibri"/>
      <family val="2"/>
      <scheme val="minor"/>
    </font>
    <font>
      <sz val="8"/>
      <color theme="0"/>
      <name val="Arial"/>
      <family val="2"/>
    </font>
  </fonts>
  <fills count="5">
    <fill>
      <patternFill patternType="none"/>
    </fill>
    <fill>
      <patternFill patternType="gray125"/>
    </fill>
    <fill>
      <patternFill patternType="solid">
        <fgColor theme="4" tint="0.79998168889431442"/>
        <bgColor theme="4" tint="0.79998168889431442"/>
      </patternFill>
    </fill>
    <fill>
      <patternFill patternType="solid">
        <fgColor theme="4" tint="0.79998168889431442"/>
        <bgColor indexed="65"/>
      </patternFill>
    </fill>
    <fill>
      <patternFill patternType="solid">
        <fgColor theme="0"/>
        <bgColor indexed="64"/>
      </patternFill>
    </fill>
  </fills>
  <borders count="30">
    <border>
      <left/>
      <right/>
      <top/>
      <bottom/>
      <diagonal/>
    </border>
    <border>
      <left/>
      <right/>
      <top/>
      <bottom style="thick">
        <color theme="4"/>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rgb="FF808080"/>
      </left>
      <right style="thin">
        <color rgb="FF808080"/>
      </right>
      <top/>
      <bottom style="thin">
        <color rgb="FF808080"/>
      </bottom>
      <diagonal/>
    </border>
    <border>
      <left/>
      <right/>
      <top/>
      <bottom style="medium">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style="thin">
        <color theme="4" tint="0.39997558519241921"/>
      </top>
      <bottom/>
      <diagonal/>
    </border>
    <border>
      <left/>
      <right/>
      <top/>
      <bottom style="thin">
        <color theme="4" tint="0.39997558519241921"/>
      </bottom>
      <diagonal/>
    </border>
    <border>
      <left style="thin">
        <color rgb="FF808080"/>
      </left>
      <right style="thin">
        <color rgb="FF808080"/>
      </right>
      <top/>
      <bottom style="thin">
        <color indexed="64"/>
      </bottom>
      <diagonal/>
    </border>
    <border>
      <left/>
      <right/>
      <top/>
      <bottom style="thick">
        <color theme="4" tint="0.499984740745262"/>
      </bottom>
      <diagonal/>
    </border>
    <border>
      <left style="thin">
        <color theme="4" tint="0.39997558519241921"/>
      </left>
      <right/>
      <top style="thin">
        <color theme="4" tint="0.39997558519241921"/>
      </top>
      <bottom style="thick">
        <color theme="4"/>
      </bottom>
      <diagonal/>
    </border>
    <border>
      <left/>
      <right/>
      <top style="thin">
        <color theme="4" tint="0.39997558519241921"/>
      </top>
      <bottom style="thick">
        <color theme="4"/>
      </bottom>
      <diagonal/>
    </border>
    <border>
      <left/>
      <right style="thin">
        <color theme="4" tint="0.39997558519241921"/>
      </right>
      <top style="thin">
        <color theme="4" tint="0.39997558519241921"/>
      </top>
      <bottom style="thick">
        <color theme="4"/>
      </bottom>
      <diagonal/>
    </border>
    <border>
      <left style="thin">
        <color theme="4" tint="0.39997558519241921"/>
      </left>
      <right/>
      <top style="thin">
        <color theme="4" tint="0.39997558519241921"/>
      </top>
      <bottom style="thick">
        <color theme="4" tint="0.499984740745262"/>
      </bottom>
      <diagonal/>
    </border>
    <border>
      <left/>
      <right/>
      <top style="thin">
        <color theme="4" tint="0.39997558519241921"/>
      </top>
      <bottom style="thick">
        <color theme="4" tint="0.499984740745262"/>
      </bottom>
      <diagonal/>
    </border>
    <border>
      <left/>
      <right style="thin">
        <color theme="4" tint="0.39997558519241921"/>
      </right>
      <top style="thin">
        <color theme="4" tint="0.39997558519241921"/>
      </top>
      <bottom style="thick">
        <color theme="4" tint="0.499984740745262"/>
      </bottom>
      <diagonal/>
    </border>
    <border>
      <left/>
      <right style="thin">
        <color auto="1"/>
      </right>
      <top/>
      <bottom style="thick">
        <color theme="4"/>
      </bottom>
      <diagonal/>
    </border>
    <border>
      <left/>
      <right/>
      <top style="thick">
        <color theme="4"/>
      </top>
      <bottom style="thick">
        <color theme="4" tint="0.499984740745262"/>
      </bottom>
      <diagonal/>
    </border>
    <border>
      <left/>
      <right style="thin">
        <color auto="1"/>
      </right>
      <top style="thick">
        <color theme="4"/>
      </top>
      <bottom style="thick">
        <color theme="4" tint="0.499984740745262"/>
      </bottom>
      <diagonal/>
    </border>
    <border>
      <left style="thin">
        <color theme="4" tint="0.39997558519241921"/>
      </left>
      <right/>
      <top style="thick">
        <color theme="4"/>
      </top>
      <bottom style="thick">
        <color theme="4" tint="0.499984740745262"/>
      </bottom>
      <diagonal/>
    </border>
    <border>
      <left/>
      <right/>
      <top style="thin">
        <color theme="4" tint="0.39997558519241921"/>
      </top>
      <bottom style="thin">
        <color theme="4" tint="0.39997558519241921"/>
      </bottom>
      <diagonal/>
    </border>
    <border>
      <left style="thin">
        <color theme="4" tint="0.39997558519241921"/>
      </left>
      <right/>
      <top/>
      <bottom style="thick">
        <color theme="4"/>
      </bottom>
      <diagonal/>
    </border>
    <border>
      <left style="thin">
        <color theme="4" tint="0.39997558519241921"/>
      </left>
      <right/>
      <top/>
      <bottom/>
      <diagonal/>
    </border>
    <border>
      <left/>
      <right style="thin">
        <color theme="4" tint="0.39997558519241921"/>
      </right>
      <top/>
      <bottom style="thick">
        <color theme="4"/>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6">
    <xf numFmtId="0" fontId="0" fillId="0" borderId="0"/>
    <xf numFmtId="0" fontId="1" fillId="0" borderId="1" applyNumberFormat="0" applyFill="0" applyAlignment="0" applyProtection="0"/>
    <xf numFmtId="0" fontId="5" fillId="0" borderId="6" applyNumberFormat="0" applyFill="0" applyAlignment="0" applyProtection="0"/>
    <xf numFmtId="0" fontId="6" fillId="0" borderId="0" applyNumberFormat="0" applyFill="0" applyBorder="0" applyAlignment="0" applyProtection="0"/>
    <xf numFmtId="0" fontId="8" fillId="0" borderId="13" applyNumberFormat="0" applyFill="0" applyAlignment="0" applyProtection="0"/>
    <xf numFmtId="0" fontId="7" fillId="3" borderId="0" applyNumberFormat="0" applyBorder="0" applyAlignment="0" applyProtection="0"/>
  </cellStyleXfs>
  <cellXfs count="68">
    <xf numFmtId="0" fontId="0" fillId="0" borderId="0" xfId="0"/>
    <xf numFmtId="0" fontId="2" fillId="0" borderId="2" xfId="0" applyFont="1" applyBorder="1" applyAlignment="1">
      <alignment horizontal="left" vertical="center" wrapText="1"/>
    </xf>
    <xf numFmtId="0" fontId="3" fillId="0" borderId="2" xfId="0" applyFont="1" applyBorder="1" applyAlignment="1">
      <alignment horizontal="left" vertical="center" wrapText="1"/>
    </xf>
    <xf numFmtId="0" fontId="0" fillId="0" borderId="0" xfId="0" applyAlignment="1">
      <alignment wrapText="1"/>
    </xf>
    <xf numFmtId="49" fontId="0" fillId="0" borderId="0" xfId="0" applyNumberFormat="1"/>
    <xf numFmtId="49" fontId="1" fillId="0" borderId="1" xfId="1" applyNumberFormat="1"/>
    <xf numFmtId="0" fontId="1" fillId="0" borderId="1" xfId="1"/>
    <xf numFmtId="49" fontId="0" fillId="0" borderId="0" xfId="0" applyNumberFormat="1" applyAlignment="1">
      <alignment vertical="top" wrapText="1"/>
    </xf>
    <xf numFmtId="0" fontId="0" fillId="2" borderId="7" xfId="0" applyFont="1" applyFill="1" applyBorder="1"/>
    <xf numFmtId="0" fontId="0" fillId="2" borderId="8" xfId="0" applyFont="1" applyFill="1" applyBorder="1"/>
    <xf numFmtId="0" fontId="0" fillId="0" borderId="7" xfId="0" applyFont="1" applyBorder="1"/>
    <xf numFmtId="0" fontId="0" fillId="0" borderId="8" xfId="0" applyFont="1" applyBorder="1"/>
    <xf numFmtId="0" fontId="6" fillId="2" borderId="8" xfId="3" applyFill="1" applyBorder="1"/>
    <xf numFmtId="0" fontId="5" fillId="0" borderId="6" xfId="2"/>
    <xf numFmtId="0" fontId="0" fillId="0" borderId="9" xfId="0" applyFont="1" applyBorder="1"/>
    <xf numFmtId="0" fontId="0" fillId="0" borderId="10" xfId="0" applyBorder="1"/>
    <xf numFmtId="0" fontId="0" fillId="0" borderId="11" xfId="0" applyBorder="1"/>
    <xf numFmtId="0" fontId="0" fillId="0" borderId="0" xfId="0" applyAlignment="1">
      <alignment horizontal="center"/>
    </xf>
    <xf numFmtId="0" fontId="3" fillId="0" borderId="3" xfId="0" applyFont="1" applyBorder="1" applyAlignment="1">
      <alignment horizontal="center" vertical="center" wrapText="1"/>
    </xf>
    <xf numFmtId="0" fontId="3" fillId="0" borderId="5" xfId="0" applyFont="1" applyBorder="1" applyAlignment="1">
      <alignment horizontal="center" vertical="center" wrapText="1"/>
    </xf>
    <xf numFmtId="0" fontId="3" fillId="0" borderId="12" xfId="0" applyFont="1" applyBorder="1" applyAlignment="1">
      <alignment horizontal="center" vertical="center" wrapText="1"/>
    </xf>
    <xf numFmtId="0" fontId="1" fillId="0" borderId="1" xfId="1" applyAlignment="1">
      <alignment horizontal="center"/>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3" fillId="0" borderId="4" xfId="0" applyFont="1" applyBorder="1" applyAlignment="1">
      <alignment horizontal="center" vertical="center" wrapText="1"/>
    </xf>
    <xf numFmtId="0" fontId="1" fillId="0" borderId="1" xfId="1" applyAlignment="1">
      <alignment horizontal="center" vertical="center" wrapText="1"/>
    </xf>
    <xf numFmtId="49" fontId="0" fillId="0" borderId="0" xfId="0" applyNumberFormat="1" applyAlignment="1">
      <alignment horizontal="left" vertical="top" wrapText="1"/>
    </xf>
    <xf numFmtId="0" fontId="1" fillId="4" borderId="1" xfId="1" applyFill="1"/>
    <xf numFmtId="0" fontId="8" fillId="4" borderId="13" xfId="4" applyFill="1" applyAlignment="1">
      <alignment horizontal="center"/>
    </xf>
    <xf numFmtId="0" fontId="8" fillId="4" borderId="13" xfId="4" applyFill="1"/>
    <xf numFmtId="0" fontId="8" fillId="0" borderId="13" xfId="4"/>
    <xf numFmtId="0" fontId="1" fillId="4" borderId="14" xfId="1" applyFont="1" applyFill="1" applyBorder="1"/>
    <xf numFmtId="0" fontId="1" fillId="4" borderId="15" xfId="1" applyFont="1" applyFill="1" applyBorder="1"/>
    <xf numFmtId="0" fontId="1" fillId="4" borderId="16" xfId="1" applyFont="1" applyFill="1" applyBorder="1"/>
    <xf numFmtId="0" fontId="8" fillId="4" borderId="17" xfId="4" applyFont="1" applyFill="1" applyBorder="1" applyAlignment="1">
      <alignment horizontal="center"/>
    </xf>
    <xf numFmtId="0" fontId="8" fillId="4" borderId="18" xfId="4" applyFont="1" applyFill="1" applyBorder="1" applyAlignment="1">
      <alignment horizontal="center"/>
    </xf>
    <xf numFmtId="0" fontId="8" fillId="4" borderId="19" xfId="4" applyFont="1" applyFill="1" applyBorder="1" applyAlignment="1">
      <alignment horizontal="center"/>
    </xf>
    <xf numFmtId="0" fontId="8" fillId="4" borderId="23" xfId="4" applyFont="1" applyFill="1" applyBorder="1" applyAlignment="1">
      <alignment horizontal="center"/>
    </xf>
    <xf numFmtId="0" fontId="8" fillId="4" borderId="21" xfId="4" applyFont="1" applyFill="1" applyBorder="1" applyAlignment="1">
      <alignment horizontal="center"/>
    </xf>
    <xf numFmtId="0" fontId="8" fillId="4" borderId="22" xfId="4" applyFont="1" applyFill="1" applyBorder="1" applyAlignment="1">
      <alignment horizontal="center"/>
    </xf>
    <xf numFmtId="0" fontId="0" fillId="4" borderId="0" xfId="0" applyFill="1"/>
    <xf numFmtId="0" fontId="0" fillId="0" borderId="0" xfId="0" applyFill="1" applyBorder="1" applyAlignment="1">
      <alignment horizontal="center"/>
    </xf>
    <xf numFmtId="49" fontId="0" fillId="0" borderId="0" xfId="0" applyNumberFormat="1" applyBorder="1"/>
    <xf numFmtId="0" fontId="0" fillId="0" borderId="0" xfId="0" applyBorder="1"/>
    <xf numFmtId="0" fontId="8" fillId="0" borderId="0" xfId="4" applyFill="1" applyBorder="1" applyAlignment="1">
      <alignment horizontal="center"/>
    </xf>
    <xf numFmtId="0" fontId="0" fillId="0" borderId="24" xfId="0" applyFont="1" applyBorder="1"/>
    <xf numFmtId="49" fontId="0" fillId="2" borderId="7" xfId="0" applyNumberFormat="1" applyFont="1" applyFill="1" applyBorder="1"/>
    <xf numFmtId="0" fontId="0" fillId="2" borderId="24" xfId="0" applyFont="1" applyFill="1" applyBorder="1"/>
    <xf numFmtId="0" fontId="8" fillId="0" borderId="13" xfId="4" applyAlignment="1">
      <alignment horizontal="center"/>
    </xf>
    <xf numFmtId="0" fontId="8" fillId="4" borderId="19" xfId="4" applyFont="1" applyFill="1" applyBorder="1"/>
    <xf numFmtId="0" fontId="6" fillId="0" borderId="0" xfId="3"/>
    <xf numFmtId="0" fontId="1" fillId="4" borderId="25" xfId="1" applyFont="1" applyFill="1" applyBorder="1"/>
    <xf numFmtId="0" fontId="1" fillId="4" borderId="1" xfId="1" applyFont="1" applyFill="1" applyBorder="1"/>
    <xf numFmtId="0" fontId="1" fillId="4" borderId="20" xfId="1" applyFont="1" applyFill="1" applyBorder="1"/>
    <xf numFmtId="0" fontId="1" fillId="4" borderId="27" xfId="1" applyFont="1" applyFill="1" applyBorder="1"/>
    <xf numFmtId="49" fontId="0" fillId="4" borderId="28" xfId="0" applyNumberFormat="1" applyFont="1" applyFill="1" applyBorder="1"/>
    <xf numFmtId="0" fontId="0" fillId="4" borderId="10" xfId="0" applyFont="1" applyFill="1" applyBorder="1"/>
    <xf numFmtId="0" fontId="0" fillId="4" borderId="29" xfId="0" applyFont="1" applyFill="1" applyBorder="1"/>
    <xf numFmtId="0" fontId="7" fillId="0" borderId="0" xfId="5" applyFill="1" applyBorder="1"/>
    <xf numFmtId="0" fontId="7" fillId="0" borderId="24" xfId="5" applyFill="1" applyBorder="1" applyAlignment="1">
      <alignment horizontal="center"/>
    </xf>
    <xf numFmtId="0" fontId="7" fillId="0" borderId="0" xfId="5" applyFill="1"/>
    <xf numFmtId="49" fontId="0" fillId="0" borderId="26" xfId="0" applyNumberFormat="1" applyFont="1" applyFill="1" applyBorder="1"/>
    <xf numFmtId="0" fontId="0" fillId="0" borderId="0" xfId="0" applyFill="1"/>
    <xf numFmtId="0" fontId="0" fillId="0" borderId="24" xfId="0" applyFont="1" applyFill="1" applyBorder="1" applyAlignment="1">
      <alignment horizontal="center"/>
    </xf>
    <xf numFmtId="0" fontId="0" fillId="0" borderId="0" xfId="0" applyFont="1" applyFill="1" applyBorder="1"/>
    <xf numFmtId="0" fontId="0" fillId="0" borderId="0" xfId="0" applyFont="1" applyFill="1" applyBorder="1" applyAlignment="1">
      <alignment horizontal="center"/>
    </xf>
    <xf numFmtId="0" fontId="0" fillId="0" borderId="0" xfId="0" applyAlignment="1">
      <alignment horizontal="left"/>
    </xf>
  </cellXfs>
  <cellStyles count="6">
    <cellStyle name="20% - Accent1" xfId="5" builtinId="30"/>
    <cellStyle name="Heading 1" xfId="1" builtinId="16"/>
    <cellStyle name="Heading 2" xfId="4" builtinId="17"/>
    <cellStyle name="Heading 3" xfId="2" builtinId="18"/>
    <cellStyle name="Hyperlink" xfId="3" builtinId="8"/>
    <cellStyle name="Normal" xfId="0" builtinId="0"/>
  </cellStyles>
  <dxfs count="11">
    <dxf>
      <border outline="0">
        <right style="thin">
          <color auto="1"/>
        </right>
        <bottom style="thin">
          <color auto="1"/>
        </bottom>
      </border>
    </dxf>
    <dxf>
      <fill>
        <patternFill patternType="solid">
          <fgColor indexed="64"/>
          <bgColor theme="0"/>
        </patternFill>
      </fill>
    </dxf>
    <dxf>
      <font>
        <b/>
        <i val="0"/>
        <strike val="0"/>
        <condense val="0"/>
        <extend val="0"/>
        <outline val="0"/>
        <shadow val="0"/>
        <u val="none"/>
        <vertAlign val="baseline"/>
        <sz val="15"/>
        <color theme="3"/>
        <name val="Calibri"/>
        <scheme val="minor"/>
      </font>
      <fill>
        <patternFill patternType="solid">
          <fgColor indexed="64"/>
          <bgColor theme="0"/>
        </patternFill>
      </fill>
    </dxf>
    <dxf>
      <border outline="0">
        <bottom style="thick">
          <color theme="4"/>
        </bottom>
      </border>
    </dxf>
    <dxf>
      <border outline="0">
        <top style="thin">
          <color theme="4" tint="0.39997558519241921"/>
        </top>
        <bottom style="thin">
          <color theme="4" tint="0.39997558519241921"/>
        </bottom>
      </border>
    </dxf>
    <dxf>
      <font>
        <b/>
        <i val="0"/>
        <strike val="0"/>
        <condense val="0"/>
        <extend val="0"/>
        <outline val="0"/>
        <shadow val="0"/>
        <u val="none"/>
        <vertAlign val="baseline"/>
        <sz val="15"/>
        <color theme="3"/>
        <name val="Calibri"/>
        <scheme val="minor"/>
      </font>
      <fill>
        <patternFill patternType="solid">
          <fgColor indexed="64"/>
          <bgColor theme="0"/>
        </patternFill>
      </fill>
    </dxf>
    <dxf>
      <border outline="0">
        <bottom style="thick">
          <color theme="4"/>
        </bottom>
      </border>
    </dxf>
    <dxf>
      <border outline="0">
        <top style="thin">
          <color theme="4" tint="0.39997558519241921"/>
        </top>
      </border>
    </dxf>
    <dxf>
      <fill>
        <patternFill patternType="solid">
          <fgColor indexed="64"/>
          <bgColor theme="0"/>
        </patternFill>
      </fill>
    </dxf>
    <dxf>
      <numFmt numFmtId="30" formatCode="@"/>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queryTables/queryTable1.xml><?xml version="1.0" encoding="utf-8"?>
<queryTable xmlns="http://schemas.openxmlformats.org/spreadsheetml/2006/main" name="Variables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Variabl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Variables_1" connectionId="3" autoFormatId="16" applyNumberFormats="0" applyBorderFormats="0" applyFontFormats="1" applyPatternFormats="1" applyAlignmentFormats="0" applyWidthHeightFormats="0"/>
</file>

<file path=xl/tables/table1.xml><?xml version="1.0" encoding="utf-8"?>
<table xmlns="http://schemas.openxmlformats.org/spreadsheetml/2006/main" id="3" name="Table3" displayName="Table3" ref="A1:B26" totalsRowShown="0">
  <autoFilter ref="A1:B26"/>
  <tableColumns count="2">
    <tableColumn id="1" name="Question"/>
    <tableColumn id="2" name="Answer"/>
  </tableColumns>
  <tableStyleInfo name="TableStyleMedium2" showFirstColumn="0" showLastColumn="0" showRowStripes="1" showColumnStripes="0"/>
</table>
</file>

<file path=xl/tables/table2.xml><?xml version="1.0" encoding="utf-8"?>
<table xmlns="http://schemas.openxmlformats.org/spreadsheetml/2006/main" id="4" name="Table4" displayName="Table4" ref="A1:C70" totalsRowShown="0" headerRowDxfId="1" tableBorderDxfId="0" headerRowCellStyle="Heading 1">
  <autoFilter ref="A1:C70"/>
  <tableColumns count="3">
    <tableColumn id="1" name="Name"/>
    <tableColumn id="2" name="Value"/>
    <tableColumn id="3" name="Description"/>
  </tableColumns>
  <tableStyleInfo name="TableStyleMedium2" showFirstColumn="0" showLastColumn="0" showRowStripes="1" showColumnStripes="0"/>
</table>
</file>

<file path=xl/tables/table3.xml><?xml version="1.0" encoding="utf-8"?>
<table xmlns="http://schemas.openxmlformats.org/spreadsheetml/2006/main" id="6" name="Table6" displayName="Table6" ref="A1:C77" totalsRowShown="0" headerRowDxfId="5" headerRowBorderDxfId="6" tableBorderDxfId="7" headerRowCellStyle="Heading 1">
  <autoFilter ref="A1:C77"/>
  <tableColumns count="3">
    <tableColumn id="1" name="Name"/>
    <tableColumn id="2" name="Value"/>
    <tableColumn id="3" name="Description"/>
  </tableColumns>
  <tableStyleInfo name="TableStyleMedium2" showFirstColumn="0" showLastColumn="0" showRowStripes="1" showColumnStripes="0"/>
</table>
</file>

<file path=xl/tables/table4.xml><?xml version="1.0" encoding="utf-8"?>
<table xmlns="http://schemas.openxmlformats.org/spreadsheetml/2006/main" id="5" name="Table5" displayName="Table5" ref="A1:C39" totalsRowShown="0" headerRowDxfId="8" headerRowBorderDxfId="10" headerRowCellStyle="Heading 1">
  <autoFilter ref="A1:C39"/>
  <tableColumns count="3">
    <tableColumn id="1" name="Name" dataDxfId="9"/>
    <tableColumn id="2" name="Value"/>
    <tableColumn id="3" name="Description"/>
  </tableColumns>
  <tableStyleInfo name="TableStyleMedium2" showFirstColumn="0" showLastColumn="0" showRowStripes="1" showColumnStripes="0"/>
</table>
</file>

<file path=xl/tables/table5.xml><?xml version="1.0" encoding="utf-8"?>
<table xmlns="http://schemas.openxmlformats.org/spreadsheetml/2006/main" id="7" name="Table7" displayName="Table7" ref="A1:C22" totalsRowShown="0" headerRowDxfId="2" headerRowBorderDxfId="3" tableBorderDxfId="4" headerRowCellStyle="Heading 1">
  <autoFilter ref="A1:C22"/>
  <tableColumns count="3">
    <tableColumn id="1" name="Name"/>
    <tableColumn id="2" name="Value"/>
    <tableColumn id="3"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mailto:test@test.local" TargetMode="External"/></Relationships>
</file>

<file path=xl/worksheets/_rels/sheet10.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ftp://netapp-boot.test.local/" TargetMode="External"/><Relationship Id="rId1" Type="http://schemas.openxmlformats.org/officeDocument/2006/relationships/hyperlink" Target="mailto:admin@test.local"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9.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abSelected="1" workbookViewId="0">
      <selection activeCell="B5" sqref="B5"/>
    </sheetView>
  </sheetViews>
  <sheetFormatPr defaultRowHeight="15" x14ac:dyDescent="0.25"/>
  <cols>
    <col min="1" max="1" width="30" bestFit="1" customWidth="1"/>
    <col min="2" max="2" width="14.5703125" bestFit="1" customWidth="1"/>
    <col min="5" max="5" width="28.85546875" bestFit="1" customWidth="1"/>
    <col min="6" max="6" width="20.28515625" customWidth="1"/>
    <col min="8" max="8" width="29" bestFit="1" customWidth="1"/>
  </cols>
  <sheetData>
    <row r="1" spans="1:6" x14ac:dyDescent="0.25">
      <c r="A1" t="s">
        <v>288</v>
      </c>
      <c r="B1" t="s">
        <v>289</v>
      </c>
      <c r="E1" s="17"/>
      <c r="F1" s="17"/>
    </row>
    <row r="2" spans="1:6" x14ac:dyDescent="0.25">
      <c r="A2" t="s">
        <v>280</v>
      </c>
      <c r="B2" t="s">
        <v>282</v>
      </c>
    </row>
    <row r="3" spans="1:6" x14ac:dyDescent="0.25">
      <c r="A3" t="s">
        <v>281</v>
      </c>
      <c r="B3" t="b">
        <v>1</v>
      </c>
    </row>
    <row r="4" spans="1:6" x14ac:dyDescent="0.25">
      <c r="A4" t="s">
        <v>286</v>
      </c>
      <c r="B4" t="b">
        <v>1</v>
      </c>
    </row>
    <row r="5" spans="1:6" x14ac:dyDescent="0.25">
      <c r="A5" t="s">
        <v>753</v>
      </c>
      <c r="B5" t="b">
        <v>1</v>
      </c>
    </row>
    <row r="7" spans="1:6" ht="15.75" thickBot="1" x14ac:dyDescent="0.3">
      <c r="A7" s="13" t="s">
        <v>677</v>
      </c>
    </row>
    <row r="8" spans="1:6" x14ac:dyDescent="0.25">
      <c r="A8" s="10" t="s">
        <v>22</v>
      </c>
      <c r="B8" s="11" t="s">
        <v>80</v>
      </c>
    </row>
    <row r="9" spans="1:6" x14ac:dyDescent="0.25">
      <c r="A9" s="8" t="s">
        <v>408</v>
      </c>
      <c r="B9" s="9" t="s">
        <v>534</v>
      </c>
    </row>
    <row r="10" spans="1:6" x14ac:dyDescent="0.25">
      <c r="A10" s="10" t="s">
        <v>409</v>
      </c>
      <c r="B10" s="11" t="s">
        <v>688</v>
      </c>
    </row>
    <row r="11" spans="1:6" x14ac:dyDescent="0.25">
      <c r="A11" s="8" t="s">
        <v>410</v>
      </c>
      <c r="B11" s="9" t="s">
        <v>689</v>
      </c>
      <c r="E11" s="16"/>
    </row>
    <row r="12" spans="1:6" x14ac:dyDescent="0.25">
      <c r="A12" s="10" t="s">
        <v>411</v>
      </c>
      <c r="B12" s="11" t="s">
        <v>674</v>
      </c>
    </row>
    <row r="13" spans="1:6" x14ac:dyDescent="0.25">
      <c r="A13" s="8" t="s">
        <v>675</v>
      </c>
      <c r="B13" s="12" t="s">
        <v>684</v>
      </c>
    </row>
    <row r="14" spans="1:6" x14ac:dyDescent="0.25">
      <c r="B14" s="11"/>
    </row>
    <row r="15" spans="1:6" ht="15.75" thickBot="1" x14ac:dyDescent="0.3">
      <c r="A15" s="13" t="s">
        <v>678</v>
      </c>
    </row>
    <row r="16" spans="1:6" x14ac:dyDescent="0.25">
      <c r="A16" t="s">
        <v>690</v>
      </c>
      <c r="B16" t="s">
        <v>691</v>
      </c>
    </row>
    <row r="17" spans="1:5" x14ac:dyDescent="0.25">
      <c r="A17" s="14" t="s">
        <v>676</v>
      </c>
      <c r="B17" t="s">
        <v>687</v>
      </c>
    </row>
    <row r="18" spans="1:5" x14ac:dyDescent="0.25">
      <c r="A18" t="s">
        <v>679</v>
      </c>
      <c r="B18" t="s">
        <v>685</v>
      </c>
    </row>
    <row r="19" spans="1:5" x14ac:dyDescent="0.25">
      <c r="A19" t="s">
        <v>692</v>
      </c>
      <c r="B19" t="s">
        <v>87</v>
      </c>
    </row>
    <row r="20" spans="1:5" x14ac:dyDescent="0.25">
      <c r="A20" t="s">
        <v>693</v>
      </c>
      <c r="B20" t="s">
        <v>84</v>
      </c>
      <c r="E20" s="15"/>
    </row>
    <row r="21" spans="1:5" x14ac:dyDescent="0.25">
      <c r="A21" t="s">
        <v>680</v>
      </c>
      <c r="B21" t="s">
        <v>685</v>
      </c>
    </row>
    <row r="22" spans="1:5" x14ac:dyDescent="0.25">
      <c r="A22" t="s">
        <v>681</v>
      </c>
      <c r="B22" t="s">
        <v>686</v>
      </c>
    </row>
    <row r="23" spans="1:5" x14ac:dyDescent="0.25">
      <c r="A23" t="s">
        <v>682</v>
      </c>
      <c r="B23" t="s">
        <v>87</v>
      </c>
    </row>
    <row r="24" spans="1:5" x14ac:dyDescent="0.25">
      <c r="A24" t="s">
        <v>698</v>
      </c>
      <c r="B24" t="s">
        <v>88</v>
      </c>
    </row>
    <row r="25" spans="1:5" x14ac:dyDescent="0.25">
      <c r="A25" t="s">
        <v>683</v>
      </c>
      <c r="B25" t="s">
        <v>706</v>
      </c>
    </row>
    <row r="26" spans="1:5" x14ac:dyDescent="0.25">
      <c r="A26" t="s">
        <v>991</v>
      </c>
      <c r="B26" t="s">
        <v>84</v>
      </c>
    </row>
  </sheetData>
  <mergeCells count="1">
    <mergeCell ref="E1:F1"/>
  </mergeCells>
  <hyperlinks>
    <hyperlink ref="B13" r:id="rId1"/>
  </hyperlinks>
  <pageMargins left="0.7" right="0.7" top="0.75" bottom="0.75" header="0.3" footer="0.3"/>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'hidden work'!$C$3:$C$5</xm:f>
          </x14:formula1>
          <xm:sqref>B2</xm:sqref>
        </x14:dataValidation>
        <x14:dataValidation type="list" allowBlank="1" showInputMessage="1" showErrorMessage="1">
          <x14:formula1>
            <xm:f>'hidden work'!$E$3:$E$4</xm:f>
          </x14:formula1>
          <xm:sqref>B3:B4 B5</xm:sqref>
        </x14:dataValidation>
        <x14:dataValidation type="list" allowBlank="1" showInputMessage="1" showErrorMessage="1">
          <x14:formula1>
            <xm:f>'hidden work'!$P$3:$P$266</xm:f>
          </x14:formula1>
          <xm:sqref>B12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6"/>
  <sheetViews>
    <sheetView topLeftCell="A8" workbookViewId="0">
      <selection activeCell="B13" sqref="B13"/>
    </sheetView>
  </sheetViews>
  <sheetFormatPr defaultRowHeight="15" x14ac:dyDescent="0.25"/>
  <cols>
    <col min="1" max="1" width="44.85546875" bestFit="1" customWidth="1"/>
    <col min="2" max="2" width="41.42578125" bestFit="1" customWidth="1"/>
    <col min="3" max="3" width="67.28515625" bestFit="1" customWidth="1"/>
  </cols>
  <sheetData>
    <row r="1" spans="1:3" x14ac:dyDescent="0.25">
      <c r="A1" s="27" t="s">
        <v>255</v>
      </c>
      <c r="B1" s="27"/>
      <c r="C1" s="27"/>
    </row>
    <row r="2" spans="1:3" ht="20.25" thickBot="1" x14ac:dyDescent="0.35">
      <c r="A2" s="5" t="s">
        <v>162</v>
      </c>
      <c r="B2" s="6" t="s">
        <v>164</v>
      </c>
      <c r="C2" s="6" t="s">
        <v>163</v>
      </c>
    </row>
    <row r="3" spans="1:3" ht="15.75" thickTop="1" x14ac:dyDescent="0.25">
      <c r="A3" s="4" t="s">
        <v>293</v>
      </c>
      <c r="B3" s="67" t="str">
        <f>VLOOKUP("Netapp Node 1 IP Address",'NetApp Info'!A3:C121,2,FALSE)</f>
        <v>192.168.20.11</v>
      </c>
      <c r="C3" t="s">
        <v>165</v>
      </c>
    </row>
    <row r="4" spans="1:3" x14ac:dyDescent="0.25">
      <c r="A4" s="4" t="s">
        <v>294</v>
      </c>
      <c r="B4" s="67" t="str">
        <f>VLOOKUP("Netapp Node 1 subnet mask",'NetApp Info'!A3:C121,2,FALSE)</f>
        <v>255.255.255.0</v>
      </c>
      <c r="C4" t="s">
        <v>166</v>
      </c>
    </row>
    <row r="5" spans="1:3" x14ac:dyDescent="0.25">
      <c r="A5" s="4" t="s">
        <v>295</v>
      </c>
      <c r="B5" s="67" t="str">
        <f>VLOOKUP("Netapp Node 1 Gateway",'NetApp Info'!A3:C121,2,FALSE)</f>
        <v>192.168.20.254</v>
      </c>
      <c r="C5" t="s">
        <v>167</v>
      </c>
    </row>
    <row r="6" spans="1:3" x14ac:dyDescent="0.25">
      <c r="A6" s="4" t="s">
        <v>296</v>
      </c>
      <c r="B6" s="67" t="str">
        <f>VLOOKUP("Boot Software URL",'NetApp Info'!A3:C121,2,FALSE)</f>
        <v>ftp://netapp-boot.test.local</v>
      </c>
      <c r="C6" t="s">
        <v>249</v>
      </c>
    </row>
    <row r="7" spans="1:3" x14ac:dyDescent="0.25">
      <c r="A7" s="4" t="s">
        <v>297</v>
      </c>
      <c r="B7" s="67">
        <f>VLOOKUP("Number of Disks to assign controllers",'NetApp Info'!A3:C121,2,FALSE)</f>
        <v>16</v>
      </c>
      <c r="C7" t="s">
        <v>168</v>
      </c>
    </row>
    <row r="8" spans="1:3" x14ac:dyDescent="0.25">
      <c r="A8" s="4" t="s">
        <v>298</v>
      </c>
      <c r="B8" s="67" t="str">
        <f>VLOOKUP("Netapp Node 2 Name",'NetApp Info'!A3:C121,2,FALSE)</f>
        <v>netapp-02</v>
      </c>
      <c r="C8" t="s">
        <v>169</v>
      </c>
    </row>
    <row r="9" spans="1:3" x14ac:dyDescent="0.25">
      <c r="A9" s="4" t="s">
        <v>299</v>
      </c>
      <c r="B9" s="67" t="str">
        <f>VLOOKUP("Netapp Node 2 IP Address",'NetApp Info'!A3:C121,2,FALSE)</f>
        <v>192.168.20.12</v>
      </c>
      <c r="C9" t="s">
        <v>166</v>
      </c>
    </row>
    <row r="10" spans="1:3" x14ac:dyDescent="0.25">
      <c r="A10" s="4" t="s">
        <v>300</v>
      </c>
      <c r="B10" s="67" t="str">
        <f>VLOOKUP("Netapp Node 2 subnet mask",'NetApp Info'!A3:C121,2,FALSE)</f>
        <v>255.255.255.0</v>
      </c>
      <c r="C10" t="s">
        <v>167</v>
      </c>
    </row>
    <row r="11" spans="1:3" x14ac:dyDescent="0.25">
      <c r="A11" s="4" t="s">
        <v>301</v>
      </c>
      <c r="B11" s="67" t="str">
        <f>VLOOKUP("Cluster Name",'NetApp Info'!A3:C121,2,FALSE)</f>
        <v>netapp</v>
      </c>
      <c r="C11" t="s">
        <v>170</v>
      </c>
    </row>
    <row r="12" spans="1:3" x14ac:dyDescent="0.25">
      <c r="A12" s="4" t="s">
        <v>699</v>
      </c>
      <c r="B12" s="67" t="str">
        <f>VLOOKUP("Aggregate Name",'NetApp Info'!A3:C121,2,FALSE)</f>
        <v>aggr1</v>
      </c>
    </row>
    <row r="13" spans="1:3" x14ac:dyDescent="0.25">
      <c r="A13" s="4" t="s">
        <v>701</v>
      </c>
      <c r="B13" s="67" t="str">
        <f>VLOOKUP("VIF name",'NetApp Info'!A3:C121,2,FALSE)</f>
        <v>vif1</v>
      </c>
    </row>
    <row r="14" spans="1:3" x14ac:dyDescent="0.25">
      <c r="A14" s="4" t="s">
        <v>302</v>
      </c>
      <c r="B14" s="67" t="str">
        <f>VLOOKUP("Cluster Base License",'NetApp Info'!A3:C121,2,FALSE)</f>
        <v>SMKQROWJNQYQSDAAAAAAAAAAAAAA</v>
      </c>
      <c r="C14" t="s">
        <v>171</v>
      </c>
    </row>
    <row r="15" spans="1:3" x14ac:dyDescent="0.25">
      <c r="A15" s="4" t="s">
        <v>365</v>
      </c>
      <c r="B15" s="67" t="str">
        <f>VLOOKUP("Netapp Node 1 Flexclone License",'NetApp Info'!A3:C121,2,FALSE)</f>
        <v>ENHZFAFTVDDCMAXAGAAAAAAAAAAA</v>
      </c>
      <c r="C15" t="s">
        <v>375</v>
      </c>
    </row>
    <row r="16" spans="1:3" x14ac:dyDescent="0.25">
      <c r="A16" s="4" t="s">
        <v>367</v>
      </c>
      <c r="B16" s="67" t="str">
        <f>VLOOKUP("Netapp Node 1 iSCSI License",'NetApp Info'!A3:C121,2,FALSE)</f>
        <v>WOSCDAFTVDDCMAXAGAAAAAAAAAAA</v>
      </c>
      <c r="C16" t="s">
        <v>377</v>
      </c>
    </row>
    <row r="17" spans="1:3" x14ac:dyDescent="0.25">
      <c r="A17" s="4" t="s">
        <v>369</v>
      </c>
      <c r="B17" s="67" t="str">
        <f>VLOOKUP("Netapp Node 1 NFS License",'NetApp Info'!A3:C121,2,FALSE)</f>
        <v>YZWYBAFTVDDCMAXAGAAAAAAAAAAA</v>
      </c>
      <c r="C17" t="s">
        <v>379</v>
      </c>
    </row>
    <row r="18" spans="1:3" x14ac:dyDescent="0.25">
      <c r="A18" s="4" t="s">
        <v>370</v>
      </c>
      <c r="B18" s="67" t="str">
        <f>VLOOKUP("Netapp Node 2 Flexclone License",'NetApp Info'!A3:C121,2,FALSE)</f>
        <v>CQCWNTJWOZNBBGXAGAAAAAAAAAAA</v>
      </c>
      <c r="C18" t="s">
        <v>380</v>
      </c>
    </row>
    <row r="19" spans="1:3" x14ac:dyDescent="0.25">
      <c r="A19" s="4" t="s">
        <v>372</v>
      </c>
      <c r="B19" s="67" t="str">
        <f>VLOOKUP("Netapp Node 2 iSCSI License",'NetApp Info'!A3:C121,2,FALSE)</f>
        <v>URNZKTJWOZNBBGXAGAAAAAAAAAAA</v>
      </c>
      <c r="C19" t="s">
        <v>382</v>
      </c>
    </row>
    <row r="20" spans="1:3" x14ac:dyDescent="0.25">
      <c r="A20" s="4" t="s">
        <v>374</v>
      </c>
      <c r="B20" s="67" t="str">
        <f>VLOOKUP("Netapp Node 2 NFS License",'NetApp Info'!A3:C121,2,FALSE)</f>
        <v>WCSVJTJWOZNBBGXAGAAAAAAAAAAA</v>
      </c>
      <c r="C20" t="s">
        <v>384</v>
      </c>
    </row>
    <row r="21" spans="1:3" x14ac:dyDescent="0.25">
      <c r="A21" s="4" t="s">
        <v>303</v>
      </c>
      <c r="B21" s="67" t="str">
        <f>VLOOKUP("Cluster Password",'NetApp Info'!A3:C121,2,FALSE)</f>
        <v>test1234</v>
      </c>
      <c r="C21" t="s">
        <v>172</v>
      </c>
    </row>
    <row r="22" spans="1:3" x14ac:dyDescent="0.25">
      <c r="A22" s="4" t="s">
        <v>304</v>
      </c>
      <c r="B22" s="67" t="str">
        <f>VLOOKUP("Cluster management IP address",'NetApp Info'!A3:C121,2,FALSE)</f>
        <v>192.168.20.10</v>
      </c>
      <c r="C22" t="s">
        <v>173</v>
      </c>
    </row>
    <row r="23" spans="1:3" x14ac:dyDescent="0.25">
      <c r="A23" s="4" t="s">
        <v>305</v>
      </c>
      <c r="B23" s="67" t="str">
        <f>VLOOKUP("Cluster Management Subnet Mask",'NetApp Info'!A3:C121,2,FALSE)</f>
        <v>255.255.255.0</v>
      </c>
      <c r="C23" t="s">
        <v>174</v>
      </c>
    </row>
    <row r="24" spans="1:3" x14ac:dyDescent="0.25">
      <c r="A24" s="4" t="s">
        <v>306</v>
      </c>
      <c r="B24" s="67" t="str">
        <f>VLOOKUP("Cluster Management Gateway",'NetApp Info'!A3:C121,2,FALSE)</f>
        <v>192.168.20.254</v>
      </c>
      <c r="C24" t="s">
        <v>175</v>
      </c>
    </row>
    <row r="25" spans="1:3" x14ac:dyDescent="0.25">
      <c r="A25" s="4" t="s">
        <v>307</v>
      </c>
      <c r="B25" s="67" t="str">
        <f>VLOOKUP("DNS Name",Questions!A1:F47,2,FALSE)</f>
        <v>test.local</v>
      </c>
      <c r="C25" t="s">
        <v>176</v>
      </c>
    </row>
    <row r="26" spans="1:3" x14ac:dyDescent="0.25">
      <c r="A26" s="4" t="s">
        <v>812</v>
      </c>
      <c r="B26" s="67" t="str">
        <f>VLOOKUP("DNS Server 1",Questions!A1:F47,2,FALSE)</f>
        <v>172.26.56.20</v>
      </c>
      <c r="C26" t="s">
        <v>177</v>
      </c>
    </row>
    <row r="27" spans="1:3" x14ac:dyDescent="0.25">
      <c r="A27" s="4" t="s">
        <v>811</v>
      </c>
      <c r="B27" s="67" t="str">
        <f>VLOOKUP("DNS Server 2",Questions!A2:F48,2,FALSE)</f>
        <v>172.26.56.1</v>
      </c>
      <c r="C27" t="s">
        <v>177</v>
      </c>
    </row>
    <row r="28" spans="1:3" x14ac:dyDescent="0.25">
      <c r="A28" s="4" t="s">
        <v>308</v>
      </c>
      <c r="B28" s="67" t="str">
        <f>VLOOKUP("SNMP Location",Questions!A1:F47,2,FALSE)</f>
        <v>Albany NY</v>
      </c>
      <c r="C28" t="s">
        <v>178</v>
      </c>
    </row>
    <row r="29" spans="1:3" x14ac:dyDescent="0.25">
      <c r="A29" s="4" t="s">
        <v>309</v>
      </c>
      <c r="B29" s="67" t="str">
        <f>VLOOKUP("Netapp Node 1 Name",'NetApp Info'!A3:C121,2,FALSE)</f>
        <v>netapp-01</v>
      </c>
      <c r="C29" t="s">
        <v>179</v>
      </c>
    </row>
    <row r="30" spans="1:3" x14ac:dyDescent="0.25">
      <c r="A30" s="4" t="s">
        <v>310</v>
      </c>
      <c r="B30" s="67" t="str">
        <f>VLOOKUP("Netapp Node 2 Name",'NetApp Info'!A3:C121,2,FALSE)</f>
        <v>netapp-02</v>
      </c>
      <c r="C30" t="s">
        <v>180</v>
      </c>
    </row>
    <row r="31" spans="1:3" x14ac:dyDescent="0.25">
      <c r="A31" s="4" t="s">
        <v>311</v>
      </c>
      <c r="B31" s="67">
        <f>VLOOKUP("Raid Size",'NetApp Info'!A3:C121,2,FALSE)</f>
        <v>16</v>
      </c>
      <c r="C31" t="s">
        <v>181</v>
      </c>
    </row>
    <row r="32" spans="1:3" x14ac:dyDescent="0.25">
      <c r="A32" s="4" t="s">
        <v>312</v>
      </c>
      <c r="B32" s="67">
        <f>VLOOKUP("Number of Aggregate Disks ",'NetApp Info'!A3:C121,2,FALSE)</f>
        <v>14</v>
      </c>
      <c r="C32" t="s">
        <v>182</v>
      </c>
    </row>
    <row r="33" spans="1:3" x14ac:dyDescent="0.25">
      <c r="A33" s="4" t="s">
        <v>313</v>
      </c>
      <c r="B33" s="67" t="str">
        <f>VLOOKUP("Netapp Node 1 Serice Processor IP",'NetApp Info'!A3:C121,2,FALSE)</f>
        <v>192.168.21.11</v>
      </c>
      <c r="C33" t="s">
        <v>183</v>
      </c>
    </row>
    <row r="34" spans="1:3" x14ac:dyDescent="0.25">
      <c r="A34" s="4" t="s">
        <v>314</v>
      </c>
      <c r="B34" s="67" t="str">
        <f>VLOOKUP("Netapp Node 1 Serice Processor Subnet Mask",'NetApp Info'!A3:C121,2,FALSE)</f>
        <v>255.255.255.0</v>
      </c>
      <c r="C34" t="s">
        <v>166</v>
      </c>
    </row>
    <row r="35" spans="1:3" x14ac:dyDescent="0.25">
      <c r="A35" s="4" t="s">
        <v>315</v>
      </c>
      <c r="B35" s="67" t="str">
        <f>VLOOKUP("Netapp Node 1 Serice Processor gateway",'NetApp Info'!A3:C121,2,FALSE)</f>
        <v>192.168.21.254</v>
      </c>
      <c r="C35" t="s">
        <v>167</v>
      </c>
    </row>
    <row r="36" spans="1:3" x14ac:dyDescent="0.25">
      <c r="A36" s="4" t="s">
        <v>316</v>
      </c>
      <c r="B36" s="67" t="str">
        <f>VLOOKUP("Netapp Node 2 Serice Processor IP",'NetApp Info'!A3:C121,2,FALSE)</f>
        <v>192.168.21.12</v>
      </c>
      <c r="C36" t="s">
        <v>184</v>
      </c>
    </row>
    <row r="37" spans="1:3" x14ac:dyDescent="0.25">
      <c r="A37" s="4" t="s">
        <v>317</v>
      </c>
      <c r="B37" s="67" t="str">
        <f>VLOOKUP("Netapp Node 2 Serice Processor Subnet Mask",'NetApp Info'!A3:C121,2,FALSE)</f>
        <v>255.255.255.0</v>
      </c>
      <c r="C37" t="s">
        <v>166</v>
      </c>
    </row>
    <row r="38" spans="1:3" x14ac:dyDescent="0.25">
      <c r="A38" s="4" t="s">
        <v>318</v>
      </c>
      <c r="B38" s="67" t="str">
        <f>VLOOKUP("Netapp Node 2 Serice Processor gateway",'NetApp Info'!A3:C121,2,FALSE)</f>
        <v>192.168.21.254</v>
      </c>
      <c r="C38" t="s">
        <v>167</v>
      </c>
    </row>
    <row r="39" spans="1:3" x14ac:dyDescent="0.25">
      <c r="A39" s="4" t="s">
        <v>386</v>
      </c>
      <c r="B39" s="67" t="str">
        <f>VLOOKUP("Timezone",Questions!A1:F47,2,FALSE)</f>
        <v>EST5EDT</v>
      </c>
      <c r="C39" t="s">
        <v>185</v>
      </c>
    </row>
    <row r="40" spans="1:3" x14ac:dyDescent="0.25">
      <c r="A40" s="4" t="s">
        <v>696</v>
      </c>
      <c r="B40" s="67" t="str">
        <f>VLOOKUP("NTP Server 1",Questions!A1:F47,2,FALSE)</f>
        <v>172.26.56.20</v>
      </c>
      <c r="C40" t="s">
        <v>186</v>
      </c>
    </row>
    <row r="41" spans="1:3" x14ac:dyDescent="0.25">
      <c r="A41" s="4" t="s">
        <v>697</v>
      </c>
      <c r="B41" s="67" t="str">
        <f>VLOOKUP("NTP Server 2",Questions!A1:F47,2,FALSE)</f>
        <v>172.26.56.10</v>
      </c>
      <c r="C41" t="s">
        <v>186</v>
      </c>
    </row>
    <row r="42" spans="1:3" x14ac:dyDescent="0.25">
      <c r="A42" s="4" t="s">
        <v>319</v>
      </c>
      <c r="B42" s="67" t="str">
        <f>VLOOKUP("SNMP Contact",Questions!A1:F47,2,FALSE)</f>
        <v>test@test.local</v>
      </c>
      <c r="C42" t="s">
        <v>187</v>
      </c>
    </row>
    <row r="43" spans="1:3" x14ac:dyDescent="0.25">
      <c r="A43" s="4" t="s">
        <v>320</v>
      </c>
      <c r="B43" s="67" t="str">
        <f>VLOOKUP("SNMP Location",Questions!A1:F47,2,FALSE)</f>
        <v>Albany NY</v>
      </c>
      <c r="C43" t="s">
        <v>188</v>
      </c>
    </row>
    <row r="44" spans="1:3" x14ac:dyDescent="0.25">
      <c r="A44" s="4" t="s">
        <v>321</v>
      </c>
      <c r="B44" s="67" t="str">
        <f>VLOOKUP("Oncommand FQDN",'NetApp Info'!A3:C121,2,FALSE)</f>
        <v>oncommand.test.local</v>
      </c>
      <c r="C44" t="s">
        <v>189</v>
      </c>
    </row>
    <row r="45" spans="1:3" x14ac:dyDescent="0.25">
      <c r="A45" s="4" t="s">
        <v>322</v>
      </c>
      <c r="B45" s="67" t="str">
        <f>VLOOKUP("SNMP Community",Questions!A1:F47,2,FALSE)</f>
        <v>public</v>
      </c>
      <c r="C45" t="s">
        <v>190</v>
      </c>
    </row>
    <row r="46" spans="1:3" x14ac:dyDescent="0.25">
      <c r="A46" s="4" t="s">
        <v>323</v>
      </c>
      <c r="B46" s="67" t="str">
        <f>VLOOKUP("Mail host",Questions!A1:F47,2,FALSE)</f>
        <v>mail.test.local</v>
      </c>
      <c r="C46" t="s">
        <v>191</v>
      </c>
    </row>
    <row r="47" spans="1:3" x14ac:dyDescent="0.25">
      <c r="A47" s="4" t="s">
        <v>324</v>
      </c>
      <c r="B47" s="67" t="str">
        <f>VLOOKUP("Storage Admin Email",'NetApp Info'!A3:C121,2,FALSE)</f>
        <v>admin@test.local</v>
      </c>
      <c r="C47" t="s">
        <v>187</v>
      </c>
    </row>
    <row r="48" spans="1:3" x14ac:dyDescent="0.25">
      <c r="A48" s="4" t="s">
        <v>325</v>
      </c>
      <c r="B48" s="67" t="str">
        <f>VLOOKUP("Vserver Common Name",'NetApp Info'!A3:C121,2,FALSE)</f>
        <v>cn=vserver,dc=test,dc=local</v>
      </c>
      <c r="C48" t="s">
        <v>192</v>
      </c>
    </row>
    <row r="49" spans="1:3" x14ac:dyDescent="0.25">
      <c r="A49" s="4" t="s">
        <v>326</v>
      </c>
      <c r="B49" s="67" t="str">
        <f>VLOOKUP("Two Letter Country code",Questions!A1:F47,2,FALSE)</f>
        <v>us</v>
      </c>
      <c r="C49" t="s">
        <v>193</v>
      </c>
    </row>
    <row r="50" spans="1:3" x14ac:dyDescent="0.25">
      <c r="A50" s="4" t="s">
        <v>327</v>
      </c>
      <c r="B50" s="67" t="str">
        <f>VLOOKUP("State",Questions!A1:F47,2,FALSE)</f>
        <v>NY</v>
      </c>
      <c r="C50" t="s">
        <v>194</v>
      </c>
    </row>
    <row r="51" spans="1:3" x14ac:dyDescent="0.25">
      <c r="A51" s="4" t="s">
        <v>328</v>
      </c>
      <c r="B51" s="67" t="str">
        <f>VLOOKUP("City Name",Questions!A1:F47,2,FALSE)</f>
        <v>Albany</v>
      </c>
      <c r="C51" t="s">
        <v>195</v>
      </c>
    </row>
    <row r="52" spans="1:3" x14ac:dyDescent="0.25">
      <c r="A52" s="4" t="s">
        <v>329</v>
      </c>
      <c r="B52" s="67" t="str">
        <f>VLOOKUP("Organization Name",Questions!A1:F47,2,FALSE)</f>
        <v>Test</v>
      </c>
      <c r="C52" t="s">
        <v>196</v>
      </c>
    </row>
    <row r="53" spans="1:3" x14ac:dyDescent="0.25">
      <c r="A53" s="4" t="s">
        <v>330</v>
      </c>
      <c r="B53" s="67" t="str">
        <f>VLOOKUP("Organization Unit Name",Questions!A1:F47,2,FALSE)</f>
        <v>IT</v>
      </c>
      <c r="C53" t="s">
        <v>197</v>
      </c>
    </row>
    <row r="54" spans="1:3" x14ac:dyDescent="0.25">
      <c r="A54" s="4" t="s">
        <v>331</v>
      </c>
      <c r="B54" s="67" t="str">
        <f>VLOOKUP("Cluster Common Name",'NetApp Info'!A3:C121,2,FALSE)</f>
        <v>cn=netapp,dc=test,dc=local</v>
      </c>
      <c r="C54" t="s">
        <v>247</v>
      </c>
    </row>
    <row r="55" spans="1:3" x14ac:dyDescent="0.25">
      <c r="A55" s="4" t="s">
        <v>332</v>
      </c>
      <c r="B55" s="67" t="str">
        <f>VLOOKUP("Netapp Node 1 Common Name",'NetApp Info'!A3:C117,2,FALSE)</f>
        <v>cn=node1,dc=test,dc=local</v>
      </c>
      <c r="C55" t="s">
        <v>198</v>
      </c>
    </row>
    <row r="56" spans="1:3" x14ac:dyDescent="0.25">
      <c r="A56" s="4" t="s">
        <v>333</v>
      </c>
      <c r="B56" s="67" t="str">
        <f>VLOOKUP("Netapp Node 2 Common Name",'NetApp Info'!A3:C117,2,FALSE)</f>
        <v>cn=node2,dc=test,dc=local</v>
      </c>
      <c r="C56" t="s">
        <v>248</v>
      </c>
    </row>
    <row r="57" spans="1:3" x14ac:dyDescent="0.25">
      <c r="A57" s="4" t="s">
        <v>334</v>
      </c>
      <c r="B57" s="67">
        <v>1</v>
      </c>
      <c r="C57" t="s">
        <v>199</v>
      </c>
    </row>
    <row r="58" spans="1:3" x14ac:dyDescent="0.25">
      <c r="A58" s="4" t="s">
        <v>335</v>
      </c>
      <c r="B58" s="67" t="str">
        <f>VLOOKUP("Netapp Node 1 NFS LIF IP address",'NetApp Info'!A3:C121,2,FALSE)</f>
        <v>192.168.22.1</v>
      </c>
      <c r="C58" t="s">
        <v>200</v>
      </c>
    </row>
    <row r="59" spans="1:3" x14ac:dyDescent="0.25">
      <c r="A59" s="4" t="s">
        <v>336</v>
      </c>
      <c r="B59" s="67" t="str">
        <f>VLOOKUP("Netapp Node 1 NFS LIF Subnet Mask",'NetApp Info'!A3:C121,2,FALSE)</f>
        <v>255.255.255.0</v>
      </c>
      <c r="C59" t="s">
        <v>202</v>
      </c>
    </row>
    <row r="60" spans="1:3" x14ac:dyDescent="0.25">
      <c r="A60" s="4" t="s">
        <v>337</v>
      </c>
      <c r="B60" s="67" t="str">
        <f>VLOOKUP("Netapp Node 2 NFS LIF IP address",'NetApp Info'!A3:C121,2,FALSE)</f>
        <v>192.168.22.2</v>
      </c>
      <c r="C60" t="s">
        <v>201</v>
      </c>
    </row>
    <row r="61" spans="1:3" x14ac:dyDescent="0.25">
      <c r="A61" s="4" t="s">
        <v>338</v>
      </c>
      <c r="B61" s="67" t="str">
        <f>VLOOKUP("Netapp Node 2 NFS LIF Subnet Mask",'NetApp Info'!A3:C121,2,FALSE)</f>
        <v>255.255.255.0</v>
      </c>
      <c r="C61" t="s">
        <v>202</v>
      </c>
    </row>
    <row r="62" spans="1:3" x14ac:dyDescent="0.25">
      <c r="A62" s="4" t="s">
        <v>974</v>
      </c>
      <c r="B62" s="67" t="str">
        <f>VLOOKUP("Netapp Node 1 iSCSI A LIF IP address",'NetApp Info'!A3:C117,2,FALSE)</f>
        <v>192.168.23.11</v>
      </c>
    </row>
    <row r="63" spans="1:3" x14ac:dyDescent="0.25">
      <c r="A63" s="4" t="s">
        <v>975</v>
      </c>
      <c r="B63" s="67" t="str">
        <f>VLOOKUP("Netapp Node 1 iSCSI A LIF Subnet Mask",'NetApp Info'!A3:C117,2,FALSE)</f>
        <v>255.255.255.0</v>
      </c>
    </row>
    <row r="64" spans="1:3" x14ac:dyDescent="0.25">
      <c r="A64" s="4" t="s">
        <v>976</v>
      </c>
      <c r="B64" s="67" t="str">
        <f>VLOOKUP("Netapp Node 1 iSCSI B LIF IP address",'NetApp Info'!A3:C117,2,FALSE)</f>
        <v>192.168.24.11</v>
      </c>
    </row>
    <row r="65" spans="1:3" x14ac:dyDescent="0.25">
      <c r="A65" s="4" t="s">
        <v>977</v>
      </c>
      <c r="B65" s="67" t="str">
        <f>VLOOKUP("Netapp Node 1 iSCSI B LIF Subnet Mask",'NetApp Info'!A3:C117,2,FALSE)</f>
        <v>255.255.255.0</v>
      </c>
    </row>
    <row r="66" spans="1:3" x14ac:dyDescent="0.25">
      <c r="A66" s="4" t="s">
        <v>978</v>
      </c>
      <c r="B66" s="67" t="str">
        <f>VLOOKUP("Netapp Node 2 iSCSI A LIF IP address",'NetApp Info'!A3:C117,2,FALSE)</f>
        <v>192.168.23.12</v>
      </c>
    </row>
    <row r="67" spans="1:3" x14ac:dyDescent="0.25">
      <c r="A67" s="4" t="s">
        <v>979</v>
      </c>
      <c r="B67" s="67" t="str">
        <f>VLOOKUP("Netapp Node 2 iSCSI A LIF Subnet Mask",'NetApp Info'!A3:C117,2,FALSE)</f>
        <v>255.255.255.0</v>
      </c>
    </row>
    <row r="68" spans="1:3" x14ac:dyDescent="0.25">
      <c r="A68" s="4" t="s">
        <v>980</v>
      </c>
      <c r="B68" s="67" t="str">
        <f>VLOOKUP("Netapp Node 2 iSCSI B LIF IP address",'NetApp Info'!A3:C117,2,FALSE)</f>
        <v>192.168.24.12</v>
      </c>
    </row>
    <row r="69" spans="1:3" x14ac:dyDescent="0.25">
      <c r="A69" s="4" t="s">
        <v>981</v>
      </c>
      <c r="B69" s="67" t="str">
        <f>VLOOKUP("Netapp Node 2 iSCSI B LIF Subnet Mask",'NetApp Info'!A3:C117,2,FALSE)</f>
        <v>255.255.255.0</v>
      </c>
    </row>
    <row r="70" spans="1:3" x14ac:dyDescent="0.25">
      <c r="A70" s="4" t="s">
        <v>387</v>
      </c>
      <c r="B70" s="67" t="str">
        <f>VLOOKUP("Nexus A Hostname",'Nexus Info'!A3:C111,2,FALSE)</f>
        <v>NexusA</v>
      </c>
      <c r="C70" t="s">
        <v>203</v>
      </c>
    </row>
    <row r="71" spans="1:3" x14ac:dyDescent="0.25">
      <c r="A71" s="4" t="s">
        <v>388</v>
      </c>
      <c r="B71" s="67" t="str">
        <f>VLOOKUP("Nexus A Management IP Address",'Nexus Info'!A3:C111,2,FALSE)</f>
        <v>192.168.10.1</v>
      </c>
      <c r="C71" t="s">
        <v>204</v>
      </c>
    </row>
    <row r="72" spans="1:3" x14ac:dyDescent="0.25">
      <c r="A72" s="4" t="s">
        <v>389</v>
      </c>
      <c r="B72" s="67" t="str">
        <f>VLOOKUP("Nexus A Management Subnet Mask",'Nexus Info'!A3:C111,2,FALSE)</f>
        <v>255.255.255.0</v>
      </c>
      <c r="C72" t="s">
        <v>166</v>
      </c>
    </row>
    <row r="73" spans="1:3" x14ac:dyDescent="0.25">
      <c r="A73" s="4" t="s">
        <v>390</v>
      </c>
      <c r="B73" s="67" t="str">
        <f>VLOOKUP("Nexus A Management Gateway",'Nexus Info'!A3:C111,2,FALSE)</f>
        <v>192.168.10.254</v>
      </c>
      <c r="C73" t="s">
        <v>167</v>
      </c>
    </row>
    <row r="74" spans="1:3" x14ac:dyDescent="0.25">
      <c r="A74" s="4" t="s">
        <v>391</v>
      </c>
      <c r="B74" s="67" t="str">
        <f>VLOOKUP("Nexus B Hostname",'Nexus Info'!A3:C111,2,FALSE)</f>
        <v>NexusB</v>
      </c>
      <c r="C74" t="s">
        <v>205</v>
      </c>
    </row>
    <row r="75" spans="1:3" x14ac:dyDescent="0.25">
      <c r="A75" s="4" t="s">
        <v>392</v>
      </c>
      <c r="B75" s="67" t="str">
        <f>VLOOKUP("Nexus B Management IP Address",'Nexus Info'!A3:C111,2,FALSE)</f>
        <v>192.168.10.2</v>
      </c>
      <c r="C75" t="s">
        <v>206</v>
      </c>
    </row>
    <row r="76" spans="1:3" x14ac:dyDescent="0.25">
      <c r="A76" s="4" t="s">
        <v>393</v>
      </c>
      <c r="B76" s="67" t="str">
        <f>VLOOKUP("Nexus B Management Subnet Mask",'Nexus Info'!A3:C111,2,FALSE)</f>
        <v>255.255.255.0</v>
      </c>
      <c r="C76" t="s">
        <v>166</v>
      </c>
    </row>
    <row r="77" spans="1:3" x14ac:dyDescent="0.25">
      <c r="A77" s="4" t="s">
        <v>394</v>
      </c>
      <c r="B77" s="67" t="str">
        <f>VLOOKUP("Nexus B Management Gateway",'Nexus Info'!A3:C111,2,FALSE)</f>
        <v>192.168.10.254</v>
      </c>
      <c r="C77" t="s">
        <v>167</v>
      </c>
    </row>
    <row r="78" spans="1:3" x14ac:dyDescent="0.25">
      <c r="A78" s="4" t="s">
        <v>760</v>
      </c>
      <c r="B78" s="67" t="str">
        <f>VLOOKUP("inband Management VLAN Name",'Nexus Info'!A3:C111,2,FALSE)</f>
        <v>Mgmt</v>
      </c>
    </row>
    <row r="79" spans="1:3" x14ac:dyDescent="0.25">
      <c r="A79" s="4" t="s">
        <v>395</v>
      </c>
      <c r="B79" s="67">
        <f>VLOOKUP("inband Management VLAN ID",'Nexus Info'!A3:C111,2,FALSE)</f>
        <v>3175</v>
      </c>
      <c r="C79" t="s">
        <v>207</v>
      </c>
    </row>
    <row r="80" spans="1:3" x14ac:dyDescent="0.25">
      <c r="A80" s="4" t="s">
        <v>761</v>
      </c>
      <c r="B80" s="67" t="str">
        <f>VLOOKUP("Native VLAN Name",'Nexus Info'!A3:C111,2,FALSE)</f>
        <v>Native</v>
      </c>
    </row>
    <row r="81" spans="1:3" x14ac:dyDescent="0.25">
      <c r="A81" s="4" t="s">
        <v>396</v>
      </c>
      <c r="B81" s="67">
        <f>VLOOKUP("Native VLAN ID",'Nexus Info'!A3:C111,2,FALSE)</f>
        <v>99</v>
      </c>
      <c r="C81" t="s">
        <v>208</v>
      </c>
    </row>
    <row r="82" spans="1:3" x14ac:dyDescent="0.25">
      <c r="A82" s="4" t="s">
        <v>762</v>
      </c>
      <c r="B82" s="67" t="str">
        <f>VLOOKUP("NFS VLAN Name",'Nexus Info'!A3:C111,2,FALSE)</f>
        <v>NFS</v>
      </c>
    </row>
    <row r="83" spans="1:3" x14ac:dyDescent="0.25">
      <c r="A83" s="4" t="s">
        <v>397</v>
      </c>
      <c r="B83" s="67">
        <f>VLOOKUP("NFS VLAN ID",'Nexus Info'!A3:C111,2,FALSE)</f>
        <v>3170</v>
      </c>
      <c r="C83" t="s">
        <v>209</v>
      </c>
    </row>
    <row r="84" spans="1:3" x14ac:dyDescent="0.25">
      <c r="A84" s="4" t="s">
        <v>763</v>
      </c>
      <c r="B84" s="67" t="str">
        <f>VLOOKUP("Packet Control VLAN Name",'Nexus Info'!A3:C111,2,FALSE)</f>
        <v>PacketControl</v>
      </c>
    </row>
    <row r="85" spans="1:3" x14ac:dyDescent="0.25">
      <c r="A85" s="4" t="s">
        <v>398</v>
      </c>
      <c r="B85" s="67">
        <f>VLOOKUP("Packet Control VLAN ID",'Nexus Info'!A3:C111,2,FALSE)</f>
        <v>3176</v>
      </c>
      <c r="C85" t="s">
        <v>210</v>
      </c>
    </row>
    <row r="86" spans="1:3" x14ac:dyDescent="0.25">
      <c r="A86" s="4" t="s">
        <v>764</v>
      </c>
      <c r="B86" s="67" t="str">
        <f>VLOOKUP("vMotion VLAN Name",'Nexus Info'!A3:C111,2,FALSE)</f>
        <v>vMotion</v>
      </c>
    </row>
    <row r="87" spans="1:3" x14ac:dyDescent="0.25">
      <c r="A87" s="4" t="s">
        <v>399</v>
      </c>
      <c r="B87" s="67">
        <f>VLOOKUP("vMotion VLAN ID",'Nexus Info'!A3:C111,2,FALSE)</f>
        <v>3173</v>
      </c>
      <c r="C87" t="s">
        <v>211</v>
      </c>
    </row>
    <row r="88" spans="1:3" x14ac:dyDescent="0.25">
      <c r="A88" s="4" t="s">
        <v>765</v>
      </c>
      <c r="B88" s="67" t="str">
        <f>VLOOKUP("VM Traffic VLAN Name",'Nexus Info'!A3:C111,2,FALSE)</f>
        <v>Server</v>
      </c>
    </row>
    <row r="89" spans="1:3" x14ac:dyDescent="0.25">
      <c r="A89" s="4" t="s">
        <v>400</v>
      </c>
      <c r="B89" s="67">
        <f>VLOOKUP("VM Traffic VLAN",'Nexus Info'!A3:C111,2,FALSE)</f>
        <v>3174</v>
      </c>
      <c r="C89" t="s">
        <v>212</v>
      </c>
    </row>
    <row r="90" spans="1:3" x14ac:dyDescent="0.25">
      <c r="A90" s="4" t="s">
        <v>401</v>
      </c>
      <c r="B90" s="67">
        <f>VLOOKUP("VPC Domain ID",'Nexus Info'!A3:C111,2,FALSE)</f>
        <v>10</v>
      </c>
      <c r="C90" t="s">
        <v>213</v>
      </c>
    </row>
    <row r="91" spans="1:3" x14ac:dyDescent="0.25">
      <c r="A91" s="4" t="s">
        <v>782</v>
      </c>
      <c r="B91" s="67" t="str">
        <f>VLOOKUP("Nexus 1000v A Hostname",'1000v Info'!A3:C111,2,FALSE)</f>
        <v>NX-1000v-A</v>
      </c>
      <c r="C91" t="s">
        <v>214</v>
      </c>
    </row>
    <row r="92" spans="1:3" x14ac:dyDescent="0.25">
      <c r="A92" s="4" t="s">
        <v>781</v>
      </c>
      <c r="B92" s="67" t="str">
        <f>VLOOKUP("Nexus 1000v B Hostname",'1000v Info'!A3:C111,2,FALSE)</f>
        <v>NX-1000v-B</v>
      </c>
      <c r="C92" t="s">
        <v>215</v>
      </c>
    </row>
    <row r="93" spans="1:3" x14ac:dyDescent="0.25">
      <c r="A93" s="4" t="s">
        <v>770</v>
      </c>
      <c r="B93" s="67" t="str">
        <f>VLOOKUP("iSCSI A VLAN Name",'Nexus Info'!A3:C111,2,FALSE)</f>
        <v>iSCSI-A</v>
      </c>
    </row>
    <row r="94" spans="1:3" x14ac:dyDescent="0.25">
      <c r="A94" s="4" t="s">
        <v>771</v>
      </c>
      <c r="B94" s="67">
        <f>VLOOKUP("iSCSI A VLAN ID",'Nexus Info'!A3:C111,2,FALSE)</f>
        <v>101</v>
      </c>
    </row>
    <row r="95" spans="1:3" x14ac:dyDescent="0.25">
      <c r="A95" s="4" t="s">
        <v>772</v>
      </c>
      <c r="B95" s="67" t="str">
        <f>VLOOKUP("iSCSI B VLAN Name",'Nexus Info'!A3:C111,2,FALSE)</f>
        <v>iSCSI-B</v>
      </c>
    </row>
    <row r="96" spans="1:3" x14ac:dyDescent="0.25">
      <c r="A96" s="4" t="s">
        <v>773</v>
      </c>
      <c r="B96" s="67">
        <f>VLOOKUP("iSCSI B VLAN ID",'Nexus Info'!A3:C111,2,FALSE)</f>
        <v>102</v>
      </c>
    </row>
    <row r="97" spans="1:3" x14ac:dyDescent="0.25">
      <c r="A97" s="4" t="s">
        <v>339</v>
      </c>
      <c r="B97" s="67" t="str">
        <f>VLOOKUP("UCS Clustername",'UCS Info'!A3:C121,2,FALSE)</f>
        <v>UCS1</v>
      </c>
      <c r="C97" t="s">
        <v>220</v>
      </c>
    </row>
    <row r="98" spans="1:3" x14ac:dyDescent="0.25">
      <c r="A98" s="4" t="s">
        <v>340</v>
      </c>
      <c r="B98" s="67" t="str">
        <f>VLOOKUP("UCS Fabic Interconnect A Management IP",'UCS Info'!A3:C111,2,FALSE)</f>
        <v>172.26.56.101</v>
      </c>
      <c r="C98" t="s">
        <v>221</v>
      </c>
    </row>
    <row r="99" spans="1:3" x14ac:dyDescent="0.25">
      <c r="A99" s="4" t="s">
        <v>341</v>
      </c>
      <c r="B99" s="67" t="str">
        <f>VLOOKUP("UCSM Mgmt IP Subnet Mask",'UCS Info'!A3:C121,2,FALSE)</f>
        <v>255.255.255.0</v>
      </c>
      <c r="C99" t="s">
        <v>166</v>
      </c>
    </row>
    <row r="100" spans="1:3" x14ac:dyDescent="0.25">
      <c r="A100" s="4" t="s">
        <v>342</v>
      </c>
      <c r="B100" s="67" t="str">
        <f>VLOOKUP("UCSM Mgmt IP Gateway",'UCS Info'!A3:C121,2,FALSE)</f>
        <v>172.26.56.1</v>
      </c>
      <c r="C100" t="s">
        <v>167</v>
      </c>
    </row>
    <row r="101" spans="1:3" x14ac:dyDescent="0.25">
      <c r="A101" s="4" t="s">
        <v>344</v>
      </c>
      <c r="B101" s="67" t="str">
        <f>VLOOKUP("UCS Fabic Interconnect B Management IP",'UCS Info'!A3:C111,2,FALSE)</f>
        <v>172.26.56.102</v>
      </c>
      <c r="C101" t="s">
        <v>223</v>
      </c>
    </row>
    <row r="102" spans="1:3" x14ac:dyDescent="0.25">
      <c r="A102" s="4" t="s">
        <v>995</v>
      </c>
      <c r="B102" s="67" t="str">
        <f>VLOOKUP("UCSM Mgmt IP Subnet Mask",'UCS Info'!A3:C124,2,FALSE)</f>
        <v>255.255.255.0</v>
      </c>
      <c r="C102" t="s">
        <v>166</v>
      </c>
    </row>
    <row r="103" spans="1:3" x14ac:dyDescent="0.25">
      <c r="A103" s="4" t="s">
        <v>996</v>
      </c>
      <c r="B103" s="67" t="str">
        <f>VLOOKUP("UCSM Mgmt IP Gateway",'UCS Info'!A3:C124,2,FALSE)</f>
        <v>172.26.56.1</v>
      </c>
      <c r="C103" t="s">
        <v>167</v>
      </c>
    </row>
    <row r="104" spans="1:3" x14ac:dyDescent="0.25">
      <c r="A104" s="4" t="s">
        <v>343</v>
      </c>
      <c r="B104" s="67" t="str">
        <f>VLOOKUP("UCSM Mgmt VIP",'UCS Info'!A3:C121,2,FALSE)</f>
        <v>172.26.56.5</v>
      </c>
      <c r="C104" t="s">
        <v>222</v>
      </c>
    </row>
    <row r="105" spans="1:3" x14ac:dyDescent="0.25">
      <c r="A105" s="4" t="s">
        <v>779</v>
      </c>
      <c r="B105" s="67" t="str">
        <f>VLOOKUP("Nexus 1000v A CIMC IP Address",'1000v Info'!A3:C111,2,FALSE)</f>
        <v>192.168.11.11</v>
      </c>
      <c r="C105" t="s">
        <v>224</v>
      </c>
    </row>
    <row r="106" spans="1:3" x14ac:dyDescent="0.25">
      <c r="A106" s="4" t="s">
        <v>780</v>
      </c>
      <c r="B106" s="67" t="str">
        <f>VLOOKUP("Nexus 1000v B CIMC IP Address",'1000v Info'!A3:C111,2,FALSE)</f>
        <v>192.168.11.12</v>
      </c>
      <c r="C106" t="s">
        <v>224</v>
      </c>
    </row>
    <row r="107" spans="1:3" x14ac:dyDescent="0.25">
      <c r="A107" s="4" t="s">
        <v>345</v>
      </c>
      <c r="B107" s="67" t="str">
        <f>VLOOKUP("Nexus 1000v CIMC subnet Mask",'1000v Info'!A3:C111,2,FALSE)</f>
        <v>255.255.255.0</v>
      </c>
      <c r="C107" t="s">
        <v>166</v>
      </c>
    </row>
    <row r="108" spans="1:3" x14ac:dyDescent="0.25">
      <c r="A108" s="4" t="s">
        <v>346</v>
      </c>
      <c r="B108" s="67" t="str">
        <f>VLOOKUP("Nexus 1000v CIMC Gateway",'1000v Info'!A3:C111,2,FALSE)</f>
        <v>192.168.11.254</v>
      </c>
      <c r="C108" t="s">
        <v>167</v>
      </c>
    </row>
    <row r="109" spans="1:3" x14ac:dyDescent="0.25">
      <c r="A109" s="4" t="s">
        <v>347</v>
      </c>
      <c r="B109" s="67">
        <f>VLOOKUP("Nexus 1000v VSA domain ID",'1000v Info'!A3:C111,2,FALSE)</f>
        <v>10</v>
      </c>
      <c r="C109" t="s">
        <v>225</v>
      </c>
    </row>
    <row r="110" spans="1:3" x14ac:dyDescent="0.25">
      <c r="A110" s="4" t="s">
        <v>348</v>
      </c>
      <c r="B110" s="67" t="str">
        <f>VLOOKUP("Nexus 1000v VSA Hostname",'1000v Info'!A3:C111,2,FALSE)</f>
        <v>VSA</v>
      </c>
      <c r="C110" t="s">
        <v>226</v>
      </c>
    </row>
    <row r="111" spans="1:3" x14ac:dyDescent="0.25">
      <c r="A111" s="4" t="s">
        <v>349</v>
      </c>
      <c r="B111" s="67" t="str">
        <f>VLOOKUP("Nexus 1000v VSA IP Address",'1000v Info'!A3:C111,2,FALSE)</f>
        <v>192.168.20.20</v>
      </c>
      <c r="C111" t="s">
        <v>227</v>
      </c>
    </row>
    <row r="112" spans="1:3" x14ac:dyDescent="0.25">
      <c r="A112" s="4" t="s">
        <v>350</v>
      </c>
      <c r="B112" s="67" t="str">
        <f>VLOOKUP("Nexus 1000v VSA Subnet Mask",'1000v Info'!A3:C111,2,FALSE)</f>
        <v>255.255.255.0</v>
      </c>
      <c r="C112" t="s">
        <v>228</v>
      </c>
    </row>
    <row r="113" spans="1:3" x14ac:dyDescent="0.25">
      <c r="A113" s="4" t="s">
        <v>351</v>
      </c>
      <c r="B113" s="67" t="str">
        <f>VLOOKUP("Nexus 1000v VSA Gateway",'1000v Info'!A3:C111,2,FALSE)</f>
        <v>192.168.20.254</v>
      </c>
      <c r="C113" t="s">
        <v>175</v>
      </c>
    </row>
    <row r="114" spans="1:3" x14ac:dyDescent="0.25">
      <c r="A114" s="4" t="s">
        <v>352</v>
      </c>
      <c r="B114" s="67">
        <f>VLOOKUP("Nexus 1000v VSM Domain ID",'1000v Info'!A3:C111,2,FALSE)</f>
        <v>10</v>
      </c>
      <c r="C114" t="s">
        <v>229</v>
      </c>
    </row>
    <row r="115" spans="1:3" x14ac:dyDescent="0.25">
      <c r="A115" s="4" t="s">
        <v>353</v>
      </c>
      <c r="B115" s="67" t="str">
        <f>VLOOKUP("Nexus 1000v VSM Management IP",'1000v Info'!A3:C111,2,FALSE)</f>
        <v>192.168.20.21</v>
      </c>
      <c r="C115" t="s">
        <v>230</v>
      </c>
    </row>
    <row r="116" spans="1:3" x14ac:dyDescent="0.25">
      <c r="A116" s="4" t="s">
        <v>354</v>
      </c>
      <c r="B116" s="67" t="str">
        <f>VLOOKUP("Nexus 1000v VSM Management Subnet Mask",'1000v Info'!A3:C111,2,FALSE)</f>
        <v>255.255.255.0</v>
      </c>
      <c r="C116" t="s">
        <v>228</v>
      </c>
    </row>
    <row r="117" spans="1:3" x14ac:dyDescent="0.25">
      <c r="A117" s="4" t="s">
        <v>355</v>
      </c>
      <c r="B117" s="67" t="str">
        <f>VLOOKUP("Nexus 1000v VSM Management Gateway",'1000v Info'!A3:C111,2,FALSE)</f>
        <v>192.168.20.254</v>
      </c>
      <c r="C117" t="s">
        <v>175</v>
      </c>
    </row>
    <row r="118" spans="1:3" x14ac:dyDescent="0.25">
      <c r="A118" s="4" t="s">
        <v>356</v>
      </c>
      <c r="B118" s="67" t="str">
        <f>VLOOKUP("Nexus 1000v VSM Management Hostname",'1000v Info'!A3:C111,2,FALSE)</f>
        <v>VSM</v>
      </c>
      <c r="C118" t="s">
        <v>231</v>
      </c>
    </row>
    <row r="119" spans="1:3" x14ac:dyDescent="0.25">
      <c r="A119" s="4" t="s">
        <v>992</v>
      </c>
      <c r="B119" s="67" t="str">
        <f>VLOOKUP("Vserver Name",'NetApp Info'!A3:C111,2,FALSE)</f>
        <v>vserver</v>
      </c>
      <c r="C119" t="s">
        <v>232</v>
      </c>
    </row>
    <row r="120" spans="1:3" x14ac:dyDescent="0.25">
      <c r="A120" s="4" t="s">
        <v>358</v>
      </c>
      <c r="B120" s="67" t="s">
        <v>700</v>
      </c>
      <c r="C120" t="s">
        <v>233</v>
      </c>
    </row>
    <row r="121" spans="1:3" x14ac:dyDescent="0.25">
      <c r="A121" s="4" t="s">
        <v>359</v>
      </c>
      <c r="B121" s="67">
        <v>1</v>
      </c>
      <c r="C121" t="s">
        <v>234</v>
      </c>
    </row>
    <row r="122" spans="1:3" x14ac:dyDescent="0.25">
      <c r="A122" s="4" t="s">
        <v>360</v>
      </c>
      <c r="B122" s="67" t="str">
        <f>VLOOKUP("DNS Name",Questions!A1:F47,2,FALSE)</f>
        <v>test.local</v>
      </c>
      <c r="C122" t="s">
        <v>235</v>
      </c>
    </row>
    <row r="123" spans="1:3" x14ac:dyDescent="0.25">
      <c r="A123" s="4" t="s">
        <v>695</v>
      </c>
      <c r="B123" s="67" t="str">
        <f>VLOOKUP("DNS Server 1",Questions!A1:F47,2,FALSE)</f>
        <v>172.26.56.20</v>
      </c>
      <c r="C123" t="s">
        <v>236</v>
      </c>
    </row>
    <row r="124" spans="1:3" x14ac:dyDescent="0.25">
      <c r="A124" s="4" t="s">
        <v>694</v>
      </c>
      <c r="B124" s="67" t="str">
        <f>VLOOKUP("DNS Server 2",Questions!A2:F48,2,FALSE)</f>
        <v>172.26.56.1</v>
      </c>
      <c r="C124" t="s">
        <v>236</v>
      </c>
    </row>
    <row r="125" spans="1:3" x14ac:dyDescent="0.25">
      <c r="A125" s="4" t="s">
        <v>704</v>
      </c>
      <c r="B125" s="67" t="str">
        <f>VLOOKUP("Vserver Admin Password",'NetApp Info'!A3:C111,2,FALSE)</f>
        <v>test1234</v>
      </c>
      <c r="C125" t="s">
        <v>237</v>
      </c>
    </row>
    <row r="126" spans="1:3" x14ac:dyDescent="0.25">
      <c r="A126" s="4" t="s">
        <v>702</v>
      </c>
      <c r="B126" s="67" t="str">
        <f>VLOOKUP("Vserver Management IP address",'NetApp Info'!A3:C111,2,FALSE)</f>
        <v>192.168.20.1</v>
      </c>
      <c r="C126" t="s">
        <v>238</v>
      </c>
    </row>
    <row r="127" spans="1:3" x14ac:dyDescent="0.25">
      <c r="A127" s="4" t="s">
        <v>703</v>
      </c>
      <c r="B127" s="67" t="str">
        <f>VLOOKUP("Vserver Management Subnet Mask",'NetApp Info'!A3:C111,2,FALSE)</f>
        <v>255.255.255.0</v>
      </c>
      <c r="C127" t="s">
        <v>239</v>
      </c>
    </row>
    <row r="128" spans="1:3" x14ac:dyDescent="0.25">
      <c r="A128" s="4" t="s">
        <v>988</v>
      </c>
      <c r="B128" s="67" t="str">
        <f>VLOOKUP("Vserver Management Gateway",'NetApp Info'!A3:C111,2,FALSE)</f>
        <v>192.168.20.254</v>
      </c>
      <c r="C128" t="s">
        <v>989</v>
      </c>
    </row>
    <row r="129" spans="1:3" x14ac:dyDescent="0.25">
      <c r="A129" s="4" t="s">
        <v>240</v>
      </c>
      <c r="B129" s="67">
        <v>1</v>
      </c>
      <c r="C129" t="s">
        <v>241</v>
      </c>
    </row>
    <row r="130" spans="1:3" x14ac:dyDescent="0.25">
      <c r="A130" s="4" t="s">
        <v>990</v>
      </c>
      <c r="B130" s="67" t="str">
        <f>VLOOKUP("FTP Server",Questions!A8:F54,2,FALSE)</f>
        <v>172.26.56.1</v>
      </c>
      <c r="C130" t="s">
        <v>242</v>
      </c>
    </row>
    <row r="131" spans="1:3" x14ac:dyDescent="0.25">
      <c r="A131" s="4" t="s">
        <v>817</v>
      </c>
      <c r="B131" s="67" t="str">
        <f>VLOOKUP("UCSM Mgmt IP Pool Start",'UCS Info'!A3:C121,2,FALSE)</f>
        <v>172.26.56.201</v>
      </c>
    </row>
    <row r="132" spans="1:3" x14ac:dyDescent="0.25">
      <c r="A132" s="4" t="s">
        <v>818</v>
      </c>
      <c r="B132" s="67" t="str">
        <f>VLOOKUP("UCSM Mgmt IP Pool Finish",'UCS Info'!A3:C121,2,FALSE)</f>
        <v>172.26.56.220</v>
      </c>
    </row>
    <row r="133" spans="1:3" x14ac:dyDescent="0.25">
      <c r="A133" s="4" t="s">
        <v>819</v>
      </c>
      <c r="B133" s="67">
        <f>VLOOKUP("Site ID Code",'UCS Info'!A3:C121,2,FALSE)</f>
        <v>1</v>
      </c>
    </row>
    <row r="134" spans="1:3" x14ac:dyDescent="0.25">
      <c r="A134" s="4" t="s">
        <v>820</v>
      </c>
      <c r="B134" s="67" t="str">
        <f>VLOOKUP("Site Description",'UCS Info'!A3:C121,2,FALSE)</f>
        <v>Test</v>
      </c>
    </row>
    <row r="135" spans="1:3" x14ac:dyDescent="0.25">
      <c r="A135" s="4" t="s">
        <v>821</v>
      </c>
      <c r="B135" s="67">
        <f>VLOOKUP("Pod ID",'UCS Info'!A3:C121,2,FALSE)</f>
        <v>1</v>
      </c>
    </row>
    <row r="136" spans="1:3" x14ac:dyDescent="0.25">
      <c r="A136" s="4" t="s">
        <v>822</v>
      </c>
      <c r="B136" s="67" t="str">
        <f>VLOOKUP("Pod Description",'UCS Info'!A3:C121,2,FALSE)</f>
        <v>test</v>
      </c>
    </row>
    <row r="137" spans="1:3" x14ac:dyDescent="0.25">
      <c r="A137" s="4" t="s">
        <v>823</v>
      </c>
      <c r="B137" s="67" t="str">
        <f>VLOOKUP("UUID Pool Name",'UCS Info'!A3:C121,2,FALSE)</f>
        <v>Pool1</v>
      </c>
    </row>
    <row r="138" spans="1:3" x14ac:dyDescent="0.25">
      <c r="A138" s="4" t="s">
        <v>824</v>
      </c>
      <c r="B138" s="67" t="str">
        <f>VLOOKUP("MAC Pool ESXi Mgmt Name",'UCS Info'!A3:C121,2,FALSE)</f>
        <v>ESXi_Mgmt</v>
      </c>
    </row>
    <row r="139" spans="1:3" x14ac:dyDescent="0.25">
      <c r="A139" s="4" t="s">
        <v>825</v>
      </c>
      <c r="B139" s="67" t="str">
        <f>VLOOKUP("MAC Pool ESXi Mgmt ID",'UCS Info'!A3:C121,2,FALSE)</f>
        <v>01</v>
      </c>
    </row>
    <row r="140" spans="1:3" x14ac:dyDescent="0.25">
      <c r="A140" s="4" t="s">
        <v>826</v>
      </c>
      <c r="B140" s="67" t="str">
        <f>VLOOKUP("MAC Pool vMotion Name",'UCS Info'!A3:C121,2,FALSE)</f>
        <v>vMotion</v>
      </c>
    </row>
    <row r="141" spans="1:3" x14ac:dyDescent="0.25">
      <c r="A141" s="4" t="s">
        <v>827</v>
      </c>
      <c r="B141" s="67" t="str">
        <f>VLOOKUP("MAC Pool vMotion ID",'UCS Info'!A3:C121,2,FALSE)</f>
        <v>02</v>
      </c>
    </row>
    <row r="142" spans="1:3" x14ac:dyDescent="0.25">
      <c r="A142" s="4" t="s">
        <v>828</v>
      </c>
      <c r="B142" s="67" t="str">
        <f>VLOOKUP("MAC Pool Storage Access Name",'UCS Info'!A3:C121,2,FALSE)</f>
        <v>NFS</v>
      </c>
      <c r="C142" t="s">
        <v>832</v>
      </c>
    </row>
    <row r="143" spans="1:3" x14ac:dyDescent="0.25">
      <c r="A143" s="4" t="s">
        <v>829</v>
      </c>
      <c r="B143" s="67" t="str">
        <f>VLOOKUP("MAC Pool Storage Access ID",'UCS Info'!A3:C121,2,FALSE)</f>
        <v>03</v>
      </c>
      <c r="C143" t="s">
        <v>832</v>
      </c>
    </row>
    <row r="144" spans="1:3" x14ac:dyDescent="0.25">
      <c r="A144" s="4" t="s">
        <v>830</v>
      </c>
      <c r="B144" s="67" t="str">
        <f>VLOOKUP("MAC Pool VM Traffic #1 Name",'UCS Info'!A3:C121,2,FALSE)</f>
        <v>VM</v>
      </c>
    </row>
    <row r="145" spans="1:3" x14ac:dyDescent="0.25">
      <c r="A145" s="4" t="s">
        <v>831</v>
      </c>
      <c r="B145" s="67" t="str">
        <f>VLOOKUP("MAC Pool VM Traffic #1 ID",'UCS Info'!A3:C121,2,FALSE)</f>
        <v>04</v>
      </c>
    </row>
    <row r="146" spans="1:3" x14ac:dyDescent="0.25">
      <c r="A146" s="4" t="s">
        <v>848</v>
      </c>
      <c r="B146" s="67" t="str">
        <f>VLOOKUP("iSCSI A VLAN Name",'Nexus Info'!A3:C172,2,FALSE)</f>
        <v>iSCSI-A</v>
      </c>
    </row>
    <row r="147" spans="1:3" x14ac:dyDescent="0.25">
      <c r="A147" s="4" t="s">
        <v>849</v>
      </c>
      <c r="B147" s="67">
        <f>VLOOKUP("iSCSI A VLAN ID",'Nexus Info'!A3:C172,2,FALSE)</f>
        <v>101</v>
      </c>
    </row>
    <row r="148" spans="1:3" x14ac:dyDescent="0.25">
      <c r="A148" s="4" t="s">
        <v>854</v>
      </c>
      <c r="B148" s="67" t="str">
        <f>VLOOKUP("iSCSI B VLAN Name",'Nexus Info'!A3:C172,2,FALSE)</f>
        <v>iSCSI-B</v>
      </c>
    </row>
    <row r="149" spans="1:3" x14ac:dyDescent="0.25">
      <c r="A149" s="4" t="s">
        <v>855</v>
      </c>
      <c r="B149" s="67">
        <f>VLOOKUP("iSCSI B VLAN ID",'Nexus Info'!A3:C172,2,FALSE)</f>
        <v>102</v>
      </c>
    </row>
    <row r="150" spans="1:3" x14ac:dyDescent="0.25">
      <c r="A150" s="4" t="s">
        <v>857</v>
      </c>
      <c r="B150" s="67" t="str">
        <f>VLOOKUP("inband Management VLAN Name",'Nexus Info'!A3:C202,2,FALSE)</f>
        <v>Mgmt</v>
      </c>
    </row>
    <row r="151" spans="1:3" x14ac:dyDescent="0.25">
      <c r="A151" s="4" t="s">
        <v>856</v>
      </c>
      <c r="B151" s="67">
        <f>VLOOKUP("inband Management VLAN ID",'Nexus Info'!A3:C202,2,FALSE)</f>
        <v>3175</v>
      </c>
      <c r="C151" t="s">
        <v>207</v>
      </c>
    </row>
    <row r="152" spans="1:3" x14ac:dyDescent="0.25">
      <c r="A152" s="4" t="s">
        <v>833</v>
      </c>
      <c r="B152" s="67" t="str">
        <f>VLOOKUP("NFS VLAN Name",'Nexus Info'!A3:C185,2,FALSE)</f>
        <v>NFS</v>
      </c>
    </row>
    <row r="153" spans="1:3" x14ac:dyDescent="0.25">
      <c r="A153" s="4" t="s">
        <v>834</v>
      </c>
      <c r="B153" s="67">
        <f>VLOOKUP("NFS VLAN ID",'Nexus Info'!A3:C185,2,FALSE)</f>
        <v>3170</v>
      </c>
      <c r="C153" t="s">
        <v>209</v>
      </c>
    </row>
    <row r="154" spans="1:3" x14ac:dyDescent="0.25">
      <c r="A154" s="4" t="s">
        <v>835</v>
      </c>
      <c r="B154" s="67" t="str">
        <f>VLOOKUP("Packet Control VLAN Name",'Nexus Info'!A3:C185,2,FALSE)</f>
        <v>PacketControl</v>
      </c>
    </row>
    <row r="155" spans="1:3" x14ac:dyDescent="0.25">
      <c r="A155" s="4" t="s">
        <v>836</v>
      </c>
      <c r="B155" s="67">
        <f>VLOOKUP("Packet Control VLAN ID",'Nexus Info'!A3:C185,2,FALSE)</f>
        <v>3176</v>
      </c>
      <c r="C155" t="s">
        <v>210</v>
      </c>
    </row>
    <row r="156" spans="1:3" x14ac:dyDescent="0.25">
      <c r="A156" s="4" t="s">
        <v>837</v>
      </c>
      <c r="B156" s="67" t="str">
        <f>VLOOKUP("vMotion VLAN Name",'Nexus Info'!A3:C185,2,FALSE)</f>
        <v>vMotion</v>
      </c>
    </row>
    <row r="157" spans="1:3" x14ac:dyDescent="0.25">
      <c r="A157" s="4" t="s">
        <v>838</v>
      </c>
      <c r="B157" s="67">
        <f>VLOOKUP("vMotion VLAN ID",'Nexus Info'!A3:C185,2,FALSE)</f>
        <v>3173</v>
      </c>
      <c r="C157" t="s">
        <v>841</v>
      </c>
    </row>
    <row r="158" spans="1:3" x14ac:dyDescent="0.25">
      <c r="A158" s="4" t="s">
        <v>839</v>
      </c>
      <c r="B158" s="67" t="str">
        <f>VLOOKUP("VM Traffic VLAN Name",'Nexus Info'!A3:C185,2,FALSE)</f>
        <v>Server</v>
      </c>
    </row>
    <row r="159" spans="1:3" x14ac:dyDescent="0.25">
      <c r="A159" s="4" t="s">
        <v>840</v>
      </c>
      <c r="B159" s="67">
        <f>VLOOKUP("VM Traffic VLAN",'Nexus Info'!A3:C185,2,FALSE)</f>
        <v>3174</v>
      </c>
      <c r="C159" t="s">
        <v>212</v>
      </c>
    </row>
    <row r="160" spans="1:3" x14ac:dyDescent="0.25">
      <c r="A160" s="4" t="s">
        <v>860</v>
      </c>
      <c r="B160" s="67" t="str">
        <f>VLOOKUP("Fabric A ESXi Management vNIC Template Name",'UCS Info'!A3:C121,2,FALSE)</f>
        <v>ESXi_A</v>
      </c>
    </row>
    <row r="161" spans="1:2" x14ac:dyDescent="0.25">
      <c r="A161" s="4" t="s">
        <v>859</v>
      </c>
      <c r="B161" s="67" t="str">
        <f>VLOOKUP("Fabric A vMotion vNIC Template Name",'UCS Info'!A3:C121,2,FALSE)</f>
        <v>vMotion_A</v>
      </c>
    </row>
    <row r="162" spans="1:2" x14ac:dyDescent="0.25">
      <c r="A162" s="4" t="s">
        <v>1023</v>
      </c>
      <c r="B162" s="67" t="str">
        <f>VLOOKUP("Fabric A Storage Access vNIC Template Name",'UCS Info'!A3:C121,2,FALSE)</f>
        <v>NFS_A</v>
      </c>
    </row>
    <row r="163" spans="1:2" x14ac:dyDescent="0.25">
      <c r="A163" s="4" t="s">
        <v>1024</v>
      </c>
      <c r="B163" s="67" t="str">
        <f>VLOOKUP("Fabric A VM Traffic vNIC Template Name",'UCS Info'!A3:C121,2,FALSE)</f>
        <v>VM_A</v>
      </c>
    </row>
    <row r="164" spans="1:2" x14ac:dyDescent="0.25">
      <c r="A164" s="4" t="s">
        <v>862</v>
      </c>
      <c r="B164" s="67" t="str">
        <f>VLOOKUP("Fabric B ESXi Management vNIC Template Name",'UCS Info'!A3:C121,2,FALSE)</f>
        <v>ESXi_B</v>
      </c>
    </row>
    <row r="165" spans="1:2" x14ac:dyDescent="0.25">
      <c r="A165" s="4" t="s">
        <v>861</v>
      </c>
      <c r="B165" s="67" t="str">
        <f>VLOOKUP("Fabric B vMotion vNIC Template Name",'UCS Info'!A3:C121,2,FALSE)</f>
        <v>vMotion_B</v>
      </c>
    </row>
    <row r="166" spans="1:2" x14ac:dyDescent="0.25">
      <c r="A166" s="4" t="s">
        <v>1025</v>
      </c>
      <c r="B166" s="67" t="str">
        <f>VLOOKUP("Fabric B Storage Access vNIC Template Name",'UCS Info'!A3:C121,2,FALSE)</f>
        <v>NFS_B</v>
      </c>
    </row>
    <row r="167" spans="1:2" x14ac:dyDescent="0.25">
      <c r="A167" s="4" t="s">
        <v>1026</v>
      </c>
      <c r="B167" s="67" t="str">
        <f>VLOOKUP("Fabric B VM Traffic vNIC Template Name",'UCS Info'!A3:C121,2,FALSE)</f>
        <v>VM_B</v>
      </c>
    </row>
    <row r="168" spans="1:2" x14ac:dyDescent="0.25">
      <c r="A168" s="4" t="s">
        <v>865</v>
      </c>
      <c r="B168" s="67" t="str">
        <f>VLOOKUP("Service Profile Template Name",'UCS Info'!A3:C121,2,FALSE)</f>
        <v>POD1</v>
      </c>
    </row>
    <row r="169" spans="1:2" x14ac:dyDescent="0.25">
      <c r="A169" s="4" t="s">
        <v>866</v>
      </c>
      <c r="B169" s="67" t="str">
        <f>VLOOKUP("Service Profile Prefix for ESXi Hosts",'UCS Info'!A3:C121,2,FALSE)</f>
        <v>ESXi_</v>
      </c>
    </row>
    <row r="170" spans="1:2" x14ac:dyDescent="0.25">
      <c r="A170" s="4" t="s">
        <v>940</v>
      </c>
      <c r="B170" s="67" t="str">
        <f>VLOOKUP("UCS iSCSI A IP Pool Start",'UCS Info'!A3:C115,2,FALSE)</f>
        <v>192.168.23.201</v>
      </c>
    </row>
    <row r="171" spans="1:2" x14ac:dyDescent="0.25">
      <c r="A171" s="4" t="s">
        <v>942</v>
      </c>
      <c r="B171" s="67" t="str">
        <f>VLOOKUP("UCS iSCSI A IP Pool End",'UCS Info'!A3:C115,2,FALSE)</f>
        <v>192.168.23.220</v>
      </c>
    </row>
    <row r="172" spans="1:2" x14ac:dyDescent="0.25">
      <c r="A172" s="4" t="s">
        <v>943</v>
      </c>
      <c r="B172" s="67" t="str">
        <f>VLOOKUP("UCS iSCSI A IP Pool Subnet Mask",'UCS Info'!A3:C115,2,FALSE)</f>
        <v>255.255.255.0</v>
      </c>
    </row>
    <row r="173" spans="1:2" x14ac:dyDescent="0.25">
      <c r="A173" s="4" t="s">
        <v>941</v>
      </c>
      <c r="B173" s="67" t="str">
        <f>VLOOKUP("UCS iSCSI B IP Pool Start",'UCS Info'!A3:C115,2,FALSE)</f>
        <v>192.168.24.201</v>
      </c>
    </row>
    <row r="174" spans="1:2" x14ac:dyDescent="0.25">
      <c r="A174" s="4" t="s">
        <v>944</v>
      </c>
      <c r="B174" s="67" t="str">
        <f>VLOOKUP("UCS iSCSI B IP Pool End",'UCS Info'!A3:C115,2,FALSE)</f>
        <v>192.168.24.220</v>
      </c>
    </row>
    <row r="175" spans="1:2" x14ac:dyDescent="0.25">
      <c r="A175" s="4" t="s">
        <v>945</v>
      </c>
      <c r="B175" s="67" t="str">
        <f>VLOOKUP("UCS iSCSI B IP Pool Subnet Mask",'UCS Info'!A3:C115,2,FALSE)</f>
        <v>255.255.255.0</v>
      </c>
    </row>
    <row r="176" spans="1:2" x14ac:dyDescent="0.25">
      <c r="A176" s="4" t="s">
        <v>357</v>
      </c>
      <c r="B176" s="67" t="str">
        <f>VLOOKUP("vCenter IP Address",'VMWare Info'!A3:C111,2,FALSE)</f>
        <v>172.26.56.200</v>
      </c>
    </row>
    <row r="177" spans="1:2" x14ac:dyDescent="0.25">
      <c r="A177" s="4" t="s">
        <v>816</v>
      </c>
      <c r="B177" s="67" t="str">
        <f>VLOOKUP("VMWare ESXi Host IP Pool Start",'VMWare Info'!A3:C111,2,FALSE)</f>
        <v>172.26.56.201</v>
      </c>
    </row>
    <row r="178" spans="1:2" x14ac:dyDescent="0.25">
      <c r="A178" s="4" t="s">
        <v>815</v>
      </c>
      <c r="B178" s="67" t="str">
        <f>VLOOKUP("VMWare ESXi Host IP Pool End",'VMWare Info'!A3:C111,2,FALSE)</f>
        <v>172.26.56.220</v>
      </c>
    </row>
    <row r="179" spans="1:2" x14ac:dyDescent="0.25">
      <c r="A179" s="4" t="s">
        <v>1002</v>
      </c>
      <c r="B179" s="67" t="str">
        <f>VLOOKUP("VMWare ESXi Host IP Mask",'VMWare Info'!A3:C111,2,FALSE)</f>
        <v>255.255.255.0</v>
      </c>
    </row>
    <row r="180" spans="1:2" x14ac:dyDescent="0.25">
      <c r="A180" s="4" t="s">
        <v>1009</v>
      </c>
      <c r="B180" s="67" t="str">
        <f>VLOOKUP("VMWare ESXi Host IP Gateway",'VMWare Info'!A3:C111,2,FALSE)</f>
        <v>172.26.56.1</v>
      </c>
    </row>
    <row r="181" spans="1:2" x14ac:dyDescent="0.25">
      <c r="A181" s="4" t="s">
        <v>813</v>
      </c>
      <c r="B181" s="67" t="str">
        <f>VLOOKUP("VMWare ESXi NFS IP Pool Start",'VMWare Info'!A3:C111,2,FALSE)</f>
        <v>192.168.22.201</v>
      </c>
    </row>
    <row r="182" spans="1:2" x14ac:dyDescent="0.25">
      <c r="A182" s="4" t="s">
        <v>814</v>
      </c>
      <c r="B182" t="str">
        <f>VLOOKUP("VMWare ESXi NFS IP Pool End",'VMWare Info'!A3:C111,2,FALSE)</f>
        <v>192.268.22.220</v>
      </c>
    </row>
    <row r="183" spans="1:2" x14ac:dyDescent="0.25">
      <c r="A183" s="4" t="s">
        <v>1003</v>
      </c>
      <c r="B183" t="str">
        <f>VLOOKUP("VMWare ESXi NFS IP Mask",'VMWare Info'!A3:C111,2,FALSE)</f>
        <v>255.255.255.0</v>
      </c>
    </row>
    <row r="184" spans="1:2" x14ac:dyDescent="0.25">
      <c r="A184" s="4" t="s">
        <v>1004</v>
      </c>
      <c r="B184" t="str">
        <f>VLOOKUP("VMWare ESXi vMotion IP Pool Start",'VMWare Info'!A3:C111,2,FALSE)</f>
        <v>192.168.100.201</v>
      </c>
    </row>
    <row r="185" spans="1:2" x14ac:dyDescent="0.25">
      <c r="A185" s="4" t="s">
        <v>1005</v>
      </c>
      <c r="B185" t="str">
        <f>VLOOKUP("VMWare ESXi vMotion IP Pool End",'VMWare Info'!A3:C111,2,FALSE)</f>
        <v>192.168.100.220</v>
      </c>
    </row>
    <row r="186" spans="1:2" x14ac:dyDescent="0.25">
      <c r="A186" s="4" t="s">
        <v>1006</v>
      </c>
      <c r="B186" t="str">
        <f>VLOOKUP("VMWare ESXi vMotion IP Mask",'VMWare Info'!A3:C111,2,FALSE)</f>
        <v>255.255.255.0</v>
      </c>
    </row>
  </sheetData>
  <mergeCells count="1">
    <mergeCell ref="A1:C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11" sqref="C11"/>
    </sheetView>
  </sheetViews>
  <sheetFormatPr defaultRowHeight="15" x14ac:dyDescent="0.25"/>
  <cols>
    <col min="1" max="1" width="24.5703125" bestFit="1" customWidth="1"/>
    <col min="2" max="2" width="41.42578125" bestFit="1" customWidth="1"/>
    <col min="3" max="3" width="37.140625" bestFit="1" customWidth="1"/>
  </cols>
  <sheetData>
    <row r="1" spans="1:3" ht="20.25" thickBot="1" x14ac:dyDescent="0.35">
      <c r="A1" s="5" t="s">
        <v>162</v>
      </c>
      <c r="B1" s="6" t="s">
        <v>164</v>
      </c>
      <c r="C1" s="6" t="s">
        <v>163</v>
      </c>
    </row>
    <row r="2" spans="1:3" ht="15.75" thickTop="1" x14ac:dyDescent="0.25">
      <c r="A2" s="4" t="s">
        <v>385</v>
      </c>
      <c r="B2" t="str">
        <f>Table3[[#This Row],[Answer]]</f>
        <v>FCoE</v>
      </c>
      <c r="C2" t="s">
        <v>290</v>
      </c>
    </row>
    <row r="3" spans="1:3" x14ac:dyDescent="0.25">
      <c r="A3" s="4" t="s">
        <v>406</v>
      </c>
      <c r="B3" t="b">
        <f>Table3[[#This Row],[Answer]]</f>
        <v>1</v>
      </c>
      <c r="C3" t="s">
        <v>291</v>
      </c>
    </row>
    <row r="4" spans="1:3" x14ac:dyDescent="0.25">
      <c r="A4" s="4" t="s">
        <v>407</v>
      </c>
      <c r="B4" t="b">
        <f>Table3[[#This Row],[Answer]]</f>
        <v>1</v>
      </c>
      <c r="C4" t="s">
        <v>292</v>
      </c>
    </row>
    <row r="5" spans="1:3" x14ac:dyDescent="0.25">
      <c r="A5" s="4" t="s">
        <v>754</v>
      </c>
      <c r="B5" t="b">
        <f>Table3[[#This Row],[Answer]]</f>
        <v>1</v>
      </c>
      <c r="C5" t="s">
        <v>755</v>
      </c>
    </row>
  </sheetData>
  <sheetProtection password="9165" sheet="1" objects="1" scenarios="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U266"/>
  <sheetViews>
    <sheetView workbookViewId="0">
      <selection activeCell="E3" sqref="E3"/>
    </sheetView>
  </sheetViews>
  <sheetFormatPr defaultRowHeight="15" x14ac:dyDescent="0.25"/>
  <cols>
    <col min="3" max="3" width="13.5703125" bestFit="1" customWidth="1"/>
    <col min="5" max="5" width="13.140625" bestFit="1" customWidth="1"/>
  </cols>
  <sheetData>
    <row r="2" spans="3:16" ht="20.25" thickBot="1" x14ac:dyDescent="0.35">
      <c r="C2" s="6" t="s">
        <v>283</v>
      </c>
      <c r="E2" s="6" t="s">
        <v>287</v>
      </c>
      <c r="P2" s="6" t="s">
        <v>412</v>
      </c>
    </row>
    <row r="3" spans="3:16" ht="15.75" thickTop="1" x14ac:dyDescent="0.25">
      <c r="C3" t="s">
        <v>282</v>
      </c>
      <c r="E3" t="b">
        <v>1</v>
      </c>
      <c r="P3" t="s">
        <v>413</v>
      </c>
    </row>
    <row r="4" spans="3:16" x14ac:dyDescent="0.25">
      <c r="C4" t="s">
        <v>285</v>
      </c>
      <c r="E4" t="b">
        <v>0</v>
      </c>
      <c r="P4" t="s">
        <v>414</v>
      </c>
    </row>
    <row r="5" spans="3:16" x14ac:dyDescent="0.25">
      <c r="C5" t="s">
        <v>284</v>
      </c>
      <c r="P5" t="s">
        <v>415</v>
      </c>
    </row>
    <row r="6" spans="3:16" x14ac:dyDescent="0.25">
      <c r="P6" t="s">
        <v>416</v>
      </c>
    </row>
    <row r="7" spans="3:16" x14ac:dyDescent="0.25">
      <c r="P7" t="s">
        <v>417</v>
      </c>
    </row>
    <row r="8" spans="3:16" x14ac:dyDescent="0.25">
      <c r="P8" t="s">
        <v>418</v>
      </c>
    </row>
    <row r="9" spans="3:16" x14ac:dyDescent="0.25">
      <c r="P9" t="s">
        <v>419</v>
      </c>
    </row>
    <row r="10" spans="3:16" x14ac:dyDescent="0.25">
      <c r="P10" t="s">
        <v>420</v>
      </c>
    </row>
    <row r="11" spans="3:16" x14ac:dyDescent="0.25">
      <c r="P11" t="s">
        <v>421</v>
      </c>
    </row>
    <row r="12" spans="3:16" x14ac:dyDescent="0.25">
      <c r="P12" t="s">
        <v>422</v>
      </c>
    </row>
    <row r="13" spans="3:16" x14ac:dyDescent="0.25">
      <c r="P13" t="s">
        <v>423</v>
      </c>
    </row>
    <row r="14" spans="3:16" x14ac:dyDescent="0.25">
      <c r="P14" t="s">
        <v>424</v>
      </c>
    </row>
    <row r="15" spans="3:16" x14ac:dyDescent="0.25">
      <c r="P15" t="s">
        <v>425</v>
      </c>
    </row>
    <row r="16" spans="3:16" x14ac:dyDescent="0.25">
      <c r="P16" t="s">
        <v>426</v>
      </c>
    </row>
    <row r="17" spans="16:21" x14ac:dyDescent="0.25">
      <c r="P17" t="s">
        <v>427</v>
      </c>
    </row>
    <row r="18" spans="16:21" x14ac:dyDescent="0.25">
      <c r="P18" t="s">
        <v>428</v>
      </c>
    </row>
    <row r="19" spans="16:21" x14ac:dyDescent="0.25">
      <c r="P19" t="s">
        <v>429</v>
      </c>
    </row>
    <row r="20" spans="16:21" x14ac:dyDescent="0.25">
      <c r="P20" t="s">
        <v>430</v>
      </c>
    </row>
    <row r="21" spans="16:21" x14ac:dyDescent="0.25">
      <c r="P21" t="s">
        <v>431</v>
      </c>
    </row>
    <row r="22" spans="16:21" x14ac:dyDescent="0.25">
      <c r="P22" t="s">
        <v>432</v>
      </c>
    </row>
    <row r="23" spans="16:21" x14ac:dyDescent="0.25">
      <c r="P23" t="s">
        <v>433</v>
      </c>
    </row>
    <row r="24" spans="16:21" x14ac:dyDescent="0.25">
      <c r="P24" t="s">
        <v>434</v>
      </c>
      <c r="Q24" t="s">
        <v>435</v>
      </c>
      <c r="R24">
        <v>1984</v>
      </c>
      <c r="S24" t="s">
        <v>436</v>
      </c>
      <c r="T24" t="s">
        <v>437</v>
      </c>
      <c r="U24" t="s">
        <v>438</v>
      </c>
    </row>
    <row r="25" spans="16:21" x14ac:dyDescent="0.25">
      <c r="P25" t="s">
        <v>439</v>
      </c>
    </row>
    <row r="26" spans="16:21" x14ac:dyDescent="0.25">
      <c r="P26" t="s">
        <v>440</v>
      </c>
    </row>
    <row r="27" spans="16:21" x14ac:dyDescent="0.25">
      <c r="P27" t="s">
        <v>441</v>
      </c>
    </row>
    <row r="28" spans="16:21" x14ac:dyDescent="0.25">
      <c r="P28" t="s">
        <v>442</v>
      </c>
      <c r="Q28" t="s">
        <v>443</v>
      </c>
      <c r="R28">
        <v>1977</v>
      </c>
      <c r="S28" t="s">
        <v>444</v>
      </c>
      <c r="T28" t="s">
        <v>445</v>
      </c>
      <c r="U28" t="s">
        <v>446</v>
      </c>
    </row>
    <row r="29" spans="16:21" x14ac:dyDescent="0.25">
      <c r="P29" t="s">
        <v>447</v>
      </c>
    </row>
    <row r="30" spans="16:21" x14ac:dyDescent="0.25">
      <c r="P30" t="s">
        <v>448</v>
      </c>
    </row>
    <row r="31" spans="16:21" x14ac:dyDescent="0.25">
      <c r="P31" t="s">
        <v>449</v>
      </c>
    </row>
    <row r="32" spans="16:21" x14ac:dyDescent="0.25">
      <c r="P32" t="s">
        <v>450</v>
      </c>
    </row>
    <row r="33" spans="16:16" x14ac:dyDescent="0.25">
      <c r="P33" t="s">
        <v>451</v>
      </c>
    </row>
    <row r="34" spans="16:16" x14ac:dyDescent="0.25">
      <c r="P34" t="s">
        <v>452</v>
      </c>
    </row>
    <row r="35" spans="16:16" x14ac:dyDescent="0.25">
      <c r="P35" t="s">
        <v>451</v>
      </c>
    </row>
    <row r="36" spans="16:16" x14ac:dyDescent="0.25">
      <c r="P36" t="s">
        <v>453</v>
      </c>
    </row>
    <row r="37" spans="16:16" x14ac:dyDescent="0.25">
      <c r="P37" t="s">
        <v>454</v>
      </c>
    </row>
    <row r="38" spans="16:16" x14ac:dyDescent="0.25">
      <c r="P38" t="s">
        <v>455</v>
      </c>
    </row>
    <row r="39" spans="16:16" x14ac:dyDescent="0.25">
      <c r="P39" t="s">
        <v>456</v>
      </c>
    </row>
    <row r="40" spans="16:16" x14ac:dyDescent="0.25">
      <c r="P40" t="s">
        <v>457</v>
      </c>
    </row>
    <row r="41" spans="16:16" x14ac:dyDescent="0.25">
      <c r="P41" t="s">
        <v>458</v>
      </c>
    </row>
    <row r="42" spans="16:16" x14ac:dyDescent="0.25">
      <c r="P42" t="s">
        <v>422</v>
      </c>
    </row>
    <row r="43" spans="16:16" x14ac:dyDescent="0.25">
      <c r="P43" t="s">
        <v>459</v>
      </c>
    </row>
    <row r="44" spans="16:16" x14ac:dyDescent="0.25">
      <c r="P44" t="s">
        <v>460</v>
      </c>
    </row>
    <row r="45" spans="16:16" x14ac:dyDescent="0.25">
      <c r="P45" t="s">
        <v>461</v>
      </c>
    </row>
    <row r="46" spans="16:16" x14ac:dyDescent="0.25">
      <c r="P46" t="s">
        <v>462</v>
      </c>
    </row>
    <row r="47" spans="16:16" x14ac:dyDescent="0.25">
      <c r="P47" t="s">
        <v>463</v>
      </c>
    </row>
    <row r="48" spans="16:16" x14ac:dyDescent="0.25">
      <c r="P48" t="s">
        <v>464</v>
      </c>
    </row>
    <row r="49" spans="16:16" x14ac:dyDescent="0.25">
      <c r="P49" t="s">
        <v>465</v>
      </c>
    </row>
    <row r="50" spans="16:16" x14ac:dyDescent="0.25">
      <c r="P50" t="s">
        <v>466</v>
      </c>
    </row>
    <row r="51" spans="16:16" x14ac:dyDescent="0.25">
      <c r="P51" t="s">
        <v>467</v>
      </c>
    </row>
    <row r="52" spans="16:16" x14ac:dyDescent="0.25">
      <c r="P52" t="s">
        <v>468</v>
      </c>
    </row>
    <row r="53" spans="16:16" x14ac:dyDescent="0.25">
      <c r="P53" t="s">
        <v>469</v>
      </c>
    </row>
    <row r="54" spans="16:16" x14ac:dyDescent="0.25">
      <c r="P54" t="s">
        <v>470</v>
      </c>
    </row>
    <row r="55" spans="16:16" x14ac:dyDescent="0.25">
      <c r="P55" t="s">
        <v>471</v>
      </c>
    </row>
    <row r="56" spans="16:16" x14ac:dyDescent="0.25">
      <c r="P56" t="s">
        <v>472</v>
      </c>
    </row>
    <row r="57" spans="16:16" x14ac:dyDescent="0.25">
      <c r="P57" t="s">
        <v>473</v>
      </c>
    </row>
    <row r="58" spans="16:16" x14ac:dyDescent="0.25">
      <c r="P58" t="s">
        <v>474</v>
      </c>
    </row>
    <row r="59" spans="16:16" x14ac:dyDescent="0.25">
      <c r="P59" t="s">
        <v>475</v>
      </c>
    </row>
    <row r="60" spans="16:16" x14ac:dyDescent="0.25">
      <c r="P60" t="s">
        <v>476</v>
      </c>
    </row>
    <row r="61" spans="16:16" x14ac:dyDescent="0.25">
      <c r="P61" t="s">
        <v>477</v>
      </c>
    </row>
    <row r="62" spans="16:16" x14ac:dyDescent="0.25">
      <c r="P62" t="s">
        <v>478</v>
      </c>
    </row>
    <row r="63" spans="16:16" x14ac:dyDescent="0.25">
      <c r="P63" t="s">
        <v>479</v>
      </c>
    </row>
    <row r="64" spans="16:16" x14ac:dyDescent="0.25">
      <c r="P64" t="s">
        <v>422</v>
      </c>
    </row>
    <row r="65" spans="16:16" x14ac:dyDescent="0.25">
      <c r="P65" t="s">
        <v>480</v>
      </c>
    </row>
    <row r="66" spans="16:16" x14ac:dyDescent="0.25">
      <c r="P66" t="s">
        <v>481</v>
      </c>
    </row>
    <row r="67" spans="16:16" x14ac:dyDescent="0.25">
      <c r="P67" t="s">
        <v>482</v>
      </c>
    </row>
    <row r="68" spans="16:16" x14ac:dyDescent="0.25">
      <c r="P68" t="s">
        <v>483</v>
      </c>
    </row>
    <row r="69" spans="16:16" x14ac:dyDescent="0.25">
      <c r="P69" t="s">
        <v>484</v>
      </c>
    </row>
    <row r="70" spans="16:16" x14ac:dyDescent="0.25">
      <c r="P70" t="s">
        <v>485</v>
      </c>
    </row>
    <row r="71" spans="16:16" x14ac:dyDescent="0.25">
      <c r="P71" t="s">
        <v>486</v>
      </c>
    </row>
    <row r="72" spans="16:16" x14ac:dyDescent="0.25">
      <c r="P72" t="s">
        <v>487</v>
      </c>
    </row>
    <row r="73" spans="16:16" x14ac:dyDescent="0.25">
      <c r="P73" t="s">
        <v>488</v>
      </c>
    </row>
    <row r="74" spans="16:16" x14ac:dyDescent="0.25">
      <c r="P74" t="s">
        <v>489</v>
      </c>
    </row>
    <row r="75" spans="16:16" x14ac:dyDescent="0.25">
      <c r="P75" t="s">
        <v>490</v>
      </c>
    </row>
    <row r="76" spans="16:16" x14ac:dyDescent="0.25">
      <c r="P76" t="s">
        <v>491</v>
      </c>
    </row>
    <row r="77" spans="16:16" x14ac:dyDescent="0.25">
      <c r="P77" t="s">
        <v>492</v>
      </c>
    </row>
    <row r="78" spans="16:16" x14ac:dyDescent="0.25">
      <c r="P78" t="s">
        <v>493</v>
      </c>
    </row>
    <row r="79" spans="16:16" x14ac:dyDescent="0.25">
      <c r="P79" t="s">
        <v>494</v>
      </c>
    </row>
    <row r="80" spans="16:16" x14ac:dyDescent="0.25">
      <c r="P80" t="s">
        <v>495</v>
      </c>
    </row>
    <row r="81" spans="16:16" x14ac:dyDescent="0.25">
      <c r="P81" t="s">
        <v>496</v>
      </c>
    </row>
    <row r="82" spans="16:16" x14ac:dyDescent="0.25">
      <c r="P82" t="s">
        <v>497</v>
      </c>
    </row>
    <row r="83" spans="16:16" x14ac:dyDescent="0.25">
      <c r="P83" t="s">
        <v>498</v>
      </c>
    </row>
    <row r="84" spans="16:16" x14ac:dyDescent="0.25">
      <c r="P84" t="s">
        <v>499</v>
      </c>
    </row>
    <row r="85" spans="16:16" x14ac:dyDescent="0.25">
      <c r="P85" t="s">
        <v>500</v>
      </c>
    </row>
    <row r="86" spans="16:16" x14ac:dyDescent="0.25">
      <c r="P86" t="s">
        <v>501</v>
      </c>
    </row>
    <row r="87" spans="16:16" x14ac:dyDescent="0.25">
      <c r="P87" t="s">
        <v>502</v>
      </c>
    </row>
    <row r="88" spans="16:16" x14ac:dyDescent="0.25">
      <c r="P88" t="s">
        <v>503</v>
      </c>
    </row>
    <row r="89" spans="16:16" x14ac:dyDescent="0.25">
      <c r="P89" t="s">
        <v>504</v>
      </c>
    </row>
    <row r="90" spans="16:16" x14ac:dyDescent="0.25">
      <c r="P90" t="s">
        <v>505</v>
      </c>
    </row>
    <row r="91" spans="16:16" x14ac:dyDescent="0.25">
      <c r="P91" t="s">
        <v>506</v>
      </c>
    </row>
    <row r="92" spans="16:16" x14ac:dyDescent="0.25">
      <c r="P92" t="s">
        <v>507</v>
      </c>
    </row>
    <row r="93" spans="16:16" x14ac:dyDescent="0.25">
      <c r="P93" t="s">
        <v>508</v>
      </c>
    </row>
    <row r="94" spans="16:16" x14ac:dyDescent="0.25">
      <c r="P94" t="s">
        <v>509</v>
      </c>
    </row>
    <row r="95" spans="16:16" x14ac:dyDescent="0.25">
      <c r="P95" t="s">
        <v>510</v>
      </c>
    </row>
    <row r="96" spans="16:16" x14ac:dyDescent="0.25">
      <c r="P96" t="s">
        <v>511</v>
      </c>
    </row>
    <row r="97" spans="16:16" x14ac:dyDescent="0.25">
      <c r="P97" t="s">
        <v>512</v>
      </c>
    </row>
    <row r="98" spans="16:16" x14ac:dyDescent="0.25">
      <c r="P98" t="s">
        <v>513</v>
      </c>
    </row>
    <row r="99" spans="16:16" x14ac:dyDescent="0.25">
      <c r="P99" t="s">
        <v>514</v>
      </c>
    </row>
    <row r="100" spans="16:16" x14ac:dyDescent="0.25">
      <c r="P100" t="s">
        <v>515</v>
      </c>
    </row>
    <row r="101" spans="16:16" x14ac:dyDescent="0.25">
      <c r="P101" t="s">
        <v>516</v>
      </c>
    </row>
    <row r="102" spans="16:16" x14ac:dyDescent="0.25">
      <c r="P102" t="s">
        <v>517</v>
      </c>
    </row>
    <row r="103" spans="16:16" x14ac:dyDescent="0.25">
      <c r="P103" t="s">
        <v>518</v>
      </c>
    </row>
    <row r="104" spans="16:16" x14ac:dyDescent="0.25">
      <c r="P104" t="s">
        <v>519</v>
      </c>
    </row>
    <row r="105" spans="16:16" x14ac:dyDescent="0.25">
      <c r="P105" t="s">
        <v>520</v>
      </c>
    </row>
    <row r="106" spans="16:16" x14ac:dyDescent="0.25">
      <c r="P106" t="s">
        <v>521</v>
      </c>
    </row>
    <row r="107" spans="16:16" x14ac:dyDescent="0.25">
      <c r="P107" t="s">
        <v>522</v>
      </c>
    </row>
    <row r="108" spans="16:16" x14ac:dyDescent="0.25">
      <c r="P108" t="s">
        <v>523</v>
      </c>
    </row>
    <row r="109" spans="16:16" x14ac:dyDescent="0.25">
      <c r="P109" t="s">
        <v>524</v>
      </c>
    </row>
    <row r="110" spans="16:16" x14ac:dyDescent="0.25">
      <c r="P110" t="s">
        <v>525</v>
      </c>
    </row>
    <row r="111" spans="16:16" x14ac:dyDescent="0.25">
      <c r="P111" t="s">
        <v>526</v>
      </c>
    </row>
    <row r="112" spans="16:16" x14ac:dyDescent="0.25">
      <c r="P112" t="s">
        <v>527</v>
      </c>
    </row>
    <row r="113" spans="16:16" x14ac:dyDescent="0.25">
      <c r="P113" t="s">
        <v>528</v>
      </c>
    </row>
    <row r="114" spans="16:16" x14ac:dyDescent="0.25">
      <c r="P114" t="s">
        <v>529</v>
      </c>
    </row>
    <row r="115" spans="16:16" x14ac:dyDescent="0.25">
      <c r="P115" t="s">
        <v>530</v>
      </c>
    </row>
    <row r="116" spans="16:16" x14ac:dyDescent="0.25">
      <c r="P116" t="s">
        <v>531</v>
      </c>
    </row>
    <row r="117" spans="16:16" x14ac:dyDescent="0.25">
      <c r="P117" t="s">
        <v>532</v>
      </c>
    </row>
    <row r="118" spans="16:16" x14ac:dyDescent="0.25">
      <c r="P118" t="s">
        <v>533</v>
      </c>
    </row>
    <row r="119" spans="16:16" x14ac:dyDescent="0.25">
      <c r="P119" t="s">
        <v>534</v>
      </c>
    </row>
    <row r="120" spans="16:16" x14ac:dyDescent="0.25">
      <c r="P120" t="s">
        <v>535</v>
      </c>
    </row>
    <row r="121" spans="16:16" x14ac:dyDescent="0.25">
      <c r="P121" t="s">
        <v>536</v>
      </c>
    </row>
    <row r="122" spans="16:16" x14ac:dyDescent="0.25">
      <c r="P122" t="s">
        <v>537</v>
      </c>
    </row>
    <row r="123" spans="16:16" x14ac:dyDescent="0.25">
      <c r="P123" t="s">
        <v>538</v>
      </c>
    </row>
    <row r="124" spans="16:16" x14ac:dyDescent="0.25">
      <c r="P124" t="s">
        <v>539</v>
      </c>
    </row>
    <row r="125" spans="16:16" x14ac:dyDescent="0.25">
      <c r="P125" t="s">
        <v>540</v>
      </c>
    </row>
    <row r="126" spans="16:16" x14ac:dyDescent="0.25">
      <c r="P126" t="s">
        <v>541</v>
      </c>
    </row>
    <row r="127" spans="16:16" x14ac:dyDescent="0.25">
      <c r="P127" t="s">
        <v>452</v>
      </c>
    </row>
    <row r="128" spans="16:16" x14ac:dyDescent="0.25">
      <c r="P128" t="s">
        <v>542</v>
      </c>
    </row>
    <row r="129" spans="16:16" x14ac:dyDescent="0.25">
      <c r="P129" t="s">
        <v>543</v>
      </c>
    </row>
    <row r="130" spans="16:16" x14ac:dyDescent="0.25">
      <c r="P130" t="s">
        <v>544</v>
      </c>
    </row>
    <row r="131" spans="16:16" x14ac:dyDescent="0.25">
      <c r="P131" t="s">
        <v>545</v>
      </c>
    </row>
    <row r="132" spans="16:16" x14ac:dyDescent="0.25">
      <c r="P132" t="s">
        <v>546</v>
      </c>
    </row>
    <row r="133" spans="16:16" x14ac:dyDescent="0.25">
      <c r="P133" t="s">
        <v>547</v>
      </c>
    </row>
    <row r="134" spans="16:16" x14ac:dyDescent="0.25">
      <c r="P134" t="s">
        <v>548</v>
      </c>
    </row>
    <row r="135" spans="16:16" x14ac:dyDescent="0.25">
      <c r="P135" t="s">
        <v>549</v>
      </c>
    </row>
    <row r="136" spans="16:16" x14ac:dyDescent="0.25">
      <c r="P136" t="s">
        <v>550</v>
      </c>
    </row>
    <row r="137" spans="16:16" x14ac:dyDescent="0.25">
      <c r="P137" t="s">
        <v>551</v>
      </c>
    </row>
    <row r="138" spans="16:16" x14ac:dyDescent="0.25">
      <c r="P138" t="s">
        <v>552</v>
      </c>
    </row>
    <row r="139" spans="16:16" x14ac:dyDescent="0.25">
      <c r="P139" t="s">
        <v>553</v>
      </c>
    </row>
    <row r="140" spans="16:16" x14ac:dyDescent="0.25">
      <c r="P140" t="s">
        <v>554</v>
      </c>
    </row>
    <row r="141" spans="16:16" x14ac:dyDescent="0.25">
      <c r="P141" t="s">
        <v>555</v>
      </c>
    </row>
    <row r="142" spans="16:16" x14ac:dyDescent="0.25">
      <c r="P142" t="s">
        <v>556</v>
      </c>
    </row>
    <row r="143" spans="16:16" x14ac:dyDescent="0.25">
      <c r="P143" t="s">
        <v>557</v>
      </c>
    </row>
    <row r="144" spans="16:16" x14ac:dyDescent="0.25">
      <c r="P144" t="s">
        <v>558</v>
      </c>
    </row>
    <row r="145" spans="16:16" x14ac:dyDescent="0.25">
      <c r="P145" t="s">
        <v>559</v>
      </c>
    </row>
    <row r="146" spans="16:16" x14ac:dyDescent="0.25">
      <c r="P146" t="s">
        <v>560</v>
      </c>
    </row>
    <row r="147" spans="16:16" x14ac:dyDescent="0.25">
      <c r="P147" t="s">
        <v>561</v>
      </c>
    </row>
    <row r="148" spans="16:16" x14ac:dyDescent="0.25">
      <c r="P148" t="s">
        <v>562</v>
      </c>
    </row>
    <row r="149" spans="16:16" x14ac:dyDescent="0.25">
      <c r="P149" t="s">
        <v>563</v>
      </c>
    </row>
    <row r="150" spans="16:16" x14ac:dyDescent="0.25">
      <c r="P150" t="s">
        <v>564</v>
      </c>
    </row>
    <row r="151" spans="16:16" x14ac:dyDescent="0.25">
      <c r="P151" t="s">
        <v>565</v>
      </c>
    </row>
    <row r="152" spans="16:16" x14ac:dyDescent="0.25">
      <c r="P152" t="s">
        <v>566</v>
      </c>
    </row>
    <row r="153" spans="16:16" x14ac:dyDescent="0.25">
      <c r="P153" t="s">
        <v>567</v>
      </c>
    </row>
    <row r="154" spans="16:16" x14ac:dyDescent="0.25">
      <c r="P154" t="s">
        <v>568</v>
      </c>
    </row>
    <row r="155" spans="16:16" x14ac:dyDescent="0.25">
      <c r="P155" t="s">
        <v>422</v>
      </c>
    </row>
    <row r="156" spans="16:16" x14ac:dyDescent="0.25">
      <c r="P156" t="s">
        <v>569</v>
      </c>
    </row>
    <row r="157" spans="16:16" x14ac:dyDescent="0.25">
      <c r="P157" t="s">
        <v>570</v>
      </c>
    </row>
    <row r="158" spans="16:16" x14ac:dyDescent="0.25">
      <c r="P158" t="s">
        <v>571</v>
      </c>
    </row>
    <row r="159" spans="16:16" x14ac:dyDescent="0.25">
      <c r="P159" t="s">
        <v>572</v>
      </c>
    </row>
    <row r="160" spans="16:16" x14ac:dyDescent="0.25">
      <c r="P160" t="s">
        <v>573</v>
      </c>
    </row>
    <row r="161" spans="16:16" x14ac:dyDescent="0.25">
      <c r="P161" t="s">
        <v>574</v>
      </c>
    </row>
    <row r="162" spans="16:16" x14ac:dyDescent="0.25">
      <c r="P162" t="s">
        <v>575</v>
      </c>
    </row>
    <row r="163" spans="16:16" x14ac:dyDescent="0.25">
      <c r="P163" t="s">
        <v>576</v>
      </c>
    </row>
    <row r="164" spans="16:16" x14ac:dyDescent="0.25">
      <c r="P164" t="s">
        <v>577</v>
      </c>
    </row>
    <row r="165" spans="16:16" x14ac:dyDescent="0.25">
      <c r="P165" t="s">
        <v>578</v>
      </c>
    </row>
    <row r="166" spans="16:16" x14ac:dyDescent="0.25">
      <c r="P166" t="s">
        <v>579</v>
      </c>
    </row>
    <row r="167" spans="16:16" x14ac:dyDescent="0.25">
      <c r="P167" t="s">
        <v>580</v>
      </c>
    </row>
    <row r="168" spans="16:16" x14ac:dyDescent="0.25">
      <c r="P168" t="s">
        <v>581</v>
      </c>
    </row>
    <row r="169" spans="16:16" x14ac:dyDescent="0.25">
      <c r="P169" t="s">
        <v>582</v>
      </c>
    </row>
    <row r="170" spans="16:16" x14ac:dyDescent="0.25">
      <c r="P170" t="s">
        <v>583</v>
      </c>
    </row>
    <row r="171" spans="16:16" x14ac:dyDescent="0.25">
      <c r="P171" t="s">
        <v>584</v>
      </c>
    </row>
    <row r="172" spans="16:16" x14ac:dyDescent="0.25">
      <c r="P172" t="s">
        <v>585</v>
      </c>
    </row>
    <row r="173" spans="16:16" x14ac:dyDescent="0.25">
      <c r="P173" t="s">
        <v>586</v>
      </c>
    </row>
    <row r="174" spans="16:16" x14ac:dyDescent="0.25">
      <c r="P174" t="s">
        <v>587</v>
      </c>
    </row>
    <row r="175" spans="16:16" x14ac:dyDescent="0.25">
      <c r="P175" t="s">
        <v>588</v>
      </c>
    </row>
    <row r="176" spans="16:16" x14ac:dyDescent="0.25">
      <c r="P176" t="s">
        <v>589</v>
      </c>
    </row>
    <row r="177" spans="16:16" x14ac:dyDescent="0.25">
      <c r="P177" t="s">
        <v>590</v>
      </c>
    </row>
    <row r="178" spans="16:16" x14ac:dyDescent="0.25">
      <c r="P178" t="s">
        <v>591</v>
      </c>
    </row>
    <row r="179" spans="16:16" x14ac:dyDescent="0.25">
      <c r="P179" t="s">
        <v>592</v>
      </c>
    </row>
    <row r="180" spans="16:16" x14ac:dyDescent="0.25">
      <c r="P180" t="s">
        <v>593</v>
      </c>
    </row>
    <row r="181" spans="16:16" x14ac:dyDescent="0.25">
      <c r="P181" t="s">
        <v>594</v>
      </c>
    </row>
    <row r="182" spans="16:16" x14ac:dyDescent="0.25">
      <c r="P182" t="s">
        <v>595</v>
      </c>
    </row>
    <row r="183" spans="16:16" x14ac:dyDescent="0.25">
      <c r="P183" t="s">
        <v>596</v>
      </c>
    </row>
    <row r="184" spans="16:16" x14ac:dyDescent="0.25">
      <c r="P184" t="s">
        <v>597</v>
      </c>
    </row>
    <row r="185" spans="16:16" x14ac:dyDescent="0.25">
      <c r="P185" t="s">
        <v>598</v>
      </c>
    </row>
    <row r="186" spans="16:16" x14ac:dyDescent="0.25">
      <c r="P186" t="s">
        <v>599</v>
      </c>
    </row>
    <row r="187" spans="16:16" x14ac:dyDescent="0.25">
      <c r="P187" t="s">
        <v>600</v>
      </c>
    </row>
    <row r="188" spans="16:16" x14ac:dyDescent="0.25">
      <c r="P188" t="s">
        <v>601</v>
      </c>
    </row>
    <row r="189" spans="16:16" x14ac:dyDescent="0.25">
      <c r="P189" t="s">
        <v>602</v>
      </c>
    </row>
    <row r="190" spans="16:16" x14ac:dyDescent="0.25">
      <c r="P190" t="s">
        <v>603</v>
      </c>
    </row>
    <row r="191" spans="16:16" x14ac:dyDescent="0.25">
      <c r="P191" t="s">
        <v>604</v>
      </c>
    </row>
    <row r="192" spans="16:16" x14ac:dyDescent="0.25">
      <c r="P192" t="s">
        <v>605</v>
      </c>
    </row>
    <row r="193" spans="16:16" x14ac:dyDescent="0.25">
      <c r="P193" t="s">
        <v>606</v>
      </c>
    </row>
    <row r="194" spans="16:16" x14ac:dyDescent="0.25">
      <c r="P194" t="s">
        <v>607</v>
      </c>
    </row>
    <row r="195" spans="16:16" x14ac:dyDescent="0.25">
      <c r="P195" t="s">
        <v>422</v>
      </c>
    </row>
    <row r="196" spans="16:16" x14ac:dyDescent="0.25">
      <c r="P196" t="s">
        <v>608</v>
      </c>
    </row>
    <row r="197" spans="16:16" x14ac:dyDescent="0.25">
      <c r="P197" t="s">
        <v>609</v>
      </c>
    </row>
    <row r="198" spans="16:16" x14ac:dyDescent="0.25">
      <c r="P198" t="s">
        <v>610</v>
      </c>
    </row>
    <row r="199" spans="16:16" x14ac:dyDescent="0.25">
      <c r="P199" t="s">
        <v>611</v>
      </c>
    </row>
    <row r="200" spans="16:16" x14ac:dyDescent="0.25">
      <c r="P200" t="s">
        <v>612</v>
      </c>
    </row>
    <row r="201" spans="16:16" x14ac:dyDescent="0.25">
      <c r="P201" t="s">
        <v>613</v>
      </c>
    </row>
    <row r="202" spans="16:16" x14ac:dyDescent="0.25">
      <c r="P202" t="s">
        <v>614</v>
      </c>
    </row>
    <row r="203" spans="16:16" x14ac:dyDescent="0.25">
      <c r="P203" t="s">
        <v>615</v>
      </c>
    </row>
    <row r="204" spans="16:16" x14ac:dyDescent="0.25">
      <c r="P204" t="s">
        <v>616</v>
      </c>
    </row>
    <row r="205" spans="16:16" x14ac:dyDescent="0.25">
      <c r="P205" t="s">
        <v>617</v>
      </c>
    </row>
    <row r="206" spans="16:16" x14ac:dyDescent="0.25">
      <c r="P206" t="s">
        <v>618</v>
      </c>
    </row>
    <row r="207" spans="16:16" x14ac:dyDescent="0.25">
      <c r="P207" t="s">
        <v>619</v>
      </c>
    </row>
    <row r="208" spans="16:16" x14ac:dyDescent="0.25">
      <c r="P208" t="s">
        <v>620</v>
      </c>
    </row>
    <row r="209" spans="16:16" x14ac:dyDescent="0.25">
      <c r="P209" t="s">
        <v>621</v>
      </c>
    </row>
    <row r="210" spans="16:16" x14ac:dyDescent="0.25">
      <c r="P210" t="s">
        <v>622</v>
      </c>
    </row>
    <row r="211" spans="16:16" x14ac:dyDescent="0.25">
      <c r="P211" t="s">
        <v>623</v>
      </c>
    </row>
    <row r="212" spans="16:16" x14ac:dyDescent="0.25">
      <c r="P212" t="s">
        <v>624</v>
      </c>
    </row>
    <row r="213" spans="16:16" x14ac:dyDescent="0.25">
      <c r="P213" t="s">
        <v>625</v>
      </c>
    </row>
    <row r="214" spans="16:16" x14ac:dyDescent="0.25">
      <c r="P214" t="s">
        <v>626</v>
      </c>
    </row>
    <row r="215" spans="16:16" x14ac:dyDescent="0.25">
      <c r="P215" t="s">
        <v>627</v>
      </c>
    </row>
    <row r="216" spans="16:16" x14ac:dyDescent="0.25">
      <c r="P216" t="s">
        <v>628</v>
      </c>
    </row>
    <row r="217" spans="16:16" x14ac:dyDescent="0.25">
      <c r="P217" t="s">
        <v>629</v>
      </c>
    </row>
    <row r="218" spans="16:16" x14ac:dyDescent="0.25">
      <c r="P218" t="s">
        <v>630</v>
      </c>
    </row>
    <row r="219" spans="16:16" x14ac:dyDescent="0.25">
      <c r="P219" t="s">
        <v>631</v>
      </c>
    </row>
    <row r="220" spans="16:16" x14ac:dyDescent="0.25">
      <c r="P220" t="s">
        <v>632</v>
      </c>
    </row>
    <row r="221" spans="16:16" x14ac:dyDescent="0.25">
      <c r="P221" t="s">
        <v>633</v>
      </c>
    </row>
    <row r="222" spans="16:16" x14ac:dyDescent="0.25">
      <c r="P222" t="s">
        <v>634</v>
      </c>
    </row>
    <row r="223" spans="16:16" x14ac:dyDescent="0.25">
      <c r="P223" t="s">
        <v>635</v>
      </c>
    </row>
    <row r="224" spans="16:16" x14ac:dyDescent="0.25">
      <c r="P224" t="s">
        <v>636</v>
      </c>
    </row>
    <row r="225" spans="16:16" x14ac:dyDescent="0.25">
      <c r="P225" t="s">
        <v>637</v>
      </c>
    </row>
    <row r="226" spans="16:16" x14ac:dyDescent="0.25">
      <c r="P226" t="s">
        <v>638</v>
      </c>
    </row>
    <row r="227" spans="16:16" x14ac:dyDescent="0.25">
      <c r="P227" t="s">
        <v>639</v>
      </c>
    </row>
    <row r="228" spans="16:16" x14ac:dyDescent="0.25">
      <c r="P228" t="s">
        <v>640</v>
      </c>
    </row>
    <row r="229" spans="16:16" x14ac:dyDescent="0.25">
      <c r="P229" t="s">
        <v>422</v>
      </c>
    </row>
    <row r="230" spans="16:16" x14ac:dyDescent="0.25">
      <c r="P230" t="s">
        <v>641</v>
      </c>
    </row>
    <row r="231" spans="16:16" x14ac:dyDescent="0.25">
      <c r="P231" t="s">
        <v>642</v>
      </c>
    </row>
    <row r="232" spans="16:16" x14ac:dyDescent="0.25">
      <c r="P232" t="s">
        <v>643</v>
      </c>
    </row>
    <row r="233" spans="16:16" x14ac:dyDescent="0.25">
      <c r="P233" t="s">
        <v>644</v>
      </c>
    </row>
    <row r="234" spans="16:16" x14ac:dyDescent="0.25">
      <c r="P234" t="s">
        <v>645</v>
      </c>
    </row>
    <row r="235" spans="16:16" x14ac:dyDescent="0.25">
      <c r="P235" t="s">
        <v>646</v>
      </c>
    </row>
    <row r="236" spans="16:16" x14ac:dyDescent="0.25">
      <c r="P236" t="s">
        <v>647</v>
      </c>
    </row>
    <row r="237" spans="16:16" x14ac:dyDescent="0.25">
      <c r="P237" t="s">
        <v>648</v>
      </c>
    </row>
    <row r="238" spans="16:16" x14ac:dyDescent="0.25">
      <c r="P238" t="s">
        <v>649</v>
      </c>
    </row>
    <row r="239" spans="16:16" x14ac:dyDescent="0.25">
      <c r="P239" t="s">
        <v>650</v>
      </c>
    </row>
    <row r="240" spans="16:16" x14ac:dyDescent="0.25">
      <c r="P240" t="s">
        <v>651</v>
      </c>
    </row>
    <row r="241" spans="16:16" x14ac:dyDescent="0.25">
      <c r="P241" t="s">
        <v>652</v>
      </c>
    </row>
    <row r="242" spans="16:16" x14ac:dyDescent="0.25">
      <c r="P242" t="s">
        <v>533</v>
      </c>
    </row>
    <row r="243" spans="16:16" x14ac:dyDescent="0.25">
      <c r="P243" t="s">
        <v>653</v>
      </c>
    </row>
    <row r="244" spans="16:16" x14ac:dyDescent="0.25">
      <c r="P244" t="s">
        <v>654</v>
      </c>
    </row>
    <row r="245" spans="16:16" x14ac:dyDescent="0.25">
      <c r="P245" t="s">
        <v>422</v>
      </c>
    </row>
    <row r="246" spans="16:16" x14ac:dyDescent="0.25">
      <c r="P246" t="s">
        <v>655</v>
      </c>
    </row>
    <row r="247" spans="16:16" x14ac:dyDescent="0.25">
      <c r="P247" t="s">
        <v>656</v>
      </c>
    </row>
    <row r="248" spans="16:16" x14ac:dyDescent="0.25">
      <c r="P248" t="s">
        <v>657</v>
      </c>
    </row>
    <row r="249" spans="16:16" x14ac:dyDescent="0.25">
      <c r="P249" t="s">
        <v>658</v>
      </c>
    </row>
    <row r="250" spans="16:16" x14ac:dyDescent="0.25">
      <c r="P250" t="s">
        <v>659</v>
      </c>
    </row>
    <row r="251" spans="16:16" x14ac:dyDescent="0.25">
      <c r="P251" t="s">
        <v>660</v>
      </c>
    </row>
    <row r="252" spans="16:16" x14ac:dyDescent="0.25">
      <c r="P252" t="s">
        <v>452</v>
      </c>
    </row>
    <row r="253" spans="16:16" x14ac:dyDescent="0.25">
      <c r="P253" t="s">
        <v>661</v>
      </c>
    </row>
    <row r="254" spans="16:16" x14ac:dyDescent="0.25">
      <c r="P254" t="s">
        <v>662</v>
      </c>
    </row>
    <row r="255" spans="16:16" x14ac:dyDescent="0.25">
      <c r="P255" t="s">
        <v>663</v>
      </c>
    </row>
    <row r="256" spans="16:16" x14ac:dyDescent="0.25">
      <c r="P256" t="s">
        <v>664</v>
      </c>
    </row>
    <row r="257" spans="16:16" x14ac:dyDescent="0.25">
      <c r="P257" t="s">
        <v>665</v>
      </c>
    </row>
    <row r="258" spans="16:16" x14ac:dyDescent="0.25">
      <c r="P258" t="s">
        <v>666</v>
      </c>
    </row>
    <row r="259" spans="16:16" x14ac:dyDescent="0.25">
      <c r="P259" t="s">
        <v>667</v>
      </c>
    </row>
    <row r="260" spans="16:16" x14ac:dyDescent="0.25">
      <c r="P260" t="s">
        <v>668</v>
      </c>
    </row>
    <row r="261" spans="16:16" x14ac:dyDescent="0.25">
      <c r="P261" t="s">
        <v>669</v>
      </c>
    </row>
    <row r="262" spans="16:16" x14ac:dyDescent="0.25">
      <c r="P262" t="s">
        <v>422</v>
      </c>
    </row>
    <row r="263" spans="16:16" x14ac:dyDescent="0.25">
      <c r="P263" t="s">
        <v>670</v>
      </c>
    </row>
    <row r="264" spans="16:16" x14ac:dyDescent="0.25">
      <c r="P264" t="s">
        <v>671</v>
      </c>
    </row>
    <row r="265" spans="16:16" x14ac:dyDescent="0.25">
      <c r="P265" t="s">
        <v>672</v>
      </c>
    </row>
    <row r="266" spans="16:16" x14ac:dyDescent="0.25">
      <c r="P266" t="s">
        <v>673</v>
      </c>
    </row>
  </sheetData>
  <sheetProtection password="9165" sheet="1" objects="1" scenarios="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61"/>
  <sheetViews>
    <sheetView topLeftCell="A35" workbookViewId="0">
      <selection activeCell="C50" sqref="C50"/>
    </sheetView>
  </sheetViews>
  <sheetFormatPr defaultRowHeight="15" x14ac:dyDescent="0.25"/>
  <cols>
    <col min="1" max="1" width="25.28515625" bestFit="1" customWidth="1"/>
    <col min="2" max="2" width="37.42578125" bestFit="1" customWidth="1"/>
    <col min="3" max="3" width="30.5703125" customWidth="1"/>
  </cols>
  <sheetData>
    <row r="2" spans="1:3" x14ac:dyDescent="0.25">
      <c r="A2" t="s">
        <v>1027</v>
      </c>
      <c r="B2" t="s">
        <v>1029</v>
      </c>
      <c r="C2" t="str">
        <f>VLOOKUP("NetApp Controller A",Nexus_5548_A,2,FALSE)</f>
        <v>Eth1/1</v>
      </c>
    </row>
    <row r="3" spans="1:3" x14ac:dyDescent="0.25">
      <c r="A3" t="s">
        <v>1027</v>
      </c>
      <c r="B3" t="s">
        <v>1032</v>
      </c>
      <c r="C3" t="str">
        <f>VLOOKUP("NetApp Controller B",Nexus_5548_A,2,FALSE)</f>
        <v>Eth1/2</v>
      </c>
    </row>
    <row r="4" spans="1:3" x14ac:dyDescent="0.25">
      <c r="A4" t="s">
        <v>1027</v>
      </c>
      <c r="B4" t="s">
        <v>1061</v>
      </c>
      <c r="C4" t="str">
        <f>VLOOKUP("NetApp Controller A (cluster)",Nexus_5548_A,2,FALSE)</f>
        <v>Eth1/17</v>
      </c>
    </row>
    <row r="5" spans="1:3" x14ac:dyDescent="0.25">
      <c r="A5" t="s">
        <v>1027</v>
      </c>
      <c r="B5" t="s">
        <v>1062</v>
      </c>
      <c r="C5" t="str">
        <f>VLOOKUP("NetApp Controller B (cluster)",Nexus_5548_A,2,FALSE)</f>
        <v>Eth1/18</v>
      </c>
    </row>
    <row r="6" spans="1:3" x14ac:dyDescent="0.25">
      <c r="A6" t="s">
        <v>1027</v>
      </c>
      <c r="B6" t="s">
        <v>1063</v>
      </c>
      <c r="C6" t="str">
        <f>VLOOKUP("Cisco Nexus 5548 B (1)",Nexus_5548_A,2,FALSE)</f>
        <v>Eth1/13</v>
      </c>
    </row>
    <row r="7" spans="1:3" x14ac:dyDescent="0.25">
      <c r="A7" t="s">
        <v>1027</v>
      </c>
      <c r="B7" t="s">
        <v>1064</v>
      </c>
      <c r="C7" t="str">
        <f>VLOOKUP("Cisco Nexus 5548 B (2)",Nexus_5548_A,2,FALSE)</f>
        <v>Eth1/14</v>
      </c>
    </row>
    <row r="8" spans="1:3" x14ac:dyDescent="0.25">
      <c r="A8" t="s">
        <v>1027</v>
      </c>
      <c r="B8" t="s">
        <v>1033</v>
      </c>
      <c r="C8" t="str">
        <f>VLOOKUP("Cisco UCS Fabric Interconnect A",Nexus_5548_A,2,FALSE)</f>
        <v>Eth1/11</v>
      </c>
    </row>
    <row r="9" spans="1:3" x14ac:dyDescent="0.25">
      <c r="A9" t="s">
        <v>1027</v>
      </c>
      <c r="B9" t="s">
        <v>1034</v>
      </c>
      <c r="C9" t="str">
        <f>VLOOKUP("Cisco UCS Fabric Interconnect B",Nexus_5548_A,2,FALSE)</f>
        <v>Eth1/12</v>
      </c>
    </row>
    <row r="10" spans="1:3" x14ac:dyDescent="0.25">
      <c r="A10" t="s">
        <v>1027</v>
      </c>
      <c r="B10" t="s">
        <v>1065</v>
      </c>
      <c r="C10" t="str">
        <f>VLOOKUP("Cisco UCS Fabric Interconnect A (FAB A1)",Nexus_5548_A,2,FALSE)</f>
        <v>Eth1/31</v>
      </c>
    </row>
    <row r="11" spans="1:3" x14ac:dyDescent="0.25">
      <c r="A11" t="s">
        <v>1027</v>
      </c>
      <c r="B11" t="s">
        <v>1066</v>
      </c>
      <c r="C11" t="str">
        <f>VLOOKUP("Cisco UCS Fabric Interconnect A (FAB A2)",Nexus_5548_A,2,FALSE)</f>
        <v>Eth1/32</v>
      </c>
    </row>
    <row r="12" spans="1:3" x14ac:dyDescent="0.25">
      <c r="A12" t="s">
        <v>1027</v>
      </c>
      <c r="B12" t="s">
        <v>1035</v>
      </c>
      <c r="C12" t="str">
        <f>VLOOKUP("Cisco Nexus 1110-X A",Nexus_5548_A,2,FALSE)</f>
        <v>Eth1/15</v>
      </c>
    </row>
    <row r="13" spans="1:3" x14ac:dyDescent="0.25">
      <c r="A13" t="s">
        <v>1027</v>
      </c>
      <c r="B13" t="s">
        <v>1036</v>
      </c>
      <c r="C13" t="str">
        <f>VLOOKUP("Cisco Nexus 1110-X B",Nexus_5548_A,2,FALSE)</f>
        <v>Eth1/16</v>
      </c>
    </row>
    <row r="14" spans="1:3" x14ac:dyDescent="0.25">
      <c r="A14" t="s">
        <v>1028</v>
      </c>
      <c r="B14" t="s">
        <v>1029</v>
      </c>
      <c r="C14" t="str">
        <f>VLOOKUP("NetApp Controller A",Nexus_5548_B,2,FALSE)</f>
        <v>Eth1/1</v>
      </c>
    </row>
    <row r="15" spans="1:3" x14ac:dyDescent="0.25">
      <c r="A15" t="s">
        <v>1028</v>
      </c>
      <c r="B15" t="s">
        <v>1032</v>
      </c>
      <c r="C15" t="str">
        <f>VLOOKUP("NetApp Controller B",Nexus_5548_B,2,FALSE)</f>
        <v>Eth1/2</v>
      </c>
    </row>
    <row r="16" spans="1:3" x14ac:dyDescent="0.25">
      <c r="A16" t="s">
        <v>1028</v>
      </c>
      <c r="B16" t="s">
        <v>1061</v>
      </c>
      <c r="C16" t="str">
        <f>VLOOKUP("NetApp Controller A (cluster)",Nexus_5548_B,2,FALSE)</f>
        <v>Eth1/17</v>
      </c>
    </row>
    <row r="17" spans="1:3" x14ac:dyDescent="0.25">
      <c r="A17" t="s">
        <v>1028</v>
      </c>
      <c r="B17" t="s">
        <v>1062</v>
      </c>
      <c r="C17" t="str">
        <f>VLOOKUP("NetApp Controller B (cluster)",Nexus_5548_B,2,FALSE)</f>
        <v>Eth1/18</v>
      </c>
    </row>
    <row r="18" spans="1:3" x14ac:dyDescent="0.25">
      <c r="A18" t="s">
        <v>1028</v>
      </c>
      <c r="B18" t="s">
        <v>1063</v>
      </c>
      <c r="C18" t="str">
        <f>VLOOKUP("Cisco Nexus 5548 A (1)",Nexus_5548_B,2,FALSE)</f>
        <v>Eth1/13</v>
      </c>
    </row>
    <row r="19" spans="1:3" x14ac:dyDescent="0.25">
      <c r="A19" t="s">
        <v>1028</v>
      </c>
      <c r="B19" t="s">
        <v>1064</v>
      </c>
      <c r="C19" t="str">
        <f>VLOOKUP("Cisco Nexus 5548 A (2)",Nexus_5548_B,2,FALSE)</f>
        <v>Eth1/14</v>
      </c>
    </row>
    <row r="20" spans="1:3" x14ac:dyDescent="0.25">
      <c r="A20" t="s">
        <v>1028</v>
      </c>
      <c r="B20" t="s">
        <v>1033</v>
      </c>
      <c r="C20" t="str">
        <f>VLOOKUP("Cisco UCS Fabric Interconnect A",Nexus_5548_B,2,FALSE)</f>
        <v>Eth1/11</v>
      </c>
    </row>
    <row r="21" spans="1:3" x14ac:dyDescent="0.25">
      <c r="A21" t="s">
        <v>1028</v>
      </c>
      <c r="B21" t="s">
        <v>1034</v>
      </c>
      <c r="C21" t="str">
        <f>VLOOKUP("Cisco UCS Fabric Interconnect B",Nexus_5548_B,2,FALSE)</f>
        <v>Eth1/12</v>
      </c>
    </row>
    <row r="22" spans="1:3" x14ac:dyDescent="0.25">
      <c r="A22" t="s">
        <v>1028</v>
      </c>
      <c r="B22" t="s">
        <v>1067</v>
      </c>
      <c r="C22" t="str">
        <f>VLOOKUP("Cisco UCS Fabric Interconnect B (FAB B1)",Nexus_5548_B,2,FALSE)</f>
        <v>Eth1/31</v>
      </c>
    </row>
    <row r="23" spans="1:3" x14ac:dyDescent="0.25">
      <c r="A23" t="s">
        <v>1028</v>
      </c>
      <c r="B23" t="s">
        <v>1068</v>
      </c>
      <c r="C23" t="str">
        <f>VLOOKUP("Cisco UCS Fabric Interconnect B (FAB B2)",Nexus_5548_B,2,FALSE)</f>
        <v>Eth1/32</v>
      </c>
    </row>
    <row r="24" spans="1:3" x14ac:dyDescent="0.25">
      <c r="A24" t="s">
        <v>1028</v>
      </c>
      <c r="B24" t="s">
        <v>1035</v>
      </c>
      <c r="C24" t="str">
        <f>VLOOKUP("Cisco Nexus 1110-X A",Nexus_5548_B,2,FALSE)</f>
        <v>Eth1/15</v>
      </c>
    </row>
    <row r="25" spans="1:3" x14ac:dyDescent="0.25">
      <c r="A25" t="s">
        <v>1028</v>
      </c>
      <c r="B25" t="s">
        <v>1036</v>
      </c>
      <c r="C25" t="str">
        <f>VLOOKUP("Cisco Nexus 1110-X B",Nexus_5548_B,2,FALSE)</f>
        <v>Eth1/16</v>
      </c>
    </row>
    <row r="26" spans="1:3" x14ac:dyDescent="0.25">
      <c r="A26" t="s">
        <v>1029</v>
      </c>
      <c r="B26" t="s">
        <v>1069</v>
      </c>
      <c r="C26" t="str">
        <f>VLOOKUP("GbE management switch",NetApp_A,2,FALSE)</f>
        <v>e0a</v>
      </c>
    </row>
    <row r="27" spans="1:3" x14ac:dyDescent="0.25">
      <c r="A27" t="s">
        <v>1029</v>
      </c>
      <c r="B27" t="s">
        <v>1070</v>
      </c>
      <c r="C27" t="str">
        <f>VLOOKUP("NetApp Controller B (1)",NetApp_A,2,FALSE)</f>
        <v>c0a</v>
      </c>
    </row>
    <row r="28" spans="1:3" x14ac:dyDescent="0.25">
      <c r="A28" t="s">
        <v>1029</v>
      </c>
      <c r="B28" t="s">
        <v>1071</v>
      </c>
      <c r="C28" t="str">
        <f>VLOOKUP("NetApp Controller B (2)",NetApp_A,2,FALSE)</f>
        <v>c0b</v>
      </c>
    </row>
    <row r="29" spans="1:3" x14ac:dyDescent="0.25">
      <c r="A29" t="s">
        <v>1029</v>
      </c>
      <c r="B29" t="s">
        <v>1072</v>
      </c>
      <c r="C29" t="str">
        <f>VLOOKUP("SAS shelves",NetApp_A,2,FALSE)</f>
        <v>e0P</v>
      </c>
    </row>
    <row r="30" spans="1:3" x14ac:dyDescent="0.25">
      <c r="A30" t="s">
        <v>1029</v>
      </c>
      <c r="B30" t="s">
        <v>1073</v>
      </c>
      <c r="C30" t="str">
        <f>VLOOKUP("Nexus 5548 A (cluster)",NetApp_A,2,FALSE)</f>
        <v>e1a</v>
      </c>
    </row>
    <row r="31" spans="1:3" x14ac:dyDescent="0.25">
      <c r="A31" t="s">
        <v>1029</v>
      </c>
      <c r="B31" t="s">
        <v>1074</v>
      </c>
      <c r="C31" t="str">
        <f>VLOOKUP("Nexus 5548 B (cluster)",NetApp_A,2,FALSE)</f>
        <v>e2a</v>
      </c>
    </row>
    <row r="32" spans="1:3" x14ac:dyDescent="0.25">
      <c r="A32" t="s">
        <v>1029</v>
      </c>
      <c r="B32" t="s">
        <v>1027</v>
      </c>
      <c r="C32" t="str">
        <f>VLOOKUP("Nexus 5548 A",NetApp_A,2,FALSE)</f>
        <v>e3a</v>
      </c>
    </row>
    <row r="33" spans="1:3" x14ac:dyDescent="0.25">
      <c r="A33" t="s">
        <v>1029</v>
      </c>
      <c r="B33" t="s">
        <v>1028</v>
      </c>
      <c r="C33" t="str">
        <f>VLOOKUP("Nexus 5548 B",NetApp_A,2,FALSE)</f>
        <v>e4a</v>
      </c>
    </row>
    <row r="34" spans="1:3" x14ac:dyDescent="0.25">
      <c r="A34" t="s">
        <v>1032</v>
      </c>
      <c r="B34" t="s">
        <v>1069</v>
      </c>
      <c r="C34" t="str">
        <f>VLOOKUP("GbE management switch",NetApp_B,2,FALSE)</f>
        <v>e0a</v>
      </c>
    </row>
    <row r="35" spans="1:3" x14ac:dyDescent="0.25">
      <c r="A35" t="s">
        <v>1032</v>
      </c>
      <c r="B35" t="s">
        <v>1075</v>
      </c>
      <c r="C35" t="str">
        <f>VLOOKUP("NetApp Controller A (1)",NetApp_B,2,FALSE)</f>
        <v>c0a</v>
      </c>
    </row>
    <row r="36" spans="1:3" x14ac:dyDescent="0.25">
      <c r="A36" t="s">
        <v>1032</v>
      </c>
      <c r="B36" t="s">
        <v>1076</v>
      </c>
      <c r="C36" t="str">
        <f>VLOOKUP("NetApp Controller A (2)",NetApp_B,2,FALSE)</f>
        <v>c0b</v>
      </c>
    </row>
    <row r="37" spans="1:3" x14ac:dyDescent="0.25">
      <c r="A37" t="s">
        <v>1032</v>
      </c>
      <c r="B37" t="s">
        <v>1072</v>
      </c>
      <c r="C37" t="str">
        <f>VLOOKUP("SAS shelves",NetApp_B,2,FALSE)</f>
        <v>e0P</v>
      </c>
    </row>
    <row r="38" spans="1:3" x14ac:dyDescent="0.25">
      <c r="A38" t="s">
        <v>1032</v>
      </c>
      <c r="B38" t="s">
        <v>1073</v>
      </c>
      <c r="C38" t="str">
        <f>VLOOKUP("Nexus 5548 A (cluster)",NetApp_B,2,FALSE)</f>
        <v>e1a</v>
      </c>
    </row>
    <row r="39" spans="1:3" x14ac:dyDescent="0.25">
      <c r="A39" t="s">
        <v>1032</v>
      </c>
      <c r="B39" t="s">
        <v>1074</v>
      </c>
      <c r="C39" t="str">
        <f>VLOOKUP("Nexus 5548 B (cluster)",NetApp_B,2,FALSE)</f>
        <v>e2a</v>
      </c>
    </row>
    <row r="40" spans="1:3" x14ac:dyDescent="0.25">
      <c r="A40" t="s">
        <v>1032</v>
      </c>
      <c r="B40" t="s">
        <v>1027</v>
      </c>
      <c r="C40" t="str">
        <f>VLOOKUP("Nexus 5548 A",NetApp_B,2,FALSE)</f>
        <v>e3a</v>
      </c>
    </row>
    <row r="41" spans="1:3" x14ac:dyDescent="0.25">
      <c r="A41" t="s">
        <v>1032</v>
      </c>
      <c r="B41" t="s">
        <v>1028</v>
      </c>
      <c r="C41" t="str">
        <f>VLOOKUP("Nexus 5548 B",NetApp_B,2,FALSE)</f>
        <v>e4a</v>
      </c>
    </row>
    <row r="42" spans="1:3" x14ac:dyDescent="0.25">
      <c r="A42" t="s">
        <v>1033</v>
      </c>
      <c r="B42" t="s">
        <v>1077</v>
      </c>
      <c r="C42" t="str">
        <f>VLOOKUP("Chassis 1 FEX A (1)",UCS_FI_A,2,FALSE)</f>
        <v>Eth1/1</v>
      </c>
    </row>
    <row r="43" spans="1:3" x14ac:dyDescent="0.25">
      <c r="A43" t="s">
        <v>1033</v>
      </c>
      <c r="B43" t="s">
        <v>1078</v>
      </c>
      <c r="C43" t="str">
        <f>VLOOKUP("Chassis 1 FEX A (2)",UCS_FI_A,2,FALSE)</f>
        <v>Eth1/2</v>
      </c>
    </row>
    <row r="44" spans="1:3" x14ac:dyDescent="0.25">
      <c r="A44" t="s">
        <v>1033</v>
      </c>
      <c r="B44" t="s">
        <v>1079</v>
      </c>
      <c r="C44" t="str">
        <f>VLOOKUP("Chassis 1 FEX A (3)",UCS_FI_A,2,FALSE)</f>
        <v>Eth1/3</v>
      </c>
    </row>
    <row r="45" spans="1:3" x14ac:dyDescent="0.25">
      <c r="A45" t="s">
        <v>1033</v>
      </c>
      <c r="B45" t="s">
        <v>1080</v>
      </c>
      <c r="C45" t="str">
        <f>VLOOKUP("Chassis 1 FEX A (4)",UCS_FI_A,2,FALSE)</f>
        <v>Eth1/4</v>
      </c>
    </row>
    <row r="46" spans="1:3" x14ac:dyDescent="0.25">
      <c r="A46" t="s">
        <v>1033</v>
      </c>
      <c r="B46" t="s">
        <v>1027</v>
      </c>
      <c r="C46" t="str">
        <f>VLOOKUP("Nexus 5548 A",UCS_FI_A,2,FALSE)</f>
        <v>Eth1/19</v>
      </c>
    </row>
    <row r="47" spans="1:3" x14ac:dyDescent="0.25">
      <c r="A47" t="s">
        <v>1033</v>
      </c>
      <c r="B47" t="s">
        <v>1028</v>
      </c>
      <c r="C47" t="str">
        <f>VLOOKUP("Nexus 5548 B",UCS_FI_A,2,FALSE)</f>
        <v>Eth1/20</v>
      </c>
    </row>
    <row r="48" spans="1:3" x14ac:dyDescent="0.25">
      <c r="A48" t="s">
        <v>1033</v>
      </c>
      <c r="B48" t="s">
        <v>1081</v>
      </c>
      <c r="C48" t="str">
        <f>VLOOKUP("Nexus 5548 A (FAB A1)",UCS_FI_A,2,FALSE)</f>
        <v>Eth1/31</v>
      </c>
    </row>
    <row r="49" spans="1:3" x14ac:dyDescent="0.25">
      <c r="A49" t="s">
        <v>1033</v>
      </c>
      <c r="B49" t="s">
        <v>1082</v>
      </c>
      <c r="C49" t="str">
        <f>VLOOKUP("Nexus 5548 A (FAB A2)",UCS_FI_A,2,FALSE)</f>
        <v>Eth1/32</v>
      </c>
    </row>
    <row r="50" spans="1:3" x14ac:dyDescent="0.25">
      <c r="A50" t="s">
        <v>1034</v>
      </c>
      <c r="B50" t="s">
        <v>1083</v>
      </c>
      <c r="C50" t="str">
        <f>VLOOKUP("Chassis 1 FEX B (1)",UCS_FI_B,2,FALSE)</f>
        <v>Eth1/1</v>
      </c>
    </row>
    <row r="51" spans="1:3" x14ac:dyDescent="0.25">
      <c r="A51" t="s">
        <v>1034</v>
      </c>
      <c r="B51" t="s">
        <v>1084</v>
      </c>
      <c r="C51" t="str">
        <f>VLOOKUP("Chassis 1 FEX B (2)",UCS_FI_B,2,FALSE)</f>
        <v>Eth1/2</v>
      </c>
    </row>
    <row r="52" spans="1:3" x14ac:dyDescent="0.25">
      <c r="A52" t="s">
        <v>1034</v>
      </c>
      <c r="B52" t="s">
        <v>1085</v>
      </c>
      <c r="C52" t="str">
        <f>VLOOKUP("Chassis 1 FEX B (3)",UCS_FI_B,2,FALSE)</f>
        <v>Eth1/3</v>
      </c>
    </row>
    <row r="53" spans="1:3" x14ac:dyDescent="0.25">
      <c r="A53" t="s">
        <v>1034</v>
      </c>
      <c r="B53" t="s">
        <v>1086</v>
      </c>
      <c r="C53" t="str">
        <f>VLOOKUP("Chassis 1 FEX B (4)",UCS_FI_B,2,FALSE)</f>
        <v>Eth1/4</v>
      </c>
    </row>
    <row r="54" spans="1:3" x14ac:dyDescent="0.25">
      <c r="A54" t="s">
        <v>1034</v>
      </c>
      <c r="B54" t="s">
        <v>1027</v>
      </c>
      <c r="C54" t="str">
        <f>VLOOKUP("Nexus 5548 A",UCS_FI_B,2,FALSE)</f>
        <v>Eth1/19</v>
      </c>
    </row>
    <row r="55" spans="1:3" x14ac:dyDescent="0.25">
      <c r="A55" t="s">
        <v>1034</v>
      </c>
      <c r="B55" t="s">
        <v>1028</v>
      </c>
      <c r="C55" t="str">
        <f>VLOOKUP("Nexus 5548 B",UCS_FI_B,2,FALSE)</f>
        <v>Eth1/20</v>
      </c>
    </row>
    <row r="56" spans="1:3" x14ac:dyDescent="0.25">
      <c r="A56" t="s">
        <v>1034</v>
      </c>
      <c r="B56" t="s">
        <v>1087</v>
      </c>
      <c r="C56" t="str">
        <f>VLOOKUP("Nexus 5548 B (FAB B1)",UCS_FI_B,2,FALSE)</f>
        <v>Eth1/31</v>
      </c>
    </row>
    <row r="57" spans="1:3" x14ac:dyDescent="0.25">
      <c r="A57" t="s">
        <v>1034</v>
      </c>
      <c r="B57" t="s">
        <v>1088</v>
      </c>
      <c r="C57" t="str">
        <f>VLOOKUP("Nexus 5548 B (FAB B2)",UCS_FI_B,2,FALSE)</f>
        <v>Eth1/32</v>
      </c>
    </row>
    <row r="58" spans="1:3" x14ac:dyDescent="0.25">
      <c r="A58" t="s">
        <v>1035</v>
      </c>
      <c r="B58" t="s">
        <v>1027</v>
      </c>
      <c r="C58" t="str">
        <f>VLOOKUP("Cisco Nexus 5548 A",Nexus_1000V_A,2,FALSE)</f>
        <v>LOM A</v>
      </c>
    </row>
    <row r="59" spans="1:3" x14ac:dyDescent="0.25">
      <c r="A59" t="s">
        <v>1035</v>
      </c>
      <c r="B59" t="s">
        <v>1028</v>
      </c>
      <c r="C59" t="str">
        <f>VLOOKUP("Cisco Nexus 5548 B",Nexus_1000V_A,2,FALSE)</f>
        <v>LOM B</v>
      </c>
    </row>
    <row r="60" spans="1:3" x14ac:dyDescent="0.25">
      <c r="A60" t="s">
        <v>1036</v>
      </c>
      <c r="B60" t="s">
        <v>1027</v>
      </c>
      <c r="C60" t="str">
        <f>VLOOKUP("Cisco Nexus 5548 A",Nexus_1000v_B,2,FALSE)</f>
        <v>LOM A</v>
      </c>
    </row>
    <row r="61" spans="1:3" x14ac:dyDescent="0.25">
      <c r="A61" t="s">
        <v>1036</v>
      </c>
      <c r="B61" t="s">
        <v>1028</v>
      </c>
      <c r="C61" t="str">
        <f>VLOOKUP("Cisco Nexus 5548 B",Nexus_1000v_B,2,FALSE)</f>
        <v>LOM B</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topLeftCell="A15" workbookViewId="0">
      <selection activeCell="A26" sqref="A26"/>
    </sheetView>
  </sheetViews>
  <sheetFormatPr defaultRowHeight="15" x14ac:dyDescent="0.25"/>
  <cols>
    <col min="1" max="1" width="44.5703125" style="44" bestFit="1" customWidth="1"/>
    <col min="2" max="2" width="21.5703125" style="44" bestFit="1" customWidth="1"/>
    <col min="3" max="3" width="61.42578125" style="44" bestFit="1" customWidth="1"/>
    <col min="4" max="4" width="28.5703125" style="44" bestFit="1" customWidth="1"/>
    <col min="5" max="16384" width="9.140625" style="44"/>
  </cols>
  <sheetData>
    <row r="1" spans="1:3" ht="20.25" thickBot="1" x14ac:dyDescent="0.35">
      <c r="A1" s="28" t="s">
        <v>159</v>
      </c>
      <c r="B1" s="28" t="s">
        <v>711</v>
      </c>
      <c r="C1" s="28" t="s">
        <v>163</v>
      </c>
    </row>
    <row r="2" spans="1:3" ht="18.75" thickTop="1" thickBot="1" x14ac:dyDescent="0.35">
      <c r="A2" s="29" t="s">
        <v>23</v>
      </c>
      <c r="B2" s="29"/>
      <c r="C2" s="29"/>
    </row>
    <row r="3" spans="1:3" ht="15.75" thickTop="1" x14ac:dyDescent="0.25">
      <c r="A3" s="44" t="s">
        <v>810</v>
      </c>
      <c r="B3" s="44" t="s">
        <v>808</v>
      </c>
      <c r="C3" s="44" t="s">
        <v>809</v>
      </c>
    </row>
    <row r="4" spans="1:3" x14ac:dyDescent="0.25">
      <c r="A4" s="44" t="s">
        <v>0</v>
      </c>
      <c r="B4" s="44" t="s">
        <v>103</v>
      </c>
      <c r="C4" s="44" t="s">
        <v>1</v>
      </c>
    </row>
    <row r="5" spans="1:3" x14ac:dyDescent="0.25">
      <c r="A5" s="44" t="s">
        <v>6</v>
      </c>
      <c r="B5" s="44" t="s">
        <v>81</v>
      </c>
      <c r="C5" s="44" t="s">
        <v>7</v>
      </c>
    </row>
    <row r="6" spans="1:3" x14ac:dyDescent="0.25">
      <c r="A6" s="44" t="s">
        <v>8</v>
      </c>
      <c r="B6" s="44" t="s">
        <v>84</v>
      </c>
      <c r="C6" s="44" t="s">
        <v>9</v>
      </c>
    </row>
    <row r="7" spans="1:3" x14ac:dyDescent="0.25">
      <c r="A7" s="44" t="s">
        <v>18</v>
      </c>
      <c r="B7" s="44" t="s">
        <v>85</v>
      </c>
      <c r="C7" s="44" t="s">
        <v>19</v>
      </c>
    </row>
    <row r="8" spans="1:3" x14ac:dyDescent="0.25">
      <c r="A8" s="44" t="s">
        <v>20</v>
      </c>
      <c r="C8" s="44" t="s">
        <v>21</v>
      </c>
    </row>
    <row r="9" spans="1:3" x14ac:dyDescent="0.25">
      <c r="A9" s="44" t="s">
        <v>10</v>
      </c>
      <c r="B9" s="44">
        <v>1</v>
      </c>
      <c r="C9" s="44" t="s">
        <v>11</v>
      </c>
    </row>
    <row r="10" spans="1:3" x14ac:dyDescent="0.25">
      <c r="A10" s="44" t="s">
        <v>12</v>
      </c>
      <c r="B10" s="44" t="s">
        <v>80</v>
      </c>
      <c r="C10" s="44" t="s">
        <v>14</v>
      </c>
    </row>
    <row r="11" spans="1:3" x14ac:dyDescent="0.25">
      <c r="A11" s="44" t="s">
        <v>13</v>
      </c>
      <c r="B11" s="44">
        <v>1</v>
      </c>
      <c r="C11" s="44" t="s">
        <v>15</v>
      </c>
    </row>
    <row r="12" spans="1:3" x14ac:dyDescent="0.25">
      <c r="A12" s="44" t="s">
        <v>16</v>
      </c>
      <c r="B12" s="44" t="s">
        <v>86</v>
      </c>
      <c r="C12" s="44" t="s">
        <v>17</v>
      </c>
    </row>
    <row r="13" spans="1:3" x14ac:dyDescent="0.25">
      <c r="A13" s="44" t="s">
        <v>26</v>
      </c>
      <c r="B13" s="44" t="s">
        <v>160</v>
      </c>
      <c r="C13" s="44" t="s">
        <v>26</v>
      </c>
    </row>
    <row r="14" spans="1:3" x14ac:dyDescent="0.25">
      <c r="A14" s="44" t="s">
        <v>24</v>
      </c>
      <c r="B14" s="44">
        <v>101</v>
      </c>
      <c r="C14" s="44" t="s">
        <v>748</v>
      </c>
    </row>
    <row r="15" spans="1:3" x14ac:dyDescent="0.25">
      <c r="A15" s="44" t="s">
        <v>27</v>
      </c>
      <c r="B15" s="44" t="s">
        <v>161</v>
      </c>
      <c r="C15" s="44" t="s">
        <v>27</v>
      </c>
    </row>
    <row r="16" spans="1:3" x14ac:dyDescent="0.25">
      <c r="A16" s="44" t="s">
        <v>25</v>
      </c>
      <c r="B16" s="44">
        <v>102</v>
      </c>
      <c r="C16" s="44" t="s">
        <v>747</v>
      </c>
    </row>
    <row r="17" spans="1:3" x14ac:dyDescent="0.25">
      <c r="A17" s="43" t="s">
        <v>729</v>
      </c>
      <c r="B17" s="44" t="s">
        <v>739</v>
      </c>
    </row>
    <row r="18" spans="1:3" x14ac:dyDescent="0.25">
      <c r="A18" s="44" t="s">
        <v>28</v>
      </c>
      <c r="B18" s="44">
        <v>101</v>
      </c>
      <c r="C18" s="44" t="s">
        <v>745</v>
      </c>
    </row>
    <row r="19" spans="1:3" x14ac:dyDescent="0.25">
      <c r="A19" s="43" t="s">
        <v>728</v>
      </c>
      <c r="B19" s="44" t="s">
        <v>740</v>
      </c>
    </row>
    <row r="20" spans="1:3" x14ac:dyDescent="0.25">
      <c r="A20" s="44" t="s">
        <v>29</v>
      </c>
      <c r="B20" s="44">
        <v>102</v>
      </c>
      <c r="C20" s="44" t="s">
        <v>746</v>
      </c>
    </row>
    <row r="21" spans="1:3" x14ac:dyDescent="0.25">
      <c r="A21" s="44" t="s">
        <v>730</v>
      </c>
      <c r="B21" s="44" t="s">
        <v>743</v>
      </c>
    </row>
    <row r="22" spans="1:3" x14ac:dyDescent="0.25">
      <c r="A22" s="44" t="s">
        <v>731</v>
      </c>
      <c r="B22" s="44">
        <v>101</v>
      </c>
    </row>
    <row r="23" spans="1:3" x14ac:dyDescent="0.25">
      <c r="A23" s="44" t="s">
        <v>732</v>
      </c>
      <c r="B23" s="44" t="s">
        <v>744</v>
      </c>
    </row>
    <row r="24" spans="1:3" x14ac:dyDescent="0.25">
      <c r="A24" s="44" t="s">
        <v>733</v>
      </c>
      <c r="B24" s="44">
        <v>102</v>
      </c>
    </row>
    <row r="25" spans="1:3" ht="18" thickBot="1" x14ac:dyDescent="0.35">
      <c r="A25" s="31" t="s">
        <v>994</v>
      </c>
      <c r="B25" s="31"/>
      <c r="C25" s="31"/>
    </row>
    <row r="26" spans="1:3" ht="15.75" thickTop="1" x14ac:dyDescent="0.25">
      <c r="A26" s="4" t="s">
        <v>997</v>
      </c>
      <c r="B26" s="44" t="s">
        <v>999</v>
      </c>
      <c r="C26" s="4"/>
    </row>
    <row r="27" spans="1:3" x14ac:dyDescent="0.25">
      <c r="A27" s="4" t="s">
        <v>998</v>
      </c>
      <c r="B27" s="44" t="s">
        <v>1000</v>
      </c>
      <c r="C27" s="4"/>
    </row>
    <row r="29" spans="1:3" ht="18" thickBot="1" x14ac:dyDescent="0.35">
      <c r="A29" s="29" t="s">
        <v>30</v>
      </c>
      <c r="B29" s="29"/>
      <c r="C29" s="29"/>
    </row>
    <row r="30" spans="1:3" ht="15.75" thickTop="1" x14ac:dyDescent="0.25">
      <c r="A30" s="44" t="s">
        <v>104</v>
      </c>
      <c r="B30" s="44" t="s">
        <v>105</v>
      </c>
      <c r="C30" s="44" t="s">
        <v>104</v>
      </c>
    </row>
    <row r="31" spans="1:3" x14ac:dyDescent="0.25">
      <c r="A31" s="44" t="s">
        <v>47</v>
      </c>
      <c r="B31" s="43" t="s">
        <v>115</v>
      </c>
      <c r="C31" s="44" t="s">
        <v>54</v>
      </c>
    </row>
    <row r="32" spans="1:3" x14ac:dyDescent="0.25">
      <c r="A32" s="44" t="s">
        <v>109</v>
      </c>
      <c r="B32" s="44" t="s">
        <v>110</v>
      </c>
      <c r="C32" s="44" t="s">
        <v>55</v>
      </c>
    </row>
    <row r="33" spans="1:4" x14ac:dyDescent="0.25">
      <c r="A33" s="44" t="s">
        <v>48</v>
      </c>
      <c r="B33" s="43" t="s">
        <v>112</v>
      </c>
      <c r="C33" s="44" t="s">
        <v>53</v>
      </c>
    </row>
    <row r="34" spans="1:4" x14ac:dyDescent="0.25">
      <c r="A34" s="44" t="s">
        <v>108</v>
      </c>
      <c r="B34" s="44" t="s">
        <v>90</v>
      </c>
      <c r="C34" s="44" t="s">
        <v>49</v>
      </c>
    </row>
    <row r="35" spans="1:4" x14ac:dyDescent="0.25">
      <c r="A35" s="44" t="s">
        <v>50</v>
      </c>
      <c r="B35" s="43" t="s">
        <v>113</v>
      </c>
      <c r="C35" s="44" t="s">
        <v>52</v>
      </c>
    </row>
    <row r="36" spans="1:4" x14ac:dyDescent="0.25">
      <c r="A36" s="44" t="s">
        <v>107</v>
      </c>
      <c r="B36" s="44" t="s">
        <v>91</v>
      </c>
      <c r="C36" s="44" t="s">
        <v>56</v>
      </c>
    </row>
    <row r="37" spans="1:4" x14ac:dyDescent="0.25">
      <c r="A37" s="44" t="s">
        <v>51</v>
      </c>
      <c r="B37" s="43" t="s">
        <v>114</v>
      </c>
      <c r="C37" s="44" t="s">
        <v>57</v>
      </c>
    </row>
    <row r="38" spans="1:4" x14ac:dyDescent="0.25">
      <c r="A38" s="44" t="s">
        <v>106</v>
      </c>
      <c r="B38" s="44" t="s">
        <v>111</v>
      </c>
      <c r="C38" s="44" t="s">
        <v>58</v>
      </c>
    </row>
    <row r="39" spans="1:4" x14ac:dyDescent="0.25">
      <c r="A39" s="44" t="s">
        <v>121</v>
      </c>
      <c r="B39" s="44" t="s">
        <v>119</v>
      </c>
      <c r="C39" s="44" t="s">
        <v>31</v>
      </c>
    </row>
    <row r="40" spans="1:4" x14ac:dyDescent="0.25">
      <c r="A40" s="44" t="s">
        <v>120</v>
      </c>
      <c r="B40" s="44" t="s">
        <v>116</v>
      </c>
      <c r="C40" s="44" t="s">
        <v>32</v>
      </c>
    </row>
    <row r="41" spans="1:4" x14ac:dyDescent="0.25">
      <c r="A41" s="44" t="s">
        <v>2</v>
      </c>
      <c r="B41" s="44" t="s">
        <v>83</v>
      </c>
      <c r="C41" s="44" t="s">
        <v>3</v>
      </c>
    </row>
    <row r="42" spans="1:4" x14ac:dyDescent="0.25">
      <c r="A42" s="44" t="s">
        <v>4</v>
      </c>
      <c r="B42" s="44" t="s">
        <v>82</v>
      </c>
      <c r="C42" s="44" t="s">
        <v>5</v>
      </c>
    </row>
    <row r="43" spans="1:4" x14ac:dyDescent="0.25">
      <c r="A43" s="43" t="s">
        <v>946</v>
      </c>
      <c r="B43" s="44" t="s">
        <v>949</v>
      </c>
    </row>
    <row r="44" spans="1:4" x14ac:dyDescent="0.25">
      <c r="A44" s="43" t="s">
        <v>947</v>
      </c>
      <c r="B44" s="44" t="s">
        <v>950</v>
      </c>
      <c r="D44" s="43"/>
    </row>
    <row r="45" spans="1:4" x14ac:dyDescent="0.25">
      <c r="A45" s="43" t="s">
        <v>948</v>
      </c>
      <c r="B45" s="44" t="s">
        <v>81</v>
      </c>
      <c r="D45" s="43"/>
    </row>
    <row r="46" spans="1:4" x14ac:dyDescent="0.25">
      <c r="A46" s="43" t="s">
        <v>951</v>
      </c>
      <c r="B46" s="44" t="s">
        <v>954</v>
      </c>
      <c r="D46" s="43"/>
    </row>
    <row r="47" spans="1:4" x14ac:dyDescent="0.25">
      <c r="A47" s="43" t="s">
        <v>952</v>
      </c>
      <c r="B47" s="44" t="s">
        <v>955</v>
      </c>
      <c r="D47" s="43"/>
    </row>
    <row r="48" spans="1:4" x14ac:dyDescent="0.25">
      <c r="A48" s="43" t="s">
        <v>953</v>
      </c>
      <c r="B48" s="44" t="s">
        <v>81</v>
      </c>
      <c r="D48" s="43"/>
    </row>
    <row r="49" spans="1:4" ht="18" thickBot="1" x14ac:dyDescent="0.35">
      <c r="A49" s="29" t="s">
        <v>33</v>
      </c>
      <c r="B49" s="29"/>
      <c r="C49" s="29"/>
      <c r="D49" s="43"/>
    </row>
    <row r="50" spans="1:4" ht="15.75" thickTop="1" x14ac:dyDescent="0.25">
      <c r="A50" s="44" t="s">
        <v>34</v>
      </c>
      <c r="B50" s="44" t="s">
        <v>89</v>
      </c>
      <c r="C50" s="44" t="s">
        <v>34</v>
      </c>
    </row>
    <row r="51" spans="1:4" x14ac:dyDescent="0.25">
      <c r="A51" s="44" t="s">
        <v>35</v>
      </c>
      <c r="B51" s="44">
        <v>3175</v>
      </c>
      <c r="C51" s="44" t="s">
        <v>35</v>
      </c>
    </row>
    <row r="52" spans="1:4" x14ac:dyDescent="0.25">
      <c r="A52" s="44" t="s">
        <v>37</v>
      </c>
      <c r="B52" s="44" t="s">
        <v>90</v>
      </c>
      <c r="C52" s="44" t="s">
        <v>37</v>
      </c>
    </row>
    <row r="53" spans="1:4" x14ac:dyDescent="0.25">
      <c r="A53" s="44" t="s">
        <v>36</v>
      </c>
      <c r="B53" s="44">
        <v>3173</v>
      </c>
      <c r="C53" s="44" t="s">
        <v>36</v>
      </c>
    </row>
    <row r="54" spans="1:4" x14ac:dyDescent="0.25">
      <c r="A54" s="44" t="s">
        <v>38</v>
      </c>
      <c r="B54" s="44" t="s">
        <v>91</v>
      </c>
      <c r="C54" s="44" t="s">
        <v>39</v>
      </c>
    </row>
    <row r="55" spans="1:4" x14ac:dyDescent="0.25">
      <c r="A55" s="44" t="s">
        <v>40</v>
      </c>
      <c r="B55" s="44">
        <v>3170</v>
      </c>
      <c r="C55" s="44" t="s">
        <v>41</v>
      </c>
    </row>
    <row r="56" spans="1:4" x14ac:dyDescent="0.25">
      <c r="A56" s="44" t="s">
        <v>42</v>
      </c>
      <c r="B56" s="44" t="s">
        <v>92</v>
      </c>
      <c r="C56" s="44" t="s">
        <v>43</v>
      </c>
    </row>
    <row r="57" spans="1:4" x14ac:dyDescent="0.25">
      <c r="A57" s="44" t="s">
        <v>44</v>
      </c>
      <c r="B57" s="44">
        <v>3174</v>
      </c>
      <c r="C57" s="44" t="s">
        <v>45</v>
      </c>
    </row>
    <row r="58" spans="1:4" ht="18" thickBot="1" x14ac:dyDescent="0.35">
      <c r="A58" s="29" t="s">
        <v>46</v>
      </c>
      <c r="B58" s="29"/>
      <c r="C58" s="29"/>
    </row>
    <row r="59" spans="1:4" ht="15.75" thickTop="1" x14ac:dyDescent="0.25">
      <c r="A59" s="44" t="s">
        <v>60</v>
      </c>
      <c r="B59" s="44" t="s">
        <v>93</v>
      </c>
      <c r="C59" s="44" t="s">
        <v>59</v>
      </c>
    </row>
    <row r="60" spans="1:4" x14ac:dyDescent="0.25">
      <c r="A60" s="44" t="s">
        <v>61</v>
      </c>
      <c r="B60" s="44" t="s">
        <v>94</v>
      </c>
      <c r="C60" s="44" t="s">
        <v>62</v>
      </c>
    </row>
    <row r="61" spans="1:4" x14ac:dyDescent="0.25">
      <c r="A61" s="44" t="s">
        <v>63</v>
      </c>
      <c r="B61" s="44" t="s">
        <v>95</v>
      </c>
      <c r="C61" s="44" t="s">
        <v>64</v>
      </c>
    </row>
    <row r="62" spans="1:4" x14ac:dyDescent="0.25">
      <c r="A62" s="44" t="s">
        <v>65</v>
      </c>
      <c r="B62" s="44" t="s">
        <v>96</v>
      </c>
      <c r="C62" s="44" t="s">
        <v>66</v>
      </c>
    </row>
    <row r="63" spans="1:4" x14ac:dyDescent="0.25">
      <c r="A63" s="44" t="s">
        <v>67</v>
      </c>
      <c r="B63" s="44" t="s">
        <v>97</v>
      </c>
      <c r="C63" s="44" t="s">
        <v>71</v>
      </c>
    </row>
    <row r="64" spans="1:4" x14ac:dyDescent="0.25">
      <c r="A64" s="44" t="s">
        <v>68</v>
      </c>
      <c r="B64" s="44" t="s">
        <v>98</v>
      </c>
      <c r="C64" s="44" t="s">
        <v>72</v>
      </c>
    </row>
    <row r="65" spans="1:3" x14ac:dyDescent="0.25">
      <c r="A65" s="44" t="s">
        <v>69</v>
      </c>
      <c r="B65" s="44" t="s">
        <v>99</v>
      </c>
      <c r="C65" s="44" t="s">
        <v>73</v>
      </c>
    </row>
    <row r="66" spans="1:3" x14ac:dyDescent="0.25">
      <c r="A66" s="44" t="s">
        <v>70</v>
      </c>
      <c r="B66" s="44" t="s">
        <v>100</v>
      </c>
      <c r="C66" s="44" t="s">
        <v>74</v>
      </c>
    </row>
    <row r="67" spans="1:3" x14ac:dyDescent="0.25">
      <c r="A67" s="44" t="s">
        <v>75</v>
      </c>
      <c r="B67" s="44" t="s">
        <v>117</v>
      </c>
      <c r="C67" s="44" t="s">
        <v>75</v>
      </c>
    </row>
    <row r="68" spans="1:3" x14ac:dyDescent="0.25">
      <c r="A68" s="44" t="s">
        <v>76</v>
      </c>
      <c r="B68" s="44" t="s">
        <v>118</v>
      </c>
      <c r="C68" s="44" t="s">
        <v>76</v>
      </c>
    </row>
    <row r="69" spans="1:3" x14ac:dyDescent="0.25">
      <c r="A69" s="44" t="s">
        <v>77</v>
      </c>
      <c r="B69" s="44" t="s">
        <v>102</v>
      </c>
      <c r="C69" s="44" t="s">
        <v>77</v>
      </c>
    </row>
    <row r="70" spans="1:3" x14ac:dyDescent="0.25">
      <c r="A70" s="44" t="s">
        <v>78</v>
      </c>
      <c r="B70" s="44" t="s">
        <v>101</v>
      </c>
      <c r="C70" s="44" t="s">
        <v>79</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7"/>
  <sheetViews>
    <sheetView topLeftCell="A39" workbookViewId="0">
      <selection activeCell="A30" sqref="A30:A35"/>
    </sheetView>
  </sheetViews>
  <sheetFormatPr defaultRowHeight="15" x14ac:dyDescent="0.25"/>
  <cols>
    <col min="1" max="1" width="41.85546875" bestFit="1" customWidth="1"/>
    <col min="2" max="2" width="38" bestFit="1" customWidth="1"/>
    <col min="3" max="3" width="21.5703125" customWidth="1"/>
  </cols>
  <sheetData>
    <row r="1" spans="1:4" ht="20.25" thickBot="1" x14ac:dyDescent="0.35">
      <c r="A1" s="52" t="s">
        <v>159</v>
      </c>
      <c r="B1" s="53" t="s">
        <v>711</v>
      </c>
      <c r="C1" s="54" t="s">
        <v>163</v>
      </c>
    </row>
    <row r="2" spans="1:4" ht="18.75" thickTop="1" thickBot="1" x14ac:dyDescent="0.35">
      <c r="A2" s="38" t="s">
        <v>858</v>
      </c>
      <c r="B2" s="39"/>
      <c r="C2" s="40"/>
    </row>
    <row r="3" spans="1:4" ht="15.75" thickTop="1" x14ac:dyDescent="0.25">
      <c r="A3" t="s">
        <v>867</v>
      </c>
      <c r="B3" t="s">
        <v>895</v>
      </c>
      <c r="D3" s="4"/>
    </row>
    <row r="4" spans="1:4" x14ac:dyDescent="0.25">
      <c r="A4" t="s">
        <v>868</v>
      </c>
      <c r="B4" s="51" t="s">
        <v>896</v>
      </c>
      <c r="D4" s="4"/>
    </row>
    <row r="5" spans="1:4" x14ac:dyDescent="0.25">
      <c r="A5" t="s">
        <v>869</v>
      </c>
      <c r="B5">
        <v>16</v>
      </c>
      <c r="D5" s="4"/>
    </row>
    <row r="6" spans="1:4" x14ac:dyDescent="0.25">
      <c r="A6" t="s">
        <v>870</v>
      </c>
      <c r="B6" t="s">
        <v>700</v>
      </c>
      <c r="D6" s="4"/>
    </row>
    <row r="7" spans="1:4" x14ac:dyDescent="0.25">
      <c r="A7" t="s">
        <v>871</v>
      </c>
      <c r="B7" t="s">
        <v>882</v>
      </c>
      <c r="D7" s="4"/>
    </row>
    <row r="8" spans="1:4" x14ac:dyDescent="0.25">
      <c r="A8" t="s">
        <v>872</v>
      </c>
      <c r="B8" t="s">
        <v>897</v>
      </c>
      <c r="D8" s="4"/>
    </row>
    <row r="9" spans="1:4" x14ac:dyDescent="0.25">
      <c r="A9" t="s">
        <v>879</v>
      </c>
      <c r="B9" t="s">
        <v>883</v>
      </c>
      <c r="D9" s="4"/>
    </row>
    <row r="10" spans="1:4" x14ac:dyDescent="0.25">
      <c r="A10" t="s">
        <v>873</v>
      </c>
      <c r="B10" t="s">
        <v>805</v>
      </c>
      <c r="D10" s="4"/>
    </row>
    <row r="11" spans="1:4" x14ac:dyDescent="0.25">
      <c r="A11" t="s">
        <v>874</v>
      </c>
      <c r="B11" t="s">
        <v>81</v>
      </c>
      <c r="D11" s="4"/>
    </row>
    <row r="12" spans="1:4" x14ac:dyDescent="0.25">
      <c r="A12" t="s">
        <v>875</v>
      </c>
      <c r="B12" t="s">
        <v>800</v>
      </c>
      <c r="D12" s="4"/>
    </row>
    <row r="13" spans="1:4" x14ac:dyDescent="0.25">
      <c r="A13" t="s">
        <v>880</v>
      </c>
      <c r="B13">
        <v>16</v>
      </c>
      <c r="D13" s="4"/>
    </row>
    <row r="14" spans="1:4" x14ac:dyDescent="0.25">
      <c r="A14" t="s">
        <v>881</v>
      </c>
      <c r="B14">
        <v>14</v>
      </c>
      <c r="D14" s="4"/>
    </row>
    <row r="15" spans="1:4" x14ac:dyDescent="0.25">
      <c r="A15" t="s">
        <v>884</v>
      </c>
      <c r="B15" t="s">
        <v>888</v>
      </c>
      <c r="D15" s="4"/>
    </row>
    <row r="16" spans="1:4" x14ac:dyDescent="0.25">
      <c r="A16" t="s">
        <v>885</v>
      </c>
      <c r="B16" s="51" t="s">
        <v>889</v>
      </c>
      <c r="D16" s="4"/>
    </row>
    <row r="17" spans="1:4" x14ac:dyDescent="0.25">
      <c r="A17" t="s">
        <v>886</v>
      </c>
      <c r="B17" t="s">
        <v>894</v>
      </c>
      <c r="D17" s="4"/>
    </row>
    <row r="18" spans="1:4" x14ac:dyDescent="0.25">
      <c r="A18" t="s">
        <v>729</v>
      </c>
      <c r="B18" t="str">
        <f>VLOOKUP("FCoE A VLAN Name",'UCS Info'!A7:C131,2,FALSE)</f>
        <v>FCoE-A</v>
      </c>
      <c r="D18" s="4"/>
    </row>
    <row r="19" spans="1:4" x14ac:dyDescent="0.25">
      <c r="A19" s="59" t="s">
        <v>28</v>
      </c>
      <c r="B19" s="60">
        <f>VLOOKUP("VSAN A ID",'UCS Info'!A7:C133,2,FALSE)</f>
        <v>101</v>
      </c>
      <c r="C19" s="61"/>
      <c r="D19" s="4"/>
    </row>
    <row r="20" spans="1:4" x14ac:dyDescent="0.25">
      <c r="A20" s="62" t="s">
        <v>728</v>
      </c>
      <c r="B20" s="63" t="str">
        <f>VLOOKUP("FCoE B VLAN Name",'UCS Info'!A5:C127,2,FALSE)</f>
        <v>FCoE-B</v>
      </c>
      <c r="C20" s="63"/>
      <c r="D20" s="4"/>
    </row>
    <row r="21" spans="1:4" x14ac:dyDescent="0.25">
      <c r="A21" s="59" t="s">
        <v>29</v>
      </c>
      <c r="B21" s="64">
        <f>VLOOKUP("FCoE VLAN B ID",'UCS Info'!A5:C127,2,FALSE)</f>
        <v>102</v>
      </c>
      <c r="C21" s="63"/>
      <c r="D21" s="4"/>
    </row>
    <row r="22" spans="1:4" x14ac:dyDescent="0.25">
      <c r="A22" s="65" t="s">
        <v>730</v>
      </c>
      <c r="B22" s="63" t="str">
        <f>VLOOKUP("iSCSI A VLAN Name",'UCS Info'!A7:C127,2,FALSE)</f>
        <v>iSCSI-A</v>
      </c>
      <c r="C22" s="63"/>
      <c r="D22" s="4"/>
    </row>
    <row r="23" spans="1:4" x14ac:dyDescent="0.25">
      <c r="A23" s="65" t="s">
        <v>731</v>
      </c>
      <c r="B23" s="64">
        <f>VLOOKUP("iSCSI A VLAN ID",'UCS Info'!A7:C127,2,FALSE)</f>
        <v>101</v>
      </c>
      <c r="C23" s="63"/>
      <c r="D23" s="4"/>
    </row>
    <row r="24" spans="1:4" x14ac:dyDescent="0.25">
      <c r="A24" s="65" t="s">
        <v>732</v>
      </c>
      <c r="B24" s="63" t="str">
        <f>VLOOKUP("iSCSI B VLAN Name",'UCS Info'!A5:C123,2,FALSE)</f>
        <v>iSCSI-B</v>
      </c>
      <c r="C24" s="63"/>
      <c r="D24" s="4"/>
    </row>
    <row r="25" spans="1:4" x14ac:dyDescent="0.25">
      <c r="A25" s="65" t="s">
        <v>733</v>
      </c>
      <c r="B25" s="64">
        <f>VLOOKUP("iSCSI B VLAN ID",'UCS Info'!A5:C123,2,FALSE)</f>
        <v>102</v>
      </c>
      <c r="C25" s="63"/>
      <c r="D25" s="4"/>
    </row>
    <row r="26" spans="1:4" x14ac:dyDescent="0.25">
      <c r="A26" s="63" t="s">
        <v>722</v>
      </c>
      <c r="B26" s="64" t="str">
        <f>VLOOKUP("ESXi Storage VLAN Name",'UCS Info'!A24:C150,2,FALSE)</f>
        <v>NFS</v>
      </c>
      <c r="C26" s="63"/>
      <c r="D26" s="4"/>
    </row>
    <row r="27" spans="1:4" x14ac:dyDescent="0.25">
      <c r="A27" s="65" t="s">
        <v>209</v>
      </c>
      <c r="B27" s="64">
        <f>VLOOKUP("ESXi Storage VLAN ID",'UCS Info'!A24:C150,2,FALSE)</f>
        <v>3170</v>
      </c>
      <c r="C27" s="63"/>
      <c r="D27" s="4"/>
    </row>
    <row r="28" spans="1:4" x14ac:dyDescent="0.25">
      <c r="A28" s="65"/>
      <c r="B28" s="66"/>
      <c r="C28" s="63"/>
      <c r="D28" s="4"/>
    </row>
    <row r="29" spans="1:4" ht="18" thickBot="1" x14ac:dyDescent="0.35">
      <c r="A29" s="31" t="s">
        <v>982</v>
      </c>
      <c r="B29" s="31"/>
      <c r="C29" s="31"/>
      <c r="D29" s="4"/>
    </row>
    <row r="30" spans="1:4" ht="15.75" thickTop="1" x14ac:dyDescent="0.25">
      <c r="A30" t="s">
        <v>983</v>
      </c>
      <c r="B30" t="s">
        <v>890</v>
      </c>
      <c r="D30" s="4"/>
    </row>
    <row r="31" spans="1:4" x14ac:dyDescent="0.25">
      <c r="A31" t="s">
        <v>887</v>
      </c>
      <c r="B31" t="s">
        <v>891</v>
      </c>
      <c r="D31" s="4"/>
    </row>
    <row r="32" spans="1:4" x14ac:dyDescent="0.25">
      <c r="A32" s="4" t="s">
        <v>984</v>
      </c>
      <c r="B32" t="s">
        <v>883</v>
      </c>
      <c r="D32" s="4"/>
    </row>
    <row r="33" spans="1:4" x14ac:dyDescent="0.25">
      <c r="A33" s="4" t="s">
        <v>985</v>
      </c>
      <c r="B33" t="s">
        <v>876</v>
      </c>
      <c r="D33" s="4"/>
    </row>
    <row r="34" spans="1:4" x14ac:dyDescent="0.25">
      <c r="A34" s="4" t="s">
        <v>986</v>
      </c>
      <c r="B34" t="s">
        <v>81</v>
      </c>
      <c r="D34" s="4"/>
    </row>
    <row r="35" spans="1:4" x14ac:dyDescent="0.25">
      <c r="A35" t="s">
        <v>987</v>
      </c>
      <c r="B35" t="s">
        <v>800</v>
      </c>
      <c r="D35" s="4"/>
    </row>
    <row r="36" spans="1:4" x14ac:dyDescent="0.25">
      <c r="D36" s="4"/>
    </row>
    <row r="37" spans="1:4" ht="18" thickBot="1" x14ac:dyDescent="0.35">
      <c r="A37" s="29" t="s">
        <v>899</v>
      </c>
      <c r="B37" s="29"/>
      <c r="C37" s="29"/>
    </row>
    <row r="38" spans="1:4" ht="15.75" thickTop="1" x14ac:dyDescent="0.25">
      <c r="A38" t="s">
        <v>898</v>
      </c>
      <c r="B38" t="s">
        <v>934</v>
      </c>
      <c r="D38" s="4"/>
    </row>
    <row r="39" spans="1:4" x14ac:dyDescent="0.25">
      <c r="A39" t="s">
        <v>901</v>
      </c>
      <c r="B39" t="s">
        <v>806</v>
      </c>
      <c r="D39" s="4"/>
    </row>
    <row r="40" spans="1:4" x14ac:dyDescent="0.25">
      <c r="A40" t="s">
        <v>902</v>
      </c>
      <c r="B40" t="s">
        <v>81</v>
      </c>
      <c r="D40" s="4"/>
    </row>
    <row r="41" spans="1:4" x14ac:dyDescent="0.25">
      <c r="A41" t="s">
        <v>903</v>
      </c>
      <c r="B41" t="s">
        <v>800</v>
      </c>
      <c r="D41" s="4"/>
    </row>
    <row r="42" spans="1:4" x14ac:dyDescent="0.25">
      <c r="A42" t="s">
        <v>973</v>
      </c>
      <c r="B42" t="s">
        <v>892</v>
      </c>
      <c r="D42" s="4"/>
    </row>
    <row r="43" spans="1:4" x14ac:dyDescent="0.25">
      <c r="A43" t="s">
        <v>904</v>
      </c>
      <c r="B43" t="s">
        <v>927</v>
      </c>
      <c r="D43" s="4"/>
    </row>
    <row r="44" spans="1:4" x14ac:dyDescent="0.25">
      <c r="A44" t="s">
        <v>905</v>
      </c>
      <c r="B44" t="s">
        <v>926</v>
      </c>
      <c r="D44" s="4"/>
    </row>
    <row r="45" spans="1:4" x14ac:dyDescent="0.25">
      <c r="A45" t="s">
        <v>906</v>
      </c>
      <c r="B45" t="s">
        <v>928</v>
      </c>
      <c r="D45" s="4"/>
    </row>
    <row r="46" spans="1:4" x14ac:dyDescent="0.25">
      <c r="A46" t="s">
        <v>907</v>
      </c>
      <c r="B46" t="s">
        <v>933</v>
      </c>
      <c r="D46" s="4"/>
    </row>
    <row r="47" spans="1:4" x14ac:dyDescent="0.25">
      <c r="A47" t="s">
        <v>908</v>
      </c>
      <c r="B47" t="s">
        <v>929</v>
      </c>
      <c r="D47" s="4"/>
    </row>
    <row r="48" spans="1:4" x14ac:dyDescent="0.25">
      <c r="A48" t="s">
        <v>909</v>
      </c>
      <c r="B48" t="s">
        <v>912</v>
      </c>
      <c r="D48" s="4"/>
    </row>
    <row r="49" spans="1:4" x14ac:dyDescent="0.25">
      <c r="A49" t="s">
        <v>910</v>
      </c>
      <c r="B49" t="s">
        <v>81</v>
      </c>
      <c r="D49" s="4"/>
    </row>
    <row r="50" spans="1:4" x14ac:dyDescent="0.25">
      <c r="A50" t="s">
        <v>911</v>
      </c>
      <c r="B50" t="s">
        <v>799</v>
      </c>
      <c r="D50" s="4"/>
    </row>
    <row r="51" spans="1:4" x14ac:dyDescent="0.25">
      <c r="A51" t="s">
        <v>956</v>
      </c>
      <c r="B51" t="s">
        <v>937</v>
      </c>
      <c r="D51" s="4"/>
    </row>
    <row r="52" spans="1:4" x14ac:dyDescent="0.25">
      <c r="A52" t="s">
        <v>957</v>
      </c>
      <c r="B52" t="s">
        <v>81</v>
      </c>
      <c r="D52" s="4"/>
    </row>
    <row r="53" spans="1:4" x14ac:dyDescent="0.25">
      <c r="A53" t="s">
        <v>958</v>
      </c>
      <c r="B53" t="s">
        <v>962</v>
      </c>
      <c r="D53" s="4"/>
    </row>
    <row r="54" spans="1:4" x14ac:dyDescent="0.25">
      <c r="A54" t="s">
        <v>959</v>
      </c>
      <c r="B54" t="s">
        <v>81</v>
      </c>
      <c r="D54" s="4"/>
    </row>
    <row r="55" spans="1:4" x14ac:dyDescent="0.25">
      <c r="A55" t="s">
        <v>960</v>
      </c>
      <c r="B55" t="s">
        <v>963</v>
      </c>
      <c r="D55" s="4"/>
    </row>
    <row r="56" spans="1:4" x14ac:dyDescent="0.25">
      <c r="A56" t="s">
        <v>961</v>
      </c>
      <c r="B56" t="s">
        <v>81</v>
      </c>
      <c r="D56" s="4"/>
    </row>
    <row r="57" spans="1:4" x14ac:dyDescent="0.25">
      <c r="D57" s="4"/>
    </row>
    <row r="58" spans="1:4" ht="18" thickBot="1" x14ac:dyDescent="0.35">
      <c r="A58" s="29" t="s">
        <v>900</v>
      </c>
      <c r="B58" s="29"/>
      <c r="C58" s="29"/>
    </row>
    <row r="59" spans="1:4" ht="15.75" thickTop="1" x14ac:dyDescent="0.25">
      <c r="A59" t="s">
        <v>913</v>
      </c>
      <c r="B59" t="s">
        <v>935</v>
      </c>
      <c r="D59" s="4"/>
    </row>
    <row r="60" spans="1:4" x14ac:dyDescent="0.25">
      <c r="A60" t="s">
        <v>914</v>
      </c>
      <c r="B60" t="s">
        <v>936</v>
      </c>
      <c r="D60" s="4"/>
    </row>
    <row r="61" spans="1:4" x14ac:dyDescent="0.25">
      <c r="A61" t="s">
        <v>915</v>
      </c>
      <c r="B61" t="s">
        <v>81</v>
      </c>
      <c r="D61" s="4"/>
    </row>
    <row r="62" spans="1:4" x14ac:dyDescent="0.25">
      <c r="A62" t="s">
        <v>916</v>
      </c>
      <c r="B62" t="s">
        <v>800</v>
      </c>
      <c r="D62" s="4"/>
    </row>
    <row r="63" spans="1:4" x14ac:dyDescent="0.25">
      <c r="A63" t="s">
        <v>972</v>
      </c>
      <c r="B63" t="s">
        <v>893</v>
      </c>
      <c r="D63" s="4"/>
    </row>
    <row r="64" spans="1:4" x14ac:dyDescent="0.25">
      <c r="A64" t="s">
        <v>917</v>
      </c>
      <c r="B64" t="s">
        <v>931</v>
      </c>
      <c r="D64" s="4"/>
    </row>
    <row r="65" spans="1:4" x14ac:dyDescent="0.25">
      <c r="A65" t="s">
        <v>918</v>
      </c>
      <c r="B65" t="s">
        <v>930</v>
      </c>
      <c r="D65" s="4"/>
    </row>
    <row r="66" spans="1:4" x14ac:dyDescent="0.25">
      <c r="A66" t="s">
        <v>919</v>
      </c>
      <c r="B66" t="s">
        <v>933</v>
      </c>
      <c r="D66" s="4"/>
    </row>
    <row r="67" spans="1:4" x14ac:dyDescent="0.25">
      <c r="A67" t="s">
        <v>920</v>
      </c>
      <c r="B67" t="s">
        <v>933</v>
      </c>
      <c r="D67" s="4"/>
    </row>
    <row r="68" spans="1:4" x14ac:dyDescent="0.25">
      <c r="A68" t="s">
        <v>921</v>
      </c>
      <c r="B68" t="s">
        <v>932</v>
      </c>
      <c r="D68" s="4"/>
    </row>
    <row r="69" spans="1:4" x14ac:dyDescent="0.25">
      <c r="A69" t="s">
        <v>922</v>
      </c>
      <c r="B69" t="s">
        <v>925</v>
      </c>
      <c r="D69" s="4"/>
    </row>
    <row r="70" spans="1:4" x14ac:dyDescent="0.25">
      <c r="A70" t="s">
        <v>923</v>
      </c>
      <c r="B70" t="s">
        <v>81</v>
      </c>
      <c r="D70" s="4"/>
    </row>
    <row r="71" spans="1:4" x14ac:dyDescent="0.25">
      <c r="A71" t="s">
        <v>924</v>
      </c>
      <c r="B71" t="s">
        <v>799</v>
      </c>
      <c r="D71" s="4"/>
    </row>
    <row r="72" spans="1:4" x14ac:dyDescent="0.25">
      <c r="A72" t="s">
        <v>966</v>
      </c>
      <c r="B72" t="s">
        <v>938</v>
      </c>
      <c r="D72" s="4"/>
    </row>
    <row r="73" spans="1:4" x14ac:dyDescent="0.25">
      <c r="A73" t="s">
        <v>967</v>
      </c>
      <c r="B73" t="s">
        <v>81</v>
      </c>
      <c r="D73" s="4"/>
    </row>
    <row r="74" spans="1:4" x14ac:dyDescent="0.25">
      <c r="A74" t="s">
        <v>968</v>
      </c>
      <c r="B74" t="s">
        <v>964</v>
      </c>
    </row>
    <row r="75" spans="1:4" x14ac:dyDescent="0.25">
      <c r="A75" t="s">
        <v>969</v>
      </c>
      <c r="B75" t="s">
        <v>81</v>
      </c>
    </row>
    <row r="76" spans="1:4" x14ac:dyDescent="0.25">
      <c r="A76" t="s">
        <v>970</v>
      </c>
      <c r="B76" t="s">
        <v>965</v>
      </c>
    </row>
    <row r="77" spans="1:4" x14ac:dyDescent="0.25">
      <c r="A77" t="s">
        <v>971</v>
      </c>
      <c r="B77" t="s">
        <v>81</v>
      </c>
    </row>
  </sheetData>
  <hyperlinks>
    <hyperlink ref="B16" r:id="rId1"/>
    <hyperlink ref="B4" r:id="rId2"/>
  </hyperlinks>
  <pageMargins left="0.7" right="0.7" top="0.75" bottom="0.75" header="0.3" footer="0.3"/>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topLeftCell="A19" workbookViewId="0">
      <selection sqref="A1:C2"/>
    </sheetView>
  </sheetViews>
  <sheetFormatPr defaultRowHeight="15" x14ac:dyDescent="0.25"/>
  <cols>
    <col min="1" max="1" width="33.28515625" bestFit="1" customWidth="1"/>
    <col min="2" max="2" width="22" customWidth="1"/>
    <col min="3" max="3" width="46.140625" customWidth="1"/>
  </cols>
  <sheetData>
    <row r="1" spans="1:3" ht="20.25" thickBot="1" x14ac:dyDescent="0.35">
      <c r="A1" s="28" t="s">
        <v>159</v>
      </c>
      <c r="B1" s="28" t="s">
        <v>711</v>
      </c>
      <c r="C1" s="28" t="s">
        <v>163</v>
      </c>
    </row>
    <row r="2" spans="1:3" ht="18.75" thickTop="1" thickBot="1" x14ac:dyDescent="0.35">
      <c r="A2" s="29" t="s">
        <v>712</v>
      </c>
      <c r="B2" s="29"/>
      <c r="C2" s="29"/>
    </row>
    <row r="3" spans="1:3" ht="18" thickTop="1" x14ac:dyDescent="0.3">
      <c r="A3" t="s">
        <v>719</v>
      </c>
      <c r="B3" t="str">
        <f>'UCS Info'!B50</f>
        <v>Mgmt</v>
      </c>
      <c r="C3" s="45"/>
    </row>
    <row r="4" spans="1:3" s="44" customFormat="1" x14ac:dyDescent="0.25">
      <c r="A4" s="43" t="s">
        <v>721</v>
      </c>
      <c r="B4" s="42">
        <f>'UCS Info'!B51</f>
        <v>3175</v>
      </c>
      <c r="C4" s="42"/>
    </row>
    <row r="5" spans="1:3" x14ac:dyDescent="0.25">
      <c r="A5" s="4" t="s">
        <v>720</v>
      </c>
      <c r="B5" s="42" t="s">
        <v>741</v>
      </c>
      <c r="C5" s="42"/>
    </row>
    <row r="6" spans="1:3" x14ac:dyDescent="0.25">
      <c r="A6" s="4" t="s">
        <v>208</v>
      </c>
      <c r="B6" s="42">
        <v>99</v>
      </c>
      <c r="C6" s="42"/>
    </row>
    <row r="7" spans="1:3" x14ac:dyDescent="0.25">
      <c r="A7" s="4" t="s">
        <v>722</v>
      </c>
      <c r="B7" s="42" t="str">
        <f>VLOOKUP("ESXi Storage VLAN Name",'UCS Info'!A4:C128,2,FALSE)</f>
        <v>NFS</v>
      </c>
      <c r="C7" s="42"/>
    </row>
    <row r="8" spans="1:3" x14ac:dyDescent="0.25">
      <c r="A8" s="4" t="s">
        <v>209</v>
      </c>
      <c r="B8" s="42">
        <f>VLOOKUP("ESXi Storage VLAN ID",'UCS Info'!A4:C128,2,FALSE)</f>
        <v>3170</v>
      </c>
      <c r="C8" s="42"/>
    </row>
    <row r="9" spans="1:3" x14ac:dyDescent="0.25">
      <c r="A9" s="4" t="s">
        <v>723</v>
      </c>
      <c r="B9" s="42" t="s">
        <v>742</v>
      </c>
      <c r="C9" s="42"/>
    </row>
    <row r="10" spans="1:3" x14ac:dyDescent="0.25">
      <c r="A10" s="4" t="s">
        <v>724</v>
      </c>
      <c r="B10" s="42">
        <v>3176</v>
      </c>
      <c r="C10" s="42"/>
    </row>
    <row r="11" spans="1:3" x14ac:dyDescent="0.25">
      <c r="A11" s="4" t="s">
        <v>725</v>
      </c>
      <c r="B11" s="42" t="str">
        <f>VLOOKUP("ESXi vMotion VLAN Name",'UCS Info'!A4:C128,2,FALSE)</f>
        <v>vMotion</v>
      </c>
      <c r="C11" s="42"/>
    </row>
    <row r="12" spans="1:3" x14ac:dyDescent="0.25">
      <c r="A12" s="4" t="s">
        <v>726</v>
      </c>
      <c r="B12" s="42">
        <f>VLOOKUP("ESXi vMotion VLAN ID",'UCS Info'!A4:C128,2,FALSE)</f>
        <v>3173</v>
      </c>
      <c r="C12" s="42"/>
    </row>
    <row r="13" spans="1:3" x14ac:dyDescent="0.25">
      <c r="A13" s="4" t="s">
        <v>727</v>
      </c>
      <c r="B13" s="42" t="str">
        <f>VLOOKUP("ESXi VM VLAN #1 Name",'UCS Info'!A4:C128,2,FALSE)</f>
        <v>Server</v>
      </c>
      <c r="C13" s="42"/>
    </row>
    <row r="14" spans="1:3" x14ac:dyDescent="0.25">
      <c r="A14" s="4" t="s">
        <v>715</v>
      </c>
      <c r="B14" s="42">
        <f>VLOOKUP("ESXi VM VLAN #1 ID",'UCS Info'!A4:C128,2,FALSE)</f>
        <v>3174</v>
      </c>
      <c r="C14" s="42"/>
    </row>
    <row r="15" spans="1:3" x14ac:dyDescent="0.25">
      <c r="A15" s="4" t="s">
        <v>716</v>
      </c>
      <c r="B15" s="42">
        <v>10</v>
      </c>
      <c r="C15" s="42"/>
    </row>
    <row r="16" spans="1:3" x14ac:dyDescent="0.25">
      <c r="A16" s="4" t="s">
        <v>729</v>
      </c>
      <c r="B16" s="42" t="str">
        <f>VLOOKUP("FCoE A VLAN Name",'UCS Info'!A4:C126,2,FALSE)</f>
        <v>FCoE-A</v>
      </c>
      <c r="C16" s="42"/>
    </row>
    <row r="17" spans="1:3" x14ac:dyDescent="0.25">
      <c r="A17" s="4" t="s">
        <v>717</v>
      </c>
      <c r="B17" s="42">
        <f>VLOOKUP("VSAN A ID",'UCS Info'!A4:C128,2,FALSE)</f>
        <v>101</v>
      </c>
      <c r="C17" s="42"/>
    </row>
    <row r="18" spans="1:3" x14ac:dyDescent="0.25">
      <c r="A18" s="4" t="s">
        <v>26</v>
      </c>
      <c r="B18" s="42" t="str">
        <f>VLOOKUP("VSAN A Name",'UCS Info'!A4:C128,2,FALSE)</f>
        <v>VSAN-A</v>
      </c>
      <c r="C18" s="42"/>
    </row>
    <row r="19" spans="1:3" x14ac:dyDescent="0.25">
      <c r="A19" s="4" t="s">
        <v>24</v>
      </c>
      <c r="B19" s="42">
        <f>VLOOKUP("VSAN A ID",'UCS Info'!A4:C128,2,FALSE)</f>
        <v>101</v>
      </c>
      <c r="C19" s="42"/>
    </row>
    <row r="20" spans="1:3" x14ac:dyDescent="0.25">
      <c r="A20" s="4" t="s">
        <v>730</v>
      </c>
      <c r="B20" s="42" t="str">
        <f>VLOOKUP("iSCSI A VLAN Name",'UCS Info'!A4:C122,2,FALSE)</f>
        <v>iSCSI-A</v>
      </c>
      <c r="C20" s="42"/>
    </row>
    <row r="21" spans="1:3" x14ac:dyDescent="0.25">
      <c r="A21" s="4" t="s">
        <v>731</v>
      </c>
      <c r="B21" s="42">
        <f>VLOOKUP("iSCSI A VLAN ID",'UCS Info'!A4:C122,2,FALSE)</f>
        <v>101</v>
      </c>
      <c r="C21" s="42"/>
    </row>
    <row r="22" spans="1:3" x14ac:dyDescent="0.25">
      <c r="A22" s="4" t="s">
        <v>728</v>
      </c>
      <c r="B22" s="42" t="str">
        <f>VLOOKUP("FCoE B VLAN Name",'UCS Info'!A4:C126,2,FALSE)</f>
        <v>FCoE-B</v>
      </c>
      <c r="C22" s="42"/>
    </row>
    <row r="23" spans="1:3" x14ac:dyDescent="0.25">
      <c r="A23" s="4" t="s">
        <v>718</v>
      </c>
      <c r="B23" s="42">
        <f>VLOOKUP("FCoE VLAN B ID",'UCS Info'!A4:C126,2,FALSE)</f>
        <v>102</v>
      </c>
      <c r="C23" s="42"/>
    </row>
    <row r="24" spans="1:3" x14ac:dyDescent="0.25">
      <c r="A24" s="4" t="s">
        <v>27</v>
      </c>
      <c r="B24" s="42" t="str">
        <f>VLOOKUP("VSAN B Name",'UCS Info'!A4:C128,2,FALSE)</f>
        <v>VSAN-B</v>
      </c>
      <c r="C24" s="42"/>
    </row>
    <row r="25" spans="1:3" x14ac:dyDescent="0.25">
      <c r="A25" s="4" t="s">
        <v>25</v>
      </c>
      <c r="B25" s="42">
        <f>VLOOKUP("VSAN B ID",'UCS Info'!A4:C128,2,FALSE)</f>
        <v>102</v>
      </c>
      <c r="C25" s="42"/>
    </row>
    <row r="26" spans="1:3" x14ac:dyDescent="0.25">
      <c r="A26" s="4" t="s">
        <v>732</v>
      </c>
      <c r="B26" s="42" t="str">
        <f>VLOOKUP("iSCSI B VLAN Name",'UCS Info'!A4:C122,2,FALSE)</f>
        <v>iSCSI-B</v>
      </c>
      <c r="C26" s="42"/>
    </row>
    <row r="27" spans="1:3" x14ac:dyDescent="0.25">
      <c r="A27" s="4" t="s">
        <v>733</v>
      </c>
      <c r="B27" s="42">
        <f>VLOOKUP("iSCSI B VLAN ID",'UCS Info'!A4:C122,2,FALSE)</f>
        <v>102</v>
      </c>
      <c r="C27" s="42"/>
    </row>
    <row r="28" spans="1:3" x14ac:dyDescent="0.25">
      <c r="A28" s="4"/>
      <c r="B28" s="42"/>
      <c r="C28" s="42"/>
    </row>
    <row r="29" spans="1:3" ht="18" thickBot="1" x14ac:dyDescent="0.35">
      <c r="A29" s="29" t="s">
        <v>713</v>
      </c>
      <c r="B29" s="29"/>
      <c r="C29" s="30"/>
    </row>
    <row r="30" spans="1:3" ht="15.75" thickTop="1" x14ac:dyDescent="0.25">
      <c r="A30" s="4" t="s">
        <v>749</v>
      </c>
      <c r="B30" t="s">
        <v>735</v>
      </c>
    </row>
    <row r="31" spans="1:3" x14ac:dyDescent="0.25">
      <c r="A31" s="4" t="s">
        <v>759</v>
      </c>
      <c r="B31" t="s">
        <v>736</v>
      </c>
    </row>
    <row r="32" spans="1:3" x14ac:dyDescent="0.25">
      <c r="A32" s="4" t="s">
        <v>758</v>
      </c>
      <c r="B32" t="s">
        <v>81</v>
      </c>
    </row>
    <row r="33" spans="1:3" x14ac:dyDescent="0.25">
      <c r="A33" s="43" t="s">
        <v>750</v>
      </c>
      <c r="B33" s="44" t="s">
        <v>737</v>
      </c>
    </row>
    <row r="34" spans="1:3" x14ac:dyDescent="0.25">
      <c r="A34" s="43"/>
      <c r="B34" s="44"/>
    </row>
    <row r="35" spans="1:3" ht="18" thickBot="1" x14ac:dyDescent="0.35">
      <c r="A35" s="49" t="s">
        <v>714</v>
      </c>
      <c r="B35" s="29"/>
      <c r="C35" s="30"/>
    </row>
    <row r="36" spans="1:3" ht="15.75" thickTop="1" x14ac:dyDescent="0.25">
      <c r="A36" s="4" t="s">
        <v>751</v>
      </c>
      <c r="B36" t="s">
        <v>734</v>
      </c>
    </row>
    <row r="37" spans="1:3" x14ac:dyDescent="0.25">
      <c r="A37" s="4" t="s">
        <v>756</v>
      </c>
      <c r="B37" t="s">
        <v>738</v>
      </c>
    </row>
    <row r="38" spans="1:3" x14ac:dyDescent="0.25">
      <c r="A38" s="4" t="s">
        <v>757</v>
      </c>
      <c r="B38" t="str">
        <f>B32</f>
        <v>255.255.255.0</v>
      </c>
    </row>
    <row r="39" spans="1:3" x14ac:dyDescent="0.25">
      <c r="A39" s="4" t="s">
        <v>752</v>
      </c>
      <c r="B39" s="44" t="str">
        <f>B33</f>
        <v>192.168.10.254</v>
      </c>
    </row>
    <row r="40" spans="1:3" x14ac:dyDescent="0.25">
      <c r="A40" s="4"/>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3" sqref="A3"/>
    </sheetView>
  </sheetViews>
  <sheetFormatPr defaultRowHeight="15" x14ac:dyDescent="0.25"/>
  <cols>
    <col min="1" max="1" width="32.5703125" bestFit="1" customWidth="1"/>
    <col min="2" max="2" width="14.85546875" bestFit="1" customWidth="1"/>
    <col min="3" max="3" width="15.140625" bestFit="1" customWidth="1"/>
    <col min="4" max="4" width="39.28515625" bestFit="1" customWidth="1"/>
  </cols>
  <sheetData>
    <row r="1" spans="1:4" ht="20.25" thickBot="1" x14ac:dyDescent="0.35">
      <c r="A1" s="32" t="s">
        <v>159</v>
      </c>
      <c r="B1" s="33" t="s">
        <v>711</v>
      </c>
      <c r="C1" s="34" t="s">
        <v>163</v>
      </c>
    </row>
    <row r="2" spans="1:4" ht="18.75" thickTop="1" thickBot="1" x14ac:dyDescent="0.35">
      <c r="A2" s="35" t="s">
        <v>939</v>
      </c>
      <c r="B2" s="36"/>
      <c r="C2" s="37"/>
    </row>
    <row r="3" spans="1:4" ht="15.75" thickTop="1" x14ac:dyDescent="0.25">
      <c r="A3" t="s">
        <v>1001</v>
      </c>
      <c r="B3" t="s">
        <v>1020</v>
      </c>
      <c r="D3" s="4" t="s">
        <v>357</v>
      </c>
    </row>
    <row r="4" spans="1:4" x14ac:dyDescent="0.25">
      <c r="A4" t="s">
        <v>1007</v>
      </c>
      <c r="B4" t="s">
        <v>83</v>
      </c>
      <c r="D4" s="4" t="s">
        <v>816</v>
      </c>
    </row>
    <row r="5" spans="1:4" x14ac:dyDescent="0.25">
      <c r="A5" t="s">
        <v>1008</v>
      </c>
      <c r="B5" t="s">
        <v>82</v>
      </c>
      <c r="D5" s="4" t="s">
        <v>815</v>
      </c>
    </row>
    <row r="6" spans="1:4" x14ac:dyDescent="0.25">
      <c r="A6" t="s">
        <v>1011</v>
      </c>
      <c r="B6" t="s">
        <v>81</v>
      </c>
      <c r="D6" s="4" t="s">
        <v>1002</v>
      </c>
    </row>
    <row r="7" spans="1:4" x14ac:dyDescent="0.25">
      <c r="A7" t="s">
        <v>1010</v>
      </c>
      <c r="B7" t="s">
        <v>84</v>
      </c>
      <c r="D7" s="4" t="s">
        <v>1009</v>
      </c>
    </row>
    <row r="8" spans="1:4" x14ac:dyDescent="0.25">
      <c r="A8" t="s">
        <v>1012</v>
      </c>
      <c r="B8" t="s">
        <v>1018</v>
      </c>
      <c r="D8" s="4" t="s">
        <v>813</v>
      </c>
    </row>
    <row r="9" spans="1:4" x14ac:dyDescent="0.25">
      <c r="A9" t="s">
        <v>1013</v>
      </c>
      <c r="B9" t="s">
        <v>1019</v>
      </c>
      <c r="D9" s="4" t="s">
        <v>814</v>
      </c>
    </row>
    <row r="10" spans="1:4" x14ac:dyDescent="0.25">
      <c r="A10" t="s">
        <v>1014</v>
      </c>
      <c r="B10" t="s">
        <v>81</v>
      </c>
      <c r="D10" s="4" t="s">
        <v>1003</v>
      </c>
    </row>
    <row r="11" spans="1:4" x14ac:dyDescent="0.25">
      <c r="A11" t="s">
        <v>1015</v>
      </c>
      <c r="B11" t="s">
        <v>1021</v>
      </c>
      <c r="D11" s="4" t="s">
        <v>1004</v>
      </c>
    </row>
    <row r="12" spans="1:4" x14ac:dyDescent="0.25">
      <c r="A12" t="s">
        <v>1016</v>
      </c>
      <c r="B12" t="s">
        <v>1022</v>
      </c>
      <c r="D12" s="4" t="s">
        <v>1005</v>
      </c>
    </row>
    <row r="13" spans="1:4" x14ac:dyDescent="0.25">
      <c r="A13" t="s">
        <v>1017</v>
      </c>
      <c r="B13" t="s">
        <v>81</v>
      </c>
      <c r="D13" s="4" t="s">
        <v>1006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topLeftCell="A7" workbookViewId="0">
      <selection activeCell="A17" sqref="A17"/>
    </sheetView>
  </sheetViews>
  <sheetFormatPr defaultRowHeight="15" x14ac:dyDescent="0.25"/>
  <cols>
    <col min="1" max="1" width="41.28515625" bestFit="1" customWidth="1"/>
    <col min="2" max="2" width="13.85546875" bestFit="1" customWidth="1"/>
    <col min="3" max="3" width="30.140625" bestFit="1" customWidth="1"/>
    <col min="4" max="4" width="38.5703125" customWidth="1"/>
    <col min="5" max="5" width="15.42578125" customWidth="1"/>
  </cols>
  <sheetData>
    <row r="1" spans="1:3" ht="20.25" thickBot="1" x14ac:dyDescent="0.35">
      <c r="A1" s="52" t="s">
        <v>159</v>
      </c>
      <c r="B1" s="53" t="s">
        <v>711</v>
      </c>
      <c r="C1" s="55" t="s">
        <v>163</v>
      </c>
    </row>
    <row r="2" spans="1:3" ht="18.75" thickTop="1" thickBot="1" x14ac:dyDescent="0.35">
      <c r="A2" s="35" t="s">
        <v>774</v>
      </c>
      <c r="B2" s="36"/>
      <c r="C2" s="37"/>
    </row>
    <row r="3" spans="1:3" ht="15.75" thickTop="1" x14ac:dyDescent="0.25">
      <c r="A3" t="s">
        <v>786</v>
      </c>
      <c r="B3" t="s">
        <v>81</v>
      </c>
      <c r="C3" s="4" t="s">
        <v>345</v>
      </c>
    </row>
    <row r="4" spans="1:3" x14ac:dyDescent="0.25">
      <c r="A4" t="s">
        <v>787</v>
      </c>
      <c r="B4" s="46" t="s">
        <v>807</v>
      </c>
      <c r="C4" s="4" t="s">
        <v>346</v>
      </c>
    </row>
    <row r="5" spans="1:3" x14ac:dyDescent="0.25">
      <c r="A5" s="4" t="s">
        <v>785</v>
      </c>
      <c r="B5">
        <v>10</v>
      </c>
    </row>
    <row r="6" spans="1:3" x14ac:dyDescent="0.25">
      <c r="A6" t="s">
        <v>788</v>
      </c>
      <c r="B6" t="s">
        <v>804</v>
      </c>
      <c r="C6" s="4" t="s">
        <v>348</v>
      </c>
    </row>
    <row r="7" spans="1:3" x14ac:dyDescent="0.25">
      <c r="A7" t="s">
        <v>789</v>
      </c>
      <c r="B7" t="s">
        <v>877</v>
      </c>
      <c r="C7" s="4" t="s">
        <v>349</v>
      </c>
    </row>
    <row r="8" spans="1:3" x14ac:dyDescent="0.25">
      <c r="A8" t="s">
        <v>790</v>
      </c>
      <c r="B8" t="s">
        <v>81</v>
      </c>
      <c r="C8" s="4" t="s">
        <v>350</v>
      </c>
    </row>
    <row r="9" spans="1:3" x14ac:dyDescent="0.25">
      <c r="A9" t="s">
        <v>791</v>
      </c>
      <c r="B9" t="s">
        <v>800</v>
      </c>
      <c r="C9" s="4" t="s">
        <v>351</v>
      </c>
    </row>
    <row r="10" spans="1:3" x14ac:dyDescent="0.25">
      <c r="A10" t="s">
        <v>792</v>
      </c>
      <c r="B10">
        <v>10</v>
      </c>
      <c r="C10" s="4" t="s">
        <v>352</v>
      </c>
    </row>
    <row r="11" spans="1:3" x14ac:dyDescent="0.25">
      <c r="A11" t="s">
        <v>796</v>
      </c>
      <c r="B11" t="s">
        <v>878</v>
      </c>
      <c r="C11" s="4" t="s">
        <v>353</v>
      </c>
    </row>
    <row r="12" spans="1:3" x14ac:dyDescent="0.25">
      <c r="A12" t="s">
        <v>793</v>
      </c>
      <c r="B12" t="s">
        <v>81</v>
      </c>
      <c r="C12" s="4" t="s">
        <v>354</v>
      </c>
    </row>
    <row r="13" spans="1:3" x14ac:dyDescent="0.25">
      <c r="A13" t="s">
        <v>795</v>
      </c>
      <c r="B13" t="s">
        <v>800</v>
      </c>
      <c r="C13" s="4" t="s">
        <v>355</v>
      </c>
    </row>
    <row r="14" spans="1:3" x14ac:dyDescent="0.25">
      <c r="A14" t="s">
        <v>794</v>
      </c>
      <c r="B14" t="s">
        <v>803</v>
      </c>
      <c r="C14" s="4" t="s">
        <v>356</v>
      </c>
    </row>
    <row r="16" spans="1:3" ht="18" thickBot="1" x14ac:dyDescent="0.35">
      <c r="A16" s="35" t="s">
        <v>775</v>
      </c>
      <c r="B16" s="36"/>
      <c r="C16" s="50"/>
    </row>
    <row r="17" spans="1:3" ht="15.75" thickTop="1" x14ac:dyDescent="0.25">
      <c r="A17" s="47" t="s">
        <v>783</v>
      </c>
      <c r="B17" s="48" t="s">
        <v>778</v>
      </c>
      <c r="C17" s="9"/>
    </row>
    <row r="18" spans="1:3" x14ac:dyDescent="0.25">
      <c r="A18" s="41" t="s">
        <v>798</v>
      </c>
      <c r="B18" s="41" t="s">
        <v>801</v>
      </c>
      <c r="C18" s="41"/>
    </row>
    <row r="19" spans="1:3" x14ac:dyDescent="0.25">
      <c r="A19" s="47"/>
      <c r="B19" s="48"/>
      <c r="C19" s="9"/>
    </row>
    <row r="20" spans="1:3" ht="18" thickBot="1" x14ac:dyDescent="0.35">
      <c r="A20" s="30" t="s">
        <v>776</v>
      </c>
      <c r="B20" s="36"/>
      <c r="C20" s="50"/>
    </row>
    <row r="21" spans="1:3" ht="15.75" thickTop="1" x14ac:dyDescent="0.25">
      <c r="A21" s="47" t="s">
        <v>784</v>
      </c>
      <c r="B21" s="48" t="s">
        <v>777</v>
      </c>
      <c r="C21" s="9"/>
    </row>
    <row r="22" spans="1:3" x14ac:dyDescent="0.25">
      <c r="A22" s="56" t="s">
        <v>797</v>
      </c>
      <c r="B22" s="57" t="s">
        <v>802</v>
      </c>
      <c r="C22" s="58"/>
    </row>
    <row r="24" spans="1:3" x14ac:dyDescent="0.25">
      <c r="A24" s="4"/>
    </row>
    <row r="25" spans="1:3" x14ac:dyDescent="0.25">
      <c r="A25" s="4"/>
    </row>
    <row r="26" spans="1:3" x14ac:dyDescent="0.25">
      <c r="A26" s="4"/>
    </row>
    <row r="27" spans="1:3" x14ac:dyDescent="0.25">
      <c r="A27" s="4"/>
    </row>
    <row r="28" spans="1:3" x14ac:dyDescent="0.25">
      <c r="A28" s="4"/>
    </row>
    <row r="29" spans="1:3" x14ac:dyDescent="0.25">
      <c r="A29" s="4"/>
    </row>
    <row r="30" spans="1:3" x14ac:dyDescent="0.25">
      <c r="A30" s="4"/>
    </row>
    <row r="31" spans="1:3" x14ac:dyDescent="0.25">
      <c r="A31" s="4"/>
    </row>
    <row r="32" spans="1:3" x14ac:dyDescent="0.25">
      <c r="A32" s="4"/>
    </row>
    <row r="33" spans="1:1" x14ac:dyDescent="0.25">
      <c r="A33" s="4"/>
    </row>
    <row r="34" spans="1:1" x14ac:dyDescent="0.25">
      <c r="A34" s="4"/>
    </row>
    <row r="35" spans="1:1" x14ac:dyDescent="0.25">
      <c r="A35" s="4"/>
    </row>
    <row r="36" spans="1:1" x14ac:dyDescent="0.25">
      <c r="A36" s="4"/>
    </row>
    <row r="37" spans="1:1" x14ac:dyDescent="0.25">
      <c r="A37" s="4"/>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9"/>
  <sheetViews>
    <sheetView workbookViewId="0">
      <selection activeCell="B82" sqref="B82"/>
    </sheetView>
  </sheetViews>
  <sheetFormatPr defaultRowHeight="15" x14ac:dyDescent="0.25"/>
  <cols>
    <col min="1" max="1" width="17.42578125" customWidth="1"/>
    <col min="2" max="2" width="32.140625" customWidth="1"/>
    <col min="3" max="3" width="14" customWidth="1"/>
    <col min="4" max="4" width="16.5703125" customWidth="1"/>
    <col min="5" max="5" width="16.28515625" customWidth="1"/>
  </cols>
  <sheetData>
    <row r="1" spans="1:5" ht="20.25" thickBot="1" x14ac:dyDescent="0.35">
      <c r="A1" s="21" t="s">
        <v>710</v>
      </c>
      <c r="B1" s="21"/>
      <c r="C1" s="21"/>
      <c r="D1" s="21"/>
      <c r="E1" s="21"/>
    </row>
    <row r="2" spans="1:5" ht="15.75" thickTop="1" x14ac:dyDescent="0.25">
      <c r="A2" s="1" t="s">
        <v>122</v>
      </c>
      <c r="B2" s="1" t="s">
        <v>125</v>
      </c>
      <c r="C2" s="1" t="s">
        <v>123</v>
      </c>
      <c r="D2" s="1" t="s">
        <v>126</v>
      </c>
      <c r="E2" s="1" t="s">
        <v>124</v>
      </c>
    </row>
    <row r="3" spans="1:5" x14ac:dyDescent="0.25">
      <c r="A3" s="22" t="s">
        <v>127</v>
      </c>
      <c r="B3" s="2" t="s">
        <v>130</v>
      </c>
      <c r="C3" s="2" t="s">
        <v>128</v>
      </c>
      <c r="D3" s="2" t="str">
        <f>C38</f>
        <v>e3a</v>
      </c>
      <c r="E3" s="2" t="s">
        <v>129</v>
      </c>
    </row>
    <row r="4" spans="1:5" x14ac:dyDescent="0.25">
      <c r="A4" s="23"/>
      <c r="B4" s="2" t="s">
        <v>133</v>
      </c>
      <c r="C4" s="2" t="s">
        <v>132</v>
      </c>
      <c r="D4" s="2" t="str">
        <f>C47</f>
        <v>e3a</v>
      </c>
      <c r="E4" s="2" t="s">
        <v>129</v>
      </c>
    </row>
    <row r="5" spans="1:5" x14ac:dyDescent="0.25">
      <c r="A5" s="23"/>
      <c r="B5" s="2" t="s">
        <v>263</v>
      </c>
      <c r="C5" s="2" t="s">
        <v>260</v>
      </c>
      <c r="D5" s="2" t="str">
        <f>C36</f>
        <v>e1a</v>
      </c>
      <c r="E5" s="2" t="s">
        <v>134</v>
      </c>
    </row>
    <row r="6" spans="1:5" x14ac:dyDescent="0.25">
      <c r="A6" s="23"/>
      <c r="B6" s="2" t="s">
        <v>264</v>
      </c>
      <c r="C6" s="2" t="s">
        <v>261</v>
      </c>
      <c r="D6" s="2" t="str">
        <f>C45</f>
        <v>e1a</v>
      </c>
      <c r="E6" s="2" t="s">
        <v>134</v>
      </c>
    </row>
    <row r="7" spans="1:5" x14ac:dyDescent="0.25">
      <c r="A7" s="23"/>
      <c r="B7" s="2" t="s">
        <v>1054</v>
      </c>
      <c r="C7" s="2" t="s">
        <v>251</v>
      </c>
      <c r="D7" s="2" t="str">
        <f>C20</f>
        <v>Eth1/13</v>
      </c>
      <c r="E7" s="2" t="s">
        <v>134</v>
      </c>
    </row>
    <row r="8" spans="1:5" x14ac:dyDescent="0.25">
      <c r="A8" s="23"/>
      <c r="B8" s="2" t="s">
        <v>1053</v>
      </c>
      <c r="C8" s="2" t="s">
        <v>250</v>
      </c>
      <c r="D8" s="2" t="str">
        <f>C21</f>
        <v>Eth1/14</v>
      </c>
      <c r="E8" s="2" t="s">
        <v>134</v>
      </c>
    </row>
    <row r="9" spans="1:5" x14ac:dyDescent="0.25">
      <c r="A9" s="23"/>
      <c r="B9" s="2" t="s">
        <v>135</v>
      </c>
      <c r="C9" s="2" t="s">
        <v>258</v>
      </c>
      <c r="D9" s="2" t="str">
        <f>C55</f>
        <v>Eth1/19</v>
      </c>
      <c r="E9" s="2" t="s">
        <v>134</v>
      </c>
    </row>
    <row r="10" spans="1:5" x14ac:dyDescent="0.25">
      <c r="A10" s="23"/>
      <c r="B10" s="2" t="s">
        <v>136</v>
      </c>
      <c r="C10" s="2" t="s">
        <v>257</v>
      </c>
      <c r="D10" s="2" t="str">
        <f>C66</f>
        <v>Eth1/19</v>
      </c>
      <c r="E10" s="2" t="s">
        <v>134</v>
      </c>
    </row>
    <row r="11" spans="1:5" x14ac:dyDescent="0.25">
      <c r="A11" s="23"/>
      <c r="B11" s="2" t="s">
        <v>1052</v>
      </c>
      <c r="C11" s="2" t="s">
        <v>253</v>
      </c>
      <c r="D11" s="2" t="str">
        <f>C57</f>
        <v>Eth1/31</v>
      </c>
      <c r="E11" s="2" t="s">
        <v>256</v>
      </c>
    </row>
    <row r="12" spans="1:5" x14ac:dyDescent="0.25">
      <c r="A12" s="23"/>
      <c r="B12" s="2" t="s">
        <v>1051</v>
      </c>
      <c r="C12" s="2" t="s">
        <v>252</v>
      </c>
      <c r="D12" s="2" t="str">
        <f>C58</f>
        <v>Eth1/32</v>
      </c>
      <c r="E12" s="2" t="s">
        <v>256</v>
      </c>
    </row>
    <row r="13" spans="1:5" x14ac:dyDescent="0.25">
      <c r="A13" s="23"/>
      <c r="B13" s="2" t="s">
        <v>275</v>
      </c>
      <c r="C13" s="2" t="s">
        <v>273</v>
      </c>
      <c r="D13" s="2" t="str">
        <f>C76</f>
        <v>LOM A</v>
      </c>
      <c r="E13" s="2" t="s">
        <v>276</v>
      </c>
    </row>
    <row r="14" spans="1:5" x14ac:dyDescent="0.25">
      <c r="A14" s="23"/>
      <c r="B14" s="2" t="s">
        <v>277</v>
      </c>
      <c r="C14" s="2" t="s">
        <v>274</v>
      </c>
      <c r="D14" s="2" t="str">
        <f>C78</f>
        <v>LOM A</v>
      </c>
      <c r="E14" s="2" t="s">
        <v>276</v>
      </c>
    </row>
    <row r="15" spans="1:5" x14ac:dyDescent="0.25">
      <c r="A15" s="24"/>
      <c r="B15" s="2" t="s">
        <v>139</v>
      </c>
      <c r="C15" s="2" t="s">
        <v>137</v>
      </c>
      <c r="D15" s="2" t="s">
        <v>140</v>
      </c>
      <c r="E15" s="2" t="s">
        <v>138</v>
      </c>
    </row>
    <row r="16" spans="1:5" x14ac:dyDescent="0.25">
      <c r="A16" s="18" t="s">
        <v>141</v>
      </c>
      <c r="B16" s="2" t="s">
        <v>130</v>
      </c>
      <c r="C16" s="2" t="s">
        <v>128</v>
      </c>
      <c r="D16" s="2" t="str">
        <f>C39</f>
        <v>e4a</v>
      </c>
      <c r="E16" s="2" t="s">
        <v>129</v>
      </c>
    </row>
    <row r="17" spans="1:5" x14ac:dyDescent="0.25">
      <c r="A17" s="25"/>
      <c r="B17" s="2" t="s">
        <v>133</v>
      </c>
      <c r="C17" s="2" t="s">
        <v>132</v>
      </c>
      <c r="D17" s="2" t="str">
        <f>C48</f>
        <v>e4a</v>
      </c>
      <c r="E17" s="2" t="s">
        <v>129</v>
      </c>
    </row>
    <row r="18" spans="1:5" x14ac:dyDescent="0.25">
      <c r="A18" s="25"/>
      <c r="B18" s="2" t="s">
        <v>263</v>
      </c>
      <c r="C18" s="2" t="s">
        <v>260</v>
      </c>
      <c r="D18" s="2" t="str">
        <f>C37</f>
        <v>e2a</v>
      </c>
      <c r="E18" s="2" t="s">
        <v>134</v>
      </c>
    </row>
    <row r="19" spans="1:5" x14ac:dyDescent="0.25">
      <c r="A19" s="25"/>
      <c r="B19" s="2" t="s">
        <v>264</v>
      </c>
      <c r="C19" s="2" t="s">
        <v>261</v>
      </c>
      <c r="D19" s="2" t="str">
        <f>C46</f>
        <v>e2a</v>
      </c>
      <c r="E19" s="2" t="s">
        <v>134</v>
      </c>
    </row>
    <row r="20" spans="1:5" x14ac:dyDescent="0.25">
      <c r="A20" s="25"/>
      <c r="B20" s="2" t="s">
        <v>1050</v>
      </c>
      <c r="C20" s="2" t="s">
        <v>251</v>
      </c>
      <c r="D20" s="2" t="str">
        <f>C7</f>
        <v>Eth1/13</v>
      </c>
      <c r="E20" s="2" t="s">
        <v>134</v>
      </c>
    </row>
    <row r="21" spans="1:5" x14ac:dyDescent="0.25">
      <c r="A21" s="25"/>
      <c r="B21" s="2" t="s">
        <v>1049</v>
      </c>
      <c r="C21" s="2" t="s">
        <v>250</v>
      </c>
      <c r="D21" s="2" t="str">
        <f>C8</f>
        <v>Eth1/14</v>
      </c>
      <c r="E21" s="2" t="s">
        <v>134</v>
      </c>
    </row>
    <row r="22" spans="1:5" x14ac:dyDescent="0.25">
      <c r="A22" s="25"/>
      <c r="B22" s="2" t="s">
        <v>135</v>
      </c>
      <c r="C22" s="2" t="s">
        <v>258</v>
      </c>
      <c r="D22" s="2" t="str">
        <f>C56</f>
        <v>Eth1/20</v>
      </c>
      <c r="E22" s="2" t="s">
        <v>134</v>
      </c>
    </row>
    <row r="23" spans="1:5" x14ac:dyDescent="0.25">
      <c r="A23" s="25"/>
      <c r="B23" s="2" t="s">
        <v>136</v>
      </c>
      <c r="C23" s="2" t="s">
        <v>257</v>
      </c>
      <c r="D23" s="2" t="str">
        <f>C67</f>
        <v>Eth1/20</v>
      </c>
      <c r="E23" s="2" t="s">
        <v>134</v>
      </c>
    </row>
    <row r="24" spans="1:5" x14ac:dyDescent="0.25">
      <c r="A24" s="25"/>
      <c r="B24" s="2" t="s">
        <v>1048</v>
      </c>
      <c r="C24" s="2" t="s">
        <v>253</v>
      </c>
      <c r="D24" s="2" t="str">
        <f>C68</f>
        <v>Eth1/31</v>
      </c>
      <c r="E24" s="2" t="s">
        <v>256</v>
      </c>
    </row>
    <row r="25" spans="1:5" x14ac:dyDescent="0.25">
      <c r="A25" s="25"/>
      <c r="B25" s="2" t="s">
        <v>1047</v>
      </c>
      <c r="C25" s="2" t="s">
        <v>252</v>
      </c>
      <c r="D25" s="2" t="str">
        <f>C69</f>
        <v>Eth1/32</v>
      </c>
      <c r="E25" s="2" t="s">
        <v>256</v>
      </c>
    </row>
    <row r="26" spans="1:5" x14ac:dyDescent="0.25">
      <c r="A26" s="25"/>
      <c r="B26" s="2" t="s">
        <v>275</v>
      </c>
      <c r="C26" s="2" t="s">
        <v>273</v>
      </c>
      <c r="D26" s="2" t="str">
        <f>C77</f>
        <v>LOM B</v>
      </c>
      <c r="E26" s="2" t="s">
        <v>276</v>
      </c>
    </row>
    <row r="27" spans="1:5" x14ac:dyDescent="0.25">
      <c r="A27" s="25"/>
      <c r="B27" s="2" t="s">
        <v>277</v>
      </c>
      <c r="C27" s="2" t="s">
        <v>274</v>
      </c>
      <c r="D27" s="2" t="str">
        <f>C79</f>
        <v>LOM B</v>
      </c>
      <c r="E27" s="2" t="s">
        <v>276</v>
      </c>
    </row>
    <row r="28" spans="1:5" x14ac:dyDescent="0.25">
      <c r="A28" s="25"/>
      <c r="B28" s="2" t="s">
        <v>139</v>
      </c>
      <c r="C28" s="2" t="s">
        <v>137</v>
      </c>
      <c r="D28" s="2" t="s">
        <v>140</v>
      </c>
      <c r="E28" s="2" t="s">
        <v>138</v>
      </c>
    </row>
    <row r="29" spans="1:5" ht="20.25" customHeight="1" thickBot="1" x14ac:dyDescent="0.3">
      <c r="A29" s="26" t="s">
        <v>709</v>
      </c>
      <c r="B29" s="26"/>
      <c r="C29" s="26"/>
      <c r="D29" s="26"/>
      <c r="E29" s="26"/>
    </row>
    <row r="30" spans="1:5" ht="15.75" thickTop="1" x14ac:dyDescent="0.25">
      <c r="A30" s="1" t="s">
        <v>122</v>
      </c>
      <c r="B30" s="1" t="s">
        <v>125</v>
      </c>
      <c r="C30" s="1" t="s">
        <v>123</v>
      </c>
      <c r="D30" s="1" t="s">
        <v>126</v>
      </c>
      <c r="E30" s="1" t="s">
        <v>124</v>
      </c>
    </row>
    <row r="31" spans="1:5" x14ac:dyDescent="0.25">
      <c r="A31" s="25" t="s">
        <v>130</v>
      </c>
      <c r="B31" s="2" t="s">
        <v>139</v>
      </c>
      <c r="C31" s="2" t="s">
        <v>142</v>
      </c>
      <c r="D31" s="2" t="s">
        <v>140</v>
      </c>
      <c r="E31" s="2" t="s">
        <v>138</v>
      </c>
    </row>
    <row r="32" spans="1:5" x14ac:dyDescent="0.25">
      <c r="A32" s="25"/>
      <c r="B32" s="2" t="s">
        <v>270</v>
      </c>
      <c r="C32" s="2" t="s">
        <v>269</v>
      </c>
      <c r="D32" s="2" t="s">
        <v>140</v>
      </c>
      <c r="E32" s="2" t="s">
        <v>144</v>
      </c>
    </row>
    <row r="33" spans="1:5" x14ac:dyDescent="0.25">
      <c r="A33" s="25"/>
      <c r="B33" s="2" t="s">
        <v>1046</v>
      </c>
      <c r="C33" s="2" t="s">
        <v>267</v>
      </c>
      <c r="D33" s="2" t="str">
        <f>C42</f>
        <v>c0a</v>
      </c>
      <c r="E33" s="2" t="s">
        <v>134</v>
      </c>
    </row>
    <row r="34" spans="1:5" x14ac:dyDescent="0.25">
      <c r="A34" s="25"/>
      <c r="B34" s="2" t="s">
        <v>1045</v>
      </c>
      <c r="C34" s="2" t="s">
        <v>268</v>
      </c>
      <c r="D34" s="2" t="str">
        <f>C43</f>
        <v>c0b</v>
      </c>
      <c r="E34" s="2" t="s">
        <v>134</v>
      </c>
    </row>
    <row r="35" spans="1:5" x14ac:dyDescent="0.25">
      <c r="A35" s="25"/>
      <c r="B35" s="2" t="s">
        <v>145</v>
      </c>
      <c r="C35" s="2" t="s">
        <v>143</v>
      </c>
      <c r="D35" s="2" t="s">
        <v>146</v>
      </c>
      <c r="E35" s="2" t="s">
        <v>144</v>
      </c>
    </row>
    <row r="36" spans="1:5" x14ac:dyDescent="0.25">
      <c r="A36" s="25"/>
      <c r="B36" s="2" t="s">
        <v>1030</v>
      </c>
      <c r="C36" s="2" t="s">
        <v>262</v>
      </c>
      <c r="D36" s="2" t="str">
        <f>C5</f>
        <v>Eth1/17</v>
      </c>
      <c r="E36" s="2" t="s">
        <v>134</v>
      </c>
    </row>
    <row r="37" spans="1:5" x14ac:dyDescent="0.25">
      <c r="A37" s="25"/>
      <c r="B37" s="2" t="s">
        <v>1031</v>
      </c>
      <c r="C37" s="2" t="s">
        <v>131</v>
      </c>
      <c r="D37" s="2" t="str">
        <f>C18</f>
        <v>Eth1/17</v>
      </c>
      <c r="E37" s="2" t="s">
        <v>134</v>
      </c>
    </row>
    <row r="38" spans="1:5" x14ac:dyDescent="0.25">
      <c r="A38" s="25"/>
      <c r="B38" s="2" t="s">
        <v>147</v>
      </c>
      <c r="C38" s="2" t="s">
        <v>259</v>
      </c>
      <c r="D38" s="2" t="str">
        <f>C3</f>
        <v>Eth1/1</v>
      </c>
      <c r="E38" s="2" t="s">
        <v>129</v>
      </c>
    </row>
    <row r="39" spans="1:5" x14ac:dyDescent="0.25">
      <c r="A39" s="25"/>
      <c r="B39" s="2" t="s">
        <v>148</v>
      </c>
      <c r="C39" s="2" t="s">
        <v>265</v>
      </c>
      <c r="D39" s="2" t="str">
        <f>C16</f>
        <v>Eth1/1</v>
      </c>
      <c r="E39" s="2" t="s">
        <v>129</v>
      </c>
    </row>
    <row r="40" spans="1:5" x14ac:dyDescent="0.25">
      <c r="A40" s="25" t="s">
        <v>133</v>
      </c>
      <c r="B40" s="2" t="s">
        <v>139</v>
      </c>
      <c r="C40" s="2" t="s">
        <v>142</v>
      </c>
      <c r="D40" s="2" t="s">
        <v>140</v>
      </c>
      <c r="E40" s="2" t="s">
        <v>138</v>
      </c>
    </row>
    <row r="41" spans="1:5" x14ac:dyDescent="0.25">
      <c r="A41" s="25"/>
      <c r="B41" s="2" t="s">
        <v>270</v>
      </c>
      <c r="C41" s="2" t="s">
        <v>269</v>
      </c>
      <c r="D41" s="2" t="s">
        <v>140</v>
      </c>
      <c r="E41" s="2" t="s">
        <v>144</v>
      </c>
    </row>
    <row r="42" spans="1:5" x14ac:dyDescent="0.25">
      <c r="A42" s="25"/>
      <c r="B42" s="2" t="s">
        <v>1044</v>
      </c>
      <c r="C42" s="2" t="s">
        <v>267</v>
      </c>
      <c r="D42" s="2" t="str">
        <f>C33</f>
        <v>c0a</v>
      </c>
      <c r="E42" s="2" t="s">
        <v>134</v>
      </c>
    </row>
    <row r="43" spans="1:5" x14ac:dyDescent="0.25">
      <c r="A43" s="25"/>
      <c r="B43" s="2" t="s">
        <v>1043</v>
      </c>
      <c r="C43" s="2" t="s">
        <v>268</v>
      </c>
      <c r="D43" s="2" t="str">
        <f>C34</f>
        <v>c0b</v>
      </c>
      <c r="E43" s="2" t="s">
        <v>134</v>
      </c>
    </row>
    <row r="44" spans="1:5" x14ac:dyDescent="0.25">
      <c r="A44" s="25"/>
      <c r="B44" s="2" t="s">
        <v>145</v>
      </c>
      <c r="C44" s="2" t="s">
        <v>143</v>
      </c>
      <c r="D44" s="2" t="s">
        <v>146</v>
      </c>
      <c r="E44" s="2" t="s">
        <v>144</v>
      </c>
    </row>
    <row r="45" spans="1:5" x14ac:dyDescent="0.25">
      <c r="A45" s="25"/>
      <c r="B45" s="2" t="s">
        <v>1030</v>
      </c>
      <c r="C45" s="2" t="s">
        <v>262</v>
      </c>
      <c r="D45" s="2" t="str">
        <f>C6</f>
        <v>Eth1/18</v>
      </c>
      <c r="E45" s="2" t="s">
        <v>134</v>
      </c>
    </row>
    <row r="46" spans="1:5" x14ac:dyDescent="0.25">
      <c r="A46" s="25"/>
      <c r="B46" s="2" t="s">
        <v>1031</v>
      </c>
      <c r="C46" s="2" t="s">
        <v>131</v>
      </c>
      <c r="D46" s="2" t="str">
        <f>C19</f>
        <v>Eth1/18</v>
      </c>
      <c r="E46" s="2" t="s">
        <v>134</v>
      </c>
    </row>
    <row r="47" spans="1:5" x14ac:dyDescent="0.25">
      <c r="A47" s="25"/>
      <c r="B47" s="2" t="s">
        <v>147</v>
      </c>
      <c r="C47" s="2" t="s">
        <v>259</v>
      </c>
      <c r="D47" s="2" t="str">
        <f>C4</f>
        <v>Eth1/2</v>
      </c>
      <c r="E47" s="2" t="s">
        <v>129</v>
      </c>
    </row>
    <row r="48" spans="1:5" x14ac:dyDescent="0.25">
      <c r="A48" s="20"/>
      <c r="B48" s="2" t="s">
        <v>148</v>
      </c>
      <c r="C48" s="2" t="s">
        <v>265</v>
      </c>
      <c r="D48" s="2" t="str">
        <f>C17</f>
        <v>Eth1/2</v>
      </c>
      <c r="E48" s="2" t="s">
        <v>129</v>
      </c>
    </row>
    <row r="49" spans="1:5" ht="20.25" customHeight="1" thickBot="1" x14ac:dyDescent="0.3">
      <c r="A49" s="26" t="s">
        <v>708</v>
      </c>
      <c r="B49" s="26"/>
      <c r="C49" s="26"/>
      <c r="D49" s="26"/>
      <c r="E49" s="26"/>
    </row>
    <row r="50" spans="1:5" ht="15.75" thickTop="1" x14ac:dyDescent="0.25">
      <c r="A50" s="1" t="s">
        <v>122</v>
      </c>
      <c r="B50" s="1" t="s">
        <v>125</v>
      </c>
      <c r="C50" s="1" t="s">
        <v>123</v>
      </c>
      <c r="D50" s="1" t="s">
        <v>126</v>
      </c>
      <c r="E50" s="1" t="s">
        <v>124</v>
      </c>
    </row>
    <row r="51" spans="1:5" x14ac:dyDescent="0.25">
      <c r="A51" s="22" t="s">
        <v>149</v>
      </c>
      <c r="B51" s="2" t="s">
        <v>1040</v>
      </c>
      <c r="C51" s="2" t="s">
        <v>128</v>
      </c>
      <c r="D51" s="2" t="s">
        <v>151</v>
      </c>
      <c r="E51" s="2" t="s">
        <v>150</v>
      </c>
    </row>
    <row r="52" spans="1:5" x14ac:dyDescent="0.25">
      <c r="A52" s="23"/>
      <c r="B52" s="2" t="s">
        <v>1039</v>
      </c>
      <c r="C52" s="2" t="s">
        <v>132</v>
      </c>
      <c r="D52" s="2" t="s">
        <v>152</v>
      </c>
      <c r="E52" s="2" t="s">
        <v>150</v>
      </c>
    </row>
    <row r="53" spans="1:5" x14ac:dyDescent="0.25">
      <c r="A53" s="23"/>
      <c r="B53" s="2" t="s">
        <v>1038</v>
      </c>
      <c r="C53" s="2" t="s">
        <v>153</v>
      </c>
      <c r="D53" s="2" t="s">
        <v>271</v>
      </c>
      <c r="E53" s="2" t="s">
        <v>150</v>
      </c>
    </row>
    <row r="54" spans="1:5" x14ac:dyDescent="0.25">
      <c r="A54" s="23"/>
      <c r="B54" s="2" t="s">
        <v>1037</v>
      </c>
      <c r="C54" s="2" t="s">
        <v>154</v>
      </c>
      <c r="D54" s="2" t="s">
        <v>272</v>
      </c>
      <c r="E54" s="2" t="s">
        <v>150</v>
      </c>
    </row>
    <row r="55" spans="1:5" x14ac:dyDescent="0.25">
      <c r="A55" s="23"/>
      <c r="B55" s="2" t="s">
        <v>147</v>
      </c>
      <c r="C55" s="2" t="s">
        <v>266</v>
      </c>
      <c r="D55" s="2" t="str">
        <f>C9</f>
        <v>Eth1/11</v>
      </c>
      <c r="E55" s="2" t="s">
        <v>134</v>
      </c>
    </row>
    <row r="56" spans="1:5" x14ac:dyDescent="0.25">
      <c r="A56" s="23"/>
      <c r="B56" s="2" t="s">
        <v>148</v>
      </c>
      <c r="C56" s="2" t="s">
        <v>254</v>
      </c>
      <c r="D56" s="2" t="str">
        <f>C22</f>
        <v>Eth1/11</v>
      </c>
      <c r="E56" s="2" t="s">
        <v>134</v>
      </c>
    </row>
    <row r="57" spans="1:5" x14ac:dyDescent="0.25">
      <c r="A57" s="23"/>
      <c r="B57" s="2" t="s">
        <v>1041</v>
      </c>
      <c r="C57" s="2" t="s">
        <v>253</v>
      </c>
      <c r="D57" s="2" t="str">
        <f>C11</f>
        <v>Eth1/31</v>
      </c>
      <c r="E57" s="2" t="s">
        <v>256</v>
      </c>
    </row>
    <row r="58" spans="1:5" x14ac:dyDescent="0.25">
      <c r="A58" s="23"/>
      <c r="B58" s="2" t="s">
        <v>1042</v>
      </c>
      <c r="C58" s="2" t="s">
        <v>252</v>
      </c>
      <c r="D58" s="2" t="str">
        <f>C12</f>
        <v>Eth1/32</v>
      </c>
      <c r="E58" s="2" t="s">
        <v>256</v>
      </c>
    </row>
    <row r="59" spans="1:5" x14ac:dyDescent="0.25">
      <c r="A59" s="23"/>
      <c r="B59" s="2" t="s">
        <v>139</v>
      </c>
      <c r="C59" s="2" t="s">
        <v>137</v>
      </c>
      <c r="D59" s="2" t="s">
        <v>140</v>
      </c>
      <c r="E59" s="2" t="s">
        <v>138</v>
      </c>
    </row>
    <row r="60" spans="1:5" x14ac:dyDescent="0.25">
      <c r="A60" s="23"/>
      <c r="B60" s="2" t="s">
        <v>156</v>
      </c>
      <c r="C60" s="2" t="s">
        <v>155</v>
      </c>
      <c r="D60" s="2" t="str">
        <f>C71</f>
        <v>L1</v>
      </c>
      <c r="E60" s="2" t="s">
        <v>144</v>
      </c>
    </row>
    <row r="61" spans="1:5" x14ac:dyDescent="0.25">
      <c r="A61" s="24"/>
      <c r="B61" s="2" t="s">
        <v>156</v>
      </c>
      <c r="C61" s="2" t="s">
        <v>157</v>
      </c>
      <c r="D61" s="2" t="str">
        <f>C72</f>
        <v>L2</v>
      </c>
      <c r="E61" s="2" t="s">
        <v>144</v>
      </c>
    </row>
    <row r="62" spans="1:5" x14ac:dyDescent="0.25">
      <c r="A62" s="22" t="s">
        <v>149</v>
      </c>
      <c r="B62" s="2" t="s">
        <v>1057</v>
      </c>
      <c r="C62" s="2" t="s">
        <v>128</v>
      </c>
      <c r="D62" s="2" t="s">
        <v>151</v>
      </c>
      <c r="E62" s="2" t="s">
        <v>150</v>
      </c>
    </row>
    <row r="63" spans="1:5" x14ac:dyDescent="0.25">
      <c r="A63" s="23"/>
      <c r="B63" s="2" t="s">
        <v>1058</v>
      </c>
      <c r="C63" s="2" t="s">
        <v>132</v>
      </c>
      <c r="D63" s="2" t="s">
        <v>152</v>
      </c>
      <c r="E63" s="2" t="s">
        <v>150</v>
      </c>
    </row>
    <row r="64" spans="1:5" x14ac:dyDescent="0.25">
      <c r="A64" s="23"/>
      <c r="B64" s="2" t="s">
        <v>1059</v>
      </c>
      <c r="C64" s="2" t="s">
        <v>153</v>
      </c>
      <c r="D64" s="2" t="s">
        <v>151</v>
      </c>
      <c r="E64" s="2" t="s">
        <v>150</v>
      </c>
    </row>
    <row r="65" spans="1:5" x14ac:dyDescent="0.25">
      <c r="A65" s="23"/>
      <c r="B65" s="2" t="s">
        <v>1060</v>
      </c>
      <c r="C65" s="2" t="s">
        <v>154</v>
      </c>
      <c r="D65" s="2" t="s">
        <v>152</v>
      </c>
      <c r="E65" s="2" t="s">
        <v>150</v>
      </c>
    </row>
    <row r="66" spans="1:5" x14ac:dyDescent="0.25">
      <c r="A66" s="23"/>
      <c r="B66" s="2" t="s">
        <v>147</v>
      </c>
      <c r="C66" s="2" t="s">
        <v>266</v>
      </c>
      <c r="D66" s="2" t="str">
        <f>C10</f>
        <v>Eth1/12</v>
      </c>
      <c r="E66" s="2" t="s">
        <v>134</v>
      </c>
    </row>
    <row r="67" spans="1:5" x14ac:dyDescent="0.25">
      <c r="A67" s="23"/>
      <c r="B67" s="2" t="s">
        <v>148</v>
      </c>
      <c r="C67" s="2" t="s">
        <v>254</v>
      </c>
      <c r="D67" s="2" t="str">
        <f>C23</f>
        <v>Eth1/12</v>
      </c>
      <c r="E67" s="2" t="s">
        <v>134</v>
      </c>
    </row>
    <row r="68" spans="1:5" x14ac:dyDescent="0.25">
      <c r="A68" s="23"/>
      <c r="B68" s="2" t="s">
        <v>1056</v>
      </c>
      <c r="C68" s="2" t="s">
        <v>253</v>
      </c>
      <c r="D68" s="2" t="str">
        <f>C24</f>
        <v>Eth1/31</v>
      </c>
      <c r="E68" s="2" t="s">
        <v>256</v>
      </c>
    </row>
    <row r="69" spans="1:5" x14ac:dyDescent="0.25">
      <c r="A69" s="23"/>
      <c r="B69" s="2" t="s">
        <v>1055</v>
      </c>
      <c r="C69" s="2" t="s">
        <v>252</v>
      </c>
      <c r="D69" s="2" t="str">
        <f>C25</f>
        <v>Eth1/32</v>
      </c>
      <c r="E69" s="2" t="s">
        <v>256</v>
      </c>
    </row>
    <row r="70" spans="1:5" x14ac:dyDescent="0.25">
      <c r="A70" s="23"/>
      <c r="B70" s="2" t="s">
        <v>139</v>
      </c>
      <c r="C70" s="2" t="s">
        <v>137</v>
      </c>
      <c r="D70" s="2" t="s">
        <v>140</v>
      </c>
      <c r="E70" s="2" t="s">
        <v>138</v>
      </c>
    </row>
    <row r="71" spans="1:5" x14ac:dyDescent="0.25">
      <c r="A71" s="23"/>
      <c r="B71" s="2" t="s">
        <v>158</v>
      </c>
      <c r="C71" s="2" t="s">
        <v>155</v>
      </c>
      <c r="D71" s="2" t="str">
        <f>C60</f>
        <v>L1</v>
      </c>
      <c r="E71" s="2" t="s">
        <v>144</v>
      </c>
    </row>
    <row r="72" spans="1:5" x14ac:dyDescent="0.25">
      <c r="A72" s="24"/>
      <c r="B72" s="2" t="s">
        <v>158</v>
      </c>
      <c r="C72" s="2" t="s">
        <v>157</v>
      </c>
      <c r="D72" s="2" t="str">
        <f>C61</f>
        <v>L2</v>
      </c>
      <c r="E72" s="2" t="s">
        <v>144</v>
      </c>
    </row>
    <row r="74" spans="1:5" ht="20.25" thickBot="1" x14ac:dyDescent="0.35">
      <c r="A74" s="21" t="s">
        <v>707</v>
      </c>
      <c r="B74" s="21"/>
      <c r="C74" s="21"/>
      <c r="D74" s="21"/>
      <c r="E74" s="21"/>
    </row>
    <row r="75" spans="1:5" ht="15.75" thickTop="1" x14ac:dyDescent="0.25">
      <c r="A75" s="1" t="s">
        <v>122</v>
      </c>
      <c r="B75" s="1" t="s">
        <v>125</v>
      </c>
      <c r="C75" s="1" t="s">
        <v>123</v>
      </c>
      <c r="D75" s="1" t="s">
        <v>126</v>
      </c>
      <c r="E75" s="1" t="s">
        <v>124</v>
      </c>
    </row>
    <row r="76" spans="1:5" x14ac:dyDescent="0.25">
      <c r="A76" s="18" t="s">
        <v>275</v>
      </c>
      <c r="B76" s="2" t="s">
        <v>127</v>
      </c>
      <c r="C76" s="2" t="s">
        <v>278</v>
      </c>
      <c r="D76" s="2" t="str">
        <f>C13</f>
        <v>Eth1/15</v>
      </c>
      <c r="E76" s="2" t="s">
        <v>276</v>
      </c>
    </row>
    <row r="77" spans="1:5" x14ac:dyDescent="0.25">
      <c r="A77" s="19"/>
      <c r="B77" s="2" t="s">
        <v>705</v>
      </c>
      <c r="C77" s="2" t="s">
        <v>279</v>
      </c>
      <c r="D77" s="2" t="str">
        <f>C26</f>
        <v>Eth1/15</v>
      </c>
      <c r="E77" s="2" t="s">
        <v>276</v>
      </c>
    </row>
    <row r="78" spans="1:5" x14ac:dyDescent="0.25">
      <c r="A78" s="18" t="s">
        <v>277</v>
      </c>
      <c r="B78" s="2" t="s">
        <v>127</v>
      </c>
      <c r="C78" s="2" t="s">
        <v>278</v>
      </c>
      <c r="D78" s="2" t="str">
        <f>C14</f>
        <v>Eth1/16</v>
      </c>
      <c r="E78" s="2" t="s">
        <v>276</v>
      </c>
    </row>
    <row r="79" spans="1:5" x14ac:dyDescent="0.25">
      <c r="A79" s="20"/>
      <c r="B79" s="2" t="s">
        <v>705</v>
      </c>
      <c r="C79" s="2" t="s">
        <v>279</v>
      </c>
      <c r="D79" s="2" t="str">
        <f>C27</f>
        <v>Eth1/16</v>
      </c>
      <c r="E79" s="2" t="s">
        <v>276</v>
      </c>
    </row>
  </sheetData>
  <mergeCells count="12">
    <mergeCell ref="A1:E1"/>
    <mergeCell ref="A76:A77"/>
    <mergeCell ref="A78:A79"/>
    <mergeCell ref="A74:E74"/>
    <mergeCell ref="A62:A72"/>
    <mergeCell ref="A16:A28"/>
    <mergeCell ref="A31:A39"/>
    <mergeCell ref="A40:A48"/>
    <mergeCell ref="A3:A15"/>
    <mergeCell ref="A51:A61"/>
    <mergeCell ref="A49:E49"/>
    <mergeCell ref="A29:E29"/>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2"/>
  <sheetViews>
    <sheetView topLeftCell="A69" workbookViewId="0">
      <selection activeCell="A21" sqref="A21:XFD21"/>
    </sheetView>
  </sheetViews>
  <sheetFormatPr defaultColWidth="13.140625" defaultRowHeight="15" x14ac:dyDescent="0.25"/>
  <cols>
    <col min="1" max="1" width="43.5703125" bestFit="1" customWidth="1"/>
    <col min="2" max="2" width="41.42578125" bestFit="1" customWidth="1"/>
    <col min="3" max="3" width="67.28515625" bestFit="1" customWidth="1"/>
  </cols>
  <sheetData>
    <row r="1" spans="1:8" ht="54" customHeight="1" x14ac:dyDescent="0.25">
      <c r="A1" s="27" t="s">
        <v>255</v>
      </c>
      <c r="B1" s="27"/>
      <c r="C1" s="27"/>
      <c r="D1" s="7"/>
      <c r="E1" s="7"/>
      <c r="F1" s="7"/>
      <c r="G1" s="7"/>
      <c r="H1" s="7"/>
    </row>
    <row r="2" spans="1:8" ht="20.25" thickBot="1" x14ac:dyDescent="0.35">
      <c r="A2" s="5" t="s">
        <v>162</v>
      </c>
      <c r="B2" s="6" t="s">
        <v>164</v>
      </c>
      <c r="C2" s="6" t="s">
        <v>163</v>
      </c>
    </row>
    <row r="3" spans="1:8" ht="15.75" thickTop="1" x14ac:dyDescent="0.25">
      <c r="A3" s="4" t="s">
        <v>293</v>
      </c>
      <c r="B3" s="67" t="str">
        <f>VLOOKUP("Netapp Node 1 IP Address",'NetApp Info'!A3:C121,2,FALSE)</f>
        <v>192.168.20.11</v>
      </c>
      <c r="C3" t="s">
        <v>165</v>
      </c>
    </row>
    <row r="4" spans="1:8" x14ac:dyDescent="0.25">
      <c r="A4" s="4" t="s">
        <v>294</v>
      </c>
      <c r="B4" s="67" t="str">
        <f>VLOOKUP("Netapp Node 1 subnet mask",'NetApp Info'!A3:C121,2,FALSE)</f>
        <v>255.255.255.0</v>
      </c>
      <c r="C4" t="s">
        <v>166</v>
      </c>
    </row>
    <row r="5" spans="1:8" x14ac:dyDescent="0.25">
      <c r="A5" s="4" t="s">
        <v>295</v>
      </c>
      <c r="B5" s="67" t="str">
        <f>VLOOKUP("Netapp Node 1 Gateway",'NetApp Info'!A3:C121,2,FALSE)</f>
        <v>192.168.20.254</v>
      </c>
      <c r="C5" t="s">
        <v>167</v>
      </c>
    </row>
    <row r="6" spans="1:8" x14ac:dyDescent="0.25">
      <c r="A6" s="4" t="s">
        <v>296</v>
      </c>
      <c r="B6" s="67" t="str">
        <f>VLOOKUP("Boot Software URL",'NetApp Info'!A3:C121,2,FALSE)</f>
        <v>ftp://netapp-boot.test.local</v>
      </c>
      <c r="C6" t="s">
        <v>249</v>
      </c>
    </row>
    <row r="7" spans="1:8" x14ac:dyDescent="0.25">
      <c r="A7" s="4" t="s">
        <v>297</v>
      </c>
      <c r="B7" s="67">
        <f>VLOOKUP("Number of Disks to assign controllers",'NetApp Info'!A3:C121,2,FALSE)</f>
        <v>16</v>
      </c>
      <c r="C7" t="s">
        <v>168</v>
      </c>
    </row>
    <row r="8" spans="1:8" x14ac:dyDescent="0.25">
      <c r="A8" s="4" t="s">
        <v>298</v>
      </c>
      <c r="B8" s="67" t="str">
        <f>VLOOKUP("Netapp Node 2 Name",'NetApp Info'!A3:C121,2,FALSE)</f>
        <v>netapp-02</v>
      </c>
      <c r="C8" t="s">
        <v>169</v>
      </c>
    </row>
    <row r="9" spans="1:8" x14ac:dyDescent="0.25">
      <c r="A9" s="4" t="s">
        <v>299</v>
      </c>
      <c r="B9" s="67" t="str">
        <f>VLOOKUP("Netapp Node 2 IP Address",'NetApp Info'!A3:C121,2,FALSE)</f>
        <v>192.168.20.12</v>
      </c>
      <c r="C9" t="s">
        <v>166</v>
      </c>
    </row>
    <row r="10" spans="1:8" x14ac:dyDescent="0.25">
      <c r="A10" s="4" t="s">
        <v>300</v>
      </c>
      <c r="B10" s="67" t="str">
        <f>VLOOKUP("Netapp Node 2 subnet mask",'NetApp Info'!A3:C121,2,FALSE)</f>
        <v>255.255.255.0</v>
      </c>
      <c r="C10" t="s">
        <v>167</v>
      </c>
    </row>
    <row r="11" spans="1:8" x14ac:dyDescent="0.25">
      <c r="A11" s="4" t="s">
        <v>301</v>
      </c>
      <c r="B11" s="67" t="str">
        <f>VLOOKUP("Cluster Name",'NetApp Info'!A3:C121,2,FALSE)</f>
        <v>netapp</v>
      </c>
      <c r="C11" t="s">
        <v>170</v>
      </c>
    </row>
    <row r="12" spans="1:8" x14ac:dyDescent="0.25">
      <c r="A12" s="4" t="s">
        <v>699</v>
      </c>
      <c r="B12" s="67" t="str">
        <f>VLOOKUP("Aggregate Name",'NetApp Info'!A3:C121,2,FALSE)</f>
        <v>aggr1</v>
      </c>
    </row>
    <row r="13" spans="1:8" x14ac:dyDescent="0.25">
      <c r="A13" s="4" t="s">
        <v>701</v>
      </c>
      <c r="B13" s="67" t="str">
        <f>VLOOKUP("VIF name",'NetApp Info'!A3:C121,2,FALSE)</f>
        <v>vif1</v>
      </c>
    </row>
    <row r="14" spans="1:8" x14ac:dyDescent="0.25">
      <c r="A14" s="4" t="s">
        <v>302</v>
      </c>
      <c r="B14" s="67" t="str">
        <f>VLOOKUP("Cluster Base License",'NetApp Info'!A3:C121,2,FALSE)</f>
        <v>SMKQROWJNQYQSDAAAAAAAAAAAAAA</v>
      </c>
      <c r="C14" t="s">
        <v>171</v>
      </c>
    </row>
    <row r="15" spans="1:8" x14ac:dyDescent="0.25">
      <c r="A15" s="4" t="s">
        <v>365</v>
      </c>
      <c r="B15" s="67" t="str">
        <f>VLOOKUP("Netapp Node 1 Flexclone License",'NetApp Info'!A3:C121,2,FALSE)</f>
        <v>ENHZFAFTVDDCMAXAGAAAAAAAAAAA</v>
      </c>
      <c r="C15" t="s">
        <v>375</v>
      </c>
    </row>
    <row r="16" spans="1:8" x14ac:dyDescent="0.25">
      <c r="A16" s="4" t="s">
        <v>366</v>
      </c>
      <c r="B16" s="67" t="str">
        <f>VLOOKUP("Netapp Node 1 FCP License",'NetApp Info'!A3:C121,2,FALSE)</f>
        <v>IJQRDAFTVDDCMAXAGAAAAAAAAAAA</v>
      </c>
      <c r="C16" t="s">
        <v>376</v>
      </c>
    </row>
    <row r="17" spans="1:3" x14ac:dyDescent="0.25">
      <c r="A17" s="4" t="s">
        <v>368</v>
      </c>
      <c r="B17" s="67" t="str">
        <f>VLOOKUP("Netapp Node 1 FCoE License",'NetApp Info'!A3:C121,2,FALSE)</f>
        <v>URNZKTJWOZNBBGXAGAAAAAAAAAAA</v>
      </c>
      <c r="C17" t="s">
        <v>378</v>
      </c>
    </row>
    <row r="18" spans="1:3" x14ac:dyDescent="0.25">
      <c r="A18" s="4" t="s">
        <v>369</v>
      </c>
      <c r="B18" s="67" t="str">
        <f>VLOOKUP("Netapp Node 1 NFS License",'NetApp Info'!A3:C121,2,FALSE)</f>
        <v>YZWYBAFTVDDCMAXAGAAAAAAAAAAA</v>
      </c>
      <c r="C18" t="s">
        <v>379</v>
      </c>
    </row>
    <row r="19" spans="1:3" x14ac:dyDescent="0.25">
      <c r="A19" s="4" t="s">
        <v>370</v>
      </c>
      <c r="B19" s="67" t="str">
        <f>VLOOKUP("Netapp Node 2 Flexclone License",'NetApp Info'!A3:C121,2,FALSE)</f>
        <v>CQCWNTJWOZNBBGXAGAAAAAAAAAAA</v>
      </c>
      <c r="C19" t="s">
        <v>380</v>
      </c>
    </row>
    <row r="20" spans="1:3" x14ac:dyDescent="0.25">
      <c r="A20" s="4" t="s">
        <v>371</v>
      </c>
      <c r="B20" s="67" t="str">
        <f>VLOOKUP("Netapp Node 2 FCP License",'NetApp Info'!A3:C121,2,FALSE)</f>
        <v>GMLOLTJWOZNBBGXAGAAAAAAAAAAA</v>
      </c>
      <c r="C20" t="s">
        <v>381</v>
      </c>
    </row>
    <row r="21" spans="1:3" x14ac:dyDescent="0.25">
      <c r="A21" s="4" t="s">
        <v>373</v>
      </c>
      <c r="B21" s="67" t="str">
        <f>VLOOKUP("Netapp Node 2 FCoE License",'NetApp Info'!A3:C121,2,FALSE)</f>
        <v>URNZKTJWOZNBBGXAGAAAAAAAAAAA</v>
      </c>
      <c r="C21" t="s">
        <v>383</v>
      </c>
    </row>
    <row r="22" spans="1:3" x14ac:dyDescent="0.25">
      <c r="A22" s="4" t="s">
        <v>374</v>
      </c>
      <c r="B22" s="67" t="str">
        <f>VLOOKUP("Netapp Node 2 NFS License",'NetApp Info'!A3:C121,2,FALSE)</f>
        <v>WCSVJTJWOZNBBGXAGAAAAAAAAAAA</v>
      </c>
      <c r="C22" t="s">
        <v>384</v>
      </c>
    </row>
    <row r="23" spans="1:3" x14ac:dyDescent="0.25">
      <c r="A23" s="4" t="s">
        <v>303</v>
      </c>
      <c r="B23" s="67" t="str">
        <f>VLOOKUP("Cluster Password",'NetApp Info'!A3:C121,2,FALSE)</f>
        <v>test1234</v>
      </c>
      <c r="C23" t="s">
        <v>172</v>
      </c>
    </row>
    <row r="24" spans="1:3" x14ac:dyDescent="0.25">
      <c r="A24" s="4" t="s">
        <v>304</v>
      </c>
      <c r="B24" s="67" t="str">
        <f>VLOOKUP("Cluster management IP address",'NetApp Info'!A3:C121,2,FALSE)</f>
        <v>192.168.20.10</v>
      </c>
      <c r="C24" t="s">
        <v>173</v>
      </c>
    </row>
    <row r="25" spans="1:3" x14ac:dyDescent="0.25">
      <c r="A25" s="4" t="s">
        <v>305</v>
      </c>
      <c r="B25" s="67" t="str">
        <f>VLOOKUP("Cluster Management Subnet Mask",'NetApp Info'!A3:C121,2,FALSE)</f>
        <v>255.255.255.0</v>
      </c>
      <c r="C25" t="s">
        <v>174</v>
      </c>
    </row>
    <row r="26" spans="1:3" x14ac:dyDescent="0.25">
      <c r="A26" s="4" t="s">
        <v>306</v>
      </c>
      <c r="B26" s="67" t="str">
        <f>VLOOKUP("Cluster Management Gateway",'NetApp Info'!A3:C121,2,FALSE)</f>
        <v>192.168.20.254</v>
      </c>
      <c r="C26" t="s">
        <v>175</v>
      </c>
    </row>
    <row r="27" spans="1:3" x14ac:dyDescent="0.25">
      <c r="A27" s="4" t="s">
        <v>307</v>
      </c>
      <c r="B27" s="67" t="str">
        <f>VLOOKUP("DNS Name",Questions!A1:F47,2,FALSE)</f>
        <v>test.local</v>
      </c>
      <c r="C27" t="s">
        <v>176</v>
      </c>
    </row>
    <row r="28" spans="1:3" x14ac:dyDescent="0.25">
      <c r="A28" s="4" t="s">
        <v>812</v>
      </c>
      <c r="B28" s="67" t="str">
        <f>VLOOKUP("DNS Server 1",Questions!A1:F47,2,FALSE)</f>
        <v>172.26.56.20</v>
      </c>
      <c r="C28" t="s">
        <v>177</v>
      </c>
    </row>
    <row r="29" spans="1:3" x14ac:dyDescent="0.25">
      <c r="A29" s="4" t="s">
        <v>811</v>
      </c>
      <c r="B29" s="67" t="str">
        <f>VLOOKUP("DNS Server 2",Questions!A2:F48,2,FALSE)</f>
        <v>172.26.56.1</v>
      </c>
      <c r="C29" t="s">
        <v>177</v>
      </c>
    </row>
    <row r="30" spans="1:3" x14ac:dyDescent="0.25">
      <c r="A30" s="4" t="s">
        <v>308</v>
      </c>
      <c r="B30" s="67" t="str">
        <f>VLOOKUP("SNMP Location",Questions!A1:F47,2,FALSE)</f>
        <v>Albany NY</v>
      </c>
      <c r="C30" t="s">
        <v>178</v>
      </c>
    </row>
    <row r="31" spans="1:3" x14ac:dyDescent="0.25">
      <c r="A31" s="4" t="s">
        <v>309</v>
      </c>
      <c r="B31" s="67" t="str">
        <f>VLOOKUP("Netapp Node 1 Name",'NetApp Info'!A3:C121,2,FALSE)</f>
        <v>netapp-01</v>
      </c>
      <c r="C31" t="s">
        <v>179</v>
      </c>
    </row>
    <row r="32" spans="1:3" x14ac:dyDescent="0.25">
      <c r="A32" s="4" t="s">
        <v>310</v>
      </c>
      <c r="B32" s="67" t="str">
        <f>VLOOKUP("Netapp Node 2 Name",'NetApp Info'!A3:C121,2,FALSE)</f>
        <v>netapp-02</v>
      </c>
      <c r="C32" t="s">
        <v>180</v>
      </c>
    </row>
    <row r="33" spans="1:5" x14ac:dyDescent="0.25">
      <c r="A33" s="4" t="s">
        <v>311</v>
      </c>
      <c r="B33" s="67">
        <f>VLOOKUP("Raid Size",'NetApp Info'!A3:C121,2,FALSE)</f>
        <v>16</v>
      </c>
      <c r="C33" t="s">
        <v>181</v>
      </c>
    </row>
    <row r="34" spans="1:5" x14ac:dyDescent="0.25">
      <c r="A34" s="4" t="s">
        <v>312</v>
      </c>
      <c r="B34" s="67">
        <f>VLOOKUP("Number of Aggregate Disks ",'NetApp Info'!A3:C121,2,FALSE)</f>
        <v>14</v>
      </c>
      <c r="C34" t="s">
        <v>182</v>
      </c>
    </row>
    <row r="35" spans="1:5" x14ac:dyDescent="0.25">
      <c r="A35" s="4" t="s">
        <v>313</v>
      </c>
      <c r="B35" s="67" t="str">
        <f>VLOOKUP("Netapp Node 1 Serice Processor IP",'NetApp Info'!A3:C121,2,FALSE)</f>
        <v>192.168.21.11</v>
      </c>
      <c r="C35" t="s">
        <v>183</v>
      </c>
    </row>
    <row r="36" spans="1:5" x14ac:dyDescent="0.25">
      <c r="A36" s="4" t="s">
        <v>314</v>
      </c>
      <c r="B36" s="67" t="str">
        <f>VLOOKUP("Netapp Node 1 Serice Processor Subnet Mask",'NetApp Info'!A3:C121,2,FALSE)</f>
        <v>255.255.255.0</v>
      </c>
      <c r="C36" t="s">
        <v>166</v>
      </c>
      <c r="E36" s="3"/>
    </row>
    <row r="37" spans="1:5" x14ac:dyDescent="0.25">
      <c r="A37" s="4" t="s">
        <v>315</v>
      </c>
      <c r="B37" s="67" t="str">
        <f>VLOOKUP("Netapp Node 1 Serice Processor gateway",'NetApp Info'!A3:C121,2,FALSE)</f>
        <v>192.168.21.254</v>
      </c>
      <c r="C37" t="s">
        <v>167</v>
      </c>
    </row>
    <row r="38" spans="1:5" x14ac:dyDescent="0.25">
      <c r="A38" s="4" t="s">
        <v>316</v>
      </c>
      <c r="B38" s="67" t="str">
        <f>VLOOKUP("Netapp Node 2 Serice Processor IP",'NetApp Info'!A3:C121,2,FALSE)</f>
        <v>192.168.21.12</v>
      </c>
      <c r="C38" t="s">
        <v>184</v>
      </c>
    </row>
    <row r="39" spans="1:5" x14ac:dyDescent="0.25">
      <c r="A39" s="4" t="s">
        <v>317</v>
      </c>
      <c r="B39" s="67" t="str">
        <f>VLOOKUP("Netapp Node 2 Serice Processor Subnet Mask",'NetApp Info'!A3:C121,2,FALSE)</f>
        <v>255.255.255.0</v>
      </c>
      <c r="C39" t="s">
        <v>166</v>
      </c>
    </row>
    <row r="40" spans="1:5" x14ac:dyDescent="0.25">
      <c r="A40" s="4" t="s">
        <v>318</v>
      </c>
      <c r="B40" s="67" t="str">
        <f>VLOOKUP("Netapp Node 2 Serice Processor gateway",'NetApp Info'!A3:C121,2,FALSE)</f>
        <v>192.168.21.254</v>
      </c>
      <c r="C40" t="s">
        <v>167</v>
      </c>
    </row>
    <row r="41" spans="1:5" x14ac:dyDescent="0.25">
      <c r="A41" s="4" t="s">
        <v>386</v>
      </c>
      <c r="B41" s="67" t="str">
        <f>VLOOKUP("Timezone",Questions!A1:F47,2,FALSE)</f>
        <v>EST5EDT</v>
      </c>
      <c r="C41" t="s">
        <v>185</v>
      </c>
    </row>
    <row r="42" spans="1:5" x14ac:dyDescent="0.25">
      <c r="A42" s="4" t="s">
        <v>696</v>
      </c>
      <c r="B42" s="67" t="str">
        <f>VLOOKUP("NTP Server 1",Questions!A1:F47,2,FALSE)</f>
        <v>172.26.56.20</v>
      </c>
      <c r="C42" t="s">
        <v>186</v>
      </c>
    </row>
    <row r="43" spans="1:5" x14ac:dyDescent="0.25">
      <c r="A43" s="4" t="s">
        <v>697</v>
      </c>
      <c r="B43" s="67" t="str">
        <f>VLOOKUP("NTP Server 2",Questions!A1:F47,2,FALSE)</f>
        <v>172.26.56.10</v>
      </c>
      <c r="C43" t="s">
        <v>186</v>
      </c>
    </row>
    <row r="44" spans="1:5" x14ac:dyDescent="0.25">
      <c r="A44" s="4" t="s">
        <v>319</v>
      </c>
      <c r="B44" s="67" t="str">
        <f>VLOOKUP("SNMP Contact",Questions!A1:F47,2,FALSE)</f>
        <v>test@test.local</v>
      </c>
      <c r="C44" t="s">
        <v>187</v>
      </c>
    </row>
    <row r="45" spans="1:5" x14ac:dyDescent="0.25">
      <c r="A45" s="4" t="s">
        <v>320</v>
      </c>
      <c r="B45" s="67" t="str">
        <f>VLOOKUP("SNMP Location",Questions!A1:F47,2,FALSE)</f>
        <v>Albany NY</v>
      </c>
      <c r="C45" t="s">
        <v>188</v>
      </c>
    </row>
    <row r="46" spans="1:5" x14ac:dyDescent="0.25">
      <c r="A46" s="4" t="s">
        <v>321</v>
      </c>
      <c r="B46" s="67" t="str">
        <f>VLOOKUP("Oncommand FQDN",'NetApp Info'!A3:C121,2,FALSE)</f>
        <v>oncommand.test.local</v>
      </c>
      <c r="C46" t="s">
        <v>189</v>
      </c>
    </row>
    <row r="47" spans="1:5" x14ac:dyDescent="0.25">
      <c r="A47" s="4" t="s">
        <v>322</v>
      </c>
      <c r="B47" s="67" t="str">
        <f>VLOOKUP("SNMP Community",Questions!A1:F47,2,FALSE)</f>
        <v>public</v>
      </c>
      <c r="C47" t="s">
        <v>190</v>
      </c>
    </row>
    <row r="48" spans="1:5" x14ac:dyDescent="0.25">
      <c r="A48" s="4" t="s">
        <v>323</v>
      </c>
      <c r="B48" s="67" t="str">
        <f>VLOOKUP("Mail host",Questions!A1:F47,2,FALSE)</f>
        <v>mail.test.local</v>
      </c>
      <c r="C48" t="s">
        <v>191</v>
      </c>
    </row>
    <row r="49" spans="1:3" x14ac:dyDescent="0.25">
      <c r="A49" s="4" t="s">
        <v>324</v>
      </c>
      <c r="B49" s="67" t="str">
        <f>VLOOKUP("Storage Admin Email",'NetApp Info'!A3:C121,2,FALSE)</f>
        <v>admin@test.local</v>
      </c>
      <c r="C49" t="s">
        <v>187</v>
      </c>
    </row>
    <row r="50" spans="1:3" x14ac:dyDescent="0.25">
      <c r="A50" s="4" t="s">
        <v>325</v>
      </c>
      <c r="B50" s="67" t="str">
        <f>VLOOKUP("Vserver Common Name",'NetApp Info'!A3:C121,2,FALSE)</f>
        <v>cn=vserver,dc=test,dc=local</v>
      </c>
      <c r="C50" t="s">
        <v>192</v>
      </c>
    </row>
    <row r="51" spans="1:3" x14ac:dyDescent="0.25">
      <c r="A51" s="4" t="s">
        <v>326</v>
      </c>
      <c r="B51" s="67" t="str">
        <f>VLOOKUP("Two Letter Country code",Questions!A1:F47,2,FALSE)</f>
        <v>us</v>
      </c>
      <c r="C51" t="s">
        <v>193</v>
      </c>
    </row>
    <row r="52" spans="1:3" x14ac:dyDescent="0.25">
      <c r="A52" s="4" t="s">
        <v>327</v>
      </c>
      <c r="B52" s="67" t="str">
        <f>VLOOKUP("State",Questions!A1:F47,2,FALSE)</f>
        <v>NY</v>
      </c>
      <c r="C52" t="s">
        <v>194</v>
      </c>
    </row>
    <row r="53" spans="1:3" x14ac:dyDescent="0.25">
      <c r="A53" s="4" t="s">
        <v>328</v>
      </c>
      <c r="B53" s="67" t="str">
        <f>VLOOKUP("City Name",Questions!A1:F47,2,FALSE)</f>
        <v>Albany</v>
      </c>
      <c r="C53" t="s">
        <v>195</v>
      </c>
    </row>
    <row r="54" spans="1:3" x14ac:dyDescent="0.25">
      <c r="A54" s="4" t="s">
        <v>329</v>
      </c>
      <c r="B54" s="67" t="str">
        <f>VLOOKUP("Organization Name",Questions!A1:F47,2,FALSE)</f>
        <v>Test</v>
      </c>
      <c r="C54" t="s">
        <v>196</v>
      </c>
    </row>
    <row r="55" spans="1:3" x14ac:dyDescent="0.25">
      <c r="A55" s="4" t="s">
        <v>330</v>
      </c>
      <c r="B55" s="67" t="str">
        <f>VLOOKUP("Organization Unit Name",Questions!A1:F47,2,FALSE)</f>
        <v>IT</v>
      </c>
      <c r="C55" t="s">
        <v>197</v>
      </c>
    </row>
    <row r="56" spans="1:3" x14ac:dyDescent="0.25">
      <c r="A56" s="4" t="s">
        <v>331</v>
      </c>
      <c r="B56" s="67" t="str">
        <f>VLOOKUP("Cluster Common Name",'NetApp Info'!A3:C121,2,FALSE)</f>
        <v>cn=netapp,dc=test,dc=local</v>
      </c>
      <c r="C56" t="s">
        <v>247</v>
      </c>
    </row>
    <row r="57" spans="1:3" x14ac:dyDescent="0.25">
      <c r="A57" s="4" t="s">
        <v>332</v>
      </c>
      <c r="B57" s="67" t="str">
        <f>VLOOKUP("Netapp Node 1 Common Name",'NetApp Info'!A3:C117,2,FALSE)</f>
        <v>cn=node1,dc=test,dc=local</v>
      </c>
      <c r="C57" t="s">
        <v>198</v>
      </c>
    </row>
    <row r="58" spans="1:3" x14ac:dyDescent="0.25">
      <c r="A58" s="4" t="s">
        <v>333</v>
      </c>
      <c r="B58" s="67" t="str">
        <f>VLOOKUP("Netapp Node 2 Common Name",'NetApp Info'!A3:C117,2,FALSE)</f>
        <v>cn=node2,dc=test,dc=local</v>
      </c>
      <c r="C58" t="s">
        <v>248</v>
      </c>
    </row>
    <row r="59" spans="1:3" x14ac:dyDescent="0.25">
      <c r="A59" s="4" t="s">
        <v>334</v>
      </c>
      <c r="B59" s="67">
        <v>1</v>
      </c>
      <c r="C59" t="s">
        <v>199</v>
      </c>
    </row>
    <row r="60" spans="1:3" x14ac:dyDescent="0.25">
      <c r="A60" s="4" t="s">
        <v>335</v>
      </c>
      <c r="B60" s="67" t="str">
        <f>VLOOKUP("Netapp Node 1 NFS LIF IP address",'NetApp Info'!A3:C121,2,FALSE)</f>
        <v>192.168.22.1</v>
      </c>
      <c r="C60" t="s">
        <v>200</v>
      </c>
    </row>
    <row r="61" spans="1:3" x14ac:dyDescent="0.25">
      <c r="A61" s="4" t="s">
        <v>336</v>
      </c>
      <c r="B61" s="67" t="str">
        <f>VLOOKUP("Netapp Node 1 NFS LIF Subnet Mask",'NetApp Info'!A3:C121,2,FALSE)</f>
        <v>255.255.255.0</v>
      </c>
      <c r="C61" t="s">
        <v>202</v>
      </c>
    </row>
    <row r="62" spans="1:3" x14ac:dyDescent="0.25">
      <c r="A62" s="4" t="s">
        <v>337</v>
      </c>
      <c r="B62" s="67" t="str">
        <f>VLOOKUP("Netapp Node 2 NFS LIF IP address",'NetApp Info'!A3:C121,2,FALSE)</f>
        <v>192.168.22.2</v>
      </c>
      <c r="C62" t="s">
        <v>201</v>
      </c>
    </row>
    <row r="63" spans="1:3" x14ac:dyDescent="0.25">
      <c r="A63" s="4" t="s">
        <v>338</v>
      </c>
      <c r="B63" s="67" t="str">
        <f>VLOOKUP("Netapp Node 2 NFS LIF Subnet Mask",'NetApp Info'!A3:C121,2,FALSE)</f>
        <v>255.255.255.0</v>
      </c>
      <c r="C63" t="s">
        <v>202</v>
      </c>
    </row>
    <row r="64" spans="1:3" x14ac:dyDescent="0.25">
      <c r="A64" s="4" t="s">
        <v>387</v>
      </c>
      <c r="B64" s="67" t="str">
        <f>VLOOKUP("Nexus A Hostname",'Nexus Info'!A3:C111,2,FALSE)</f>
        <v>NexusA</v>
      </c>
      <c r="C64" t="s">
        <v>203</v>
      </c>
    </row>
    <row r="65" spans="1:3" x14ac:dyDescent="0.25">
      <c r="A65" s="4" t="s">
        <v>388</v>
      </c>
      <c r="B65" s="67" t="str">
        <f>VLOOKUP("Nexus A Management IP Address",'Nexus Info'!A3:C111,2,FALSE)</f>
        <v>192.168.10.1</v>
      </c>
      <c r="C65" t="s">
        <v>204</v>
      </c>
    </row>
    <row r="66" spans="1:3" x14ac:dyDescent="0.25">
      <c r="A66" s="4" t="s">
        <v>389</v>
      </c>
      <c r="B66" s="67" t="str">
        <f>VLOOKUP("Nexus A Management Subnet Mask",'Nexus Info'!A3:C111,2,FALSE)</f>
        <v>255.255.255.0</v>
      </c>
      <c r="C66" t="s">
        <v>166</v>
      </c>
    </row>
    <row r="67" spans="1:3" x14ac:dyDescent="0.25">
      <c r="A67" s="4" t="s">
        <v>390</v>
      </c>
      <c r="B67" s="67" t="str">
        <f>VLOOKUP("Nexus A Management Gateway",'Nexus Info'!A3:C111,2,FALSE)</f>
        <v>192.168.10.254</v>
      </c>
      <c r="C67" t="s">
        <v>167</v>
      </c>
    </row>
    <row r="68" spans="1:3" x14ac:dyDescent="0.25">
      <c r="A68" s="4" t="s">
        <v>391</v>
      </c>
      <c r="B68" s="67" t="str">
        <f>VLOOKUP("Nexus B Hostname",'Nexus Info'!A3:C111,2,FALSE)</f>
        <v>NexusB</v>
      </c>
      <c r="C68" t="s">
        <v>205</v>
      </c>
    </row>
    <row r="69" spans="1:3" x14ac:dyDescent="0.25">
      <c r="A69" s="4" t="s">
        <v>392</v>
      </c>
      <c r="B69" s="67" t="str">
        <f>VLOOKUP("Nexus B Management IP Address",'Nexus Info'!A3:C111,2,FALSE)</f>
        <v>192.168.10.2</v>
      </c>
      <c r="C69" t="s">
        <v>206</v>
      </c>
    </row>
    <row r="70" spans="1:3" x14ac:dyDescent="0.25">
      <c r="A70" s="4" t="s">
        <v>393</v>
      </c>
      <c r="B70" s="67" t="str">
        <f>VLOOKUP("Nexus B Management Subnet Mask",'Nexus Info'!A3:C111,2,FALSE)</f>
        <v>255.255.255.0</v>
      </c>
      <c r="C70" t="s">
        <v>166</v>
      </c>
    </row>
    <row r="71" spans="1:3" x14ac:dyDescent="0.25">
      <c r="A71" s="4" t="s">
        <v>394</v>
      </c>
      <c r="B71" s="67" t="str">
        <f>VLOOKUP("Nexus B Management Gateway",'Nexus Info'!A3:C111,2,FALSE)</f>
        <v>192.168.10.254</v>
      </c>
      <c r="C71" t="s">
        <v>167</v>
      </c>
    </row>
    <row r="72" spans="1:3" x14ac:dyDescent="0.25">
      <c r="A72" s="4" t="s">
        <v>760</v>
      </c>
      <c r="B72" s="67" t="str">
        <f>VLOOKUP("inband Management VLAN Name",'Nexus Info'!A3:C111,2,FALSE)</f>
        <v>Mgmt</v>
      </c>
    </row>
    <row r="73" spans="1:3" x14ac:dyDescent="0.25">
      <c r="A73" s="4" t="s">
        <v>395</v>
      </c>
      <c r="B73" s="67">
        <f>VLOOKUP("inband Management VLAN ID",'Nexus Info'!A3:C111,2,FALSE)</f>
        <v>3175</v>
      </c>
      <c r="C73" t="s">
        <v>207</v>
      </c>
    </row>
    <row r="74" spans="1:3" x14ac:dyDescent="0.25">
      <c r="A74" s="4" t="s">
        <v>761</v>
      </c>
      <c r="B74" s="67" t="str">
        <f>VLOOKUP("Native VLAN Name",'Nexus Info'!A3:C111,2,FALSE)</f>
        <v>Native</v>
      </c>
    </row>
    <row r="75" spans="1:3" x14ac:dyDescent="0.25">
      <c r="A75" s="4" t="s">
        <v>396</v>
      </c>
      <c r="B75" s="67">
        <f>VLOOKUP("Native VLAN ID",'Nexus Info'!A3:C111,2,FALSE)</f>
        <v>99</v>
      </c>
      <c r="C75" t="s">
        <v>208</v>
      </c>
    </row>
    <row r="76" spans="1:3" x14ac:dyDescent="0.25">
      <c r="A76" s="4" t="s">
        <v>762</v>
      </c>
      <c r="B76" s="67" t="str">
        <f>VLOOKUP("NFS VLAN Name",'Nexus Info'!A3:C111,2,FALSE)</f>
        <v>NFS</v>
      </c>
    </row>
    <row r="77" spans="1:3" x14ac:dyDescent="0.25">
      <c r="A77" s="4" t="s">
        <v>397</v>
      </c>
      <c r="B77" s="67">
        <f>VLOOKUP("NFS VLAN ID",'Nexus Info'!A3:C111,2,FALSE)</f>
        <v>3170</v>
      </c>
      <c r="C77" t="s">
        <v>209</v>
      </c>
    </row>
    <row r="78" spans="1:3" x14ac:dyDescent="0.25">
      <c r="A78" s="4" t="s">
        <v>763</v>
      </c>
      <c r="B78" s="67" t="str">
        <f>VLOOKUP("Packet Control VLAN Name",'Nexus Info'!A3:C111,2,FALSE)</f>
        <v>PacketControl</v>
      </c>
    </row>
    <row r="79" spans="1:3" x14ac:dyDescent="0.25">
      <c r="A79" s="4" t="s">
        <v>398</v>
      </c>
      <c r="B79" s="67">
        <f>VLOOKUP("Packet Control VLAN ID",'Nexus Info'!A3:C111,2,FALSE)</f>
        <v>3176</v>
      </c>
      <c r="C79" t="s">
        <v>210</v>
      </c>
    </row>
    <row r="80" spans="1:3" x14ac:dyDescent="0.25">
      <c r="A80" s="4" t="s">
        <v>764</v>
      </c>
      <c r="B80" s="67" t="str">
        <f>VLOOKUP("vMotion VLAN Name",'Nexus Info'!A3:C111,2,FALSE)</f>
        <v>vMotion</v>
      </c>
    </row>
    <row r="81" spans="1:3" x14ac:dyDescent="0.25">
      <c r="A81" s="4" t="s">
        <v>399</v>
      </c>
      <c r="B81" s="67">
        <f>VLOOKUP("vMotion VLAN ID",'Nexus Info'!A3:C111,2,FALSE)</f>
        <v>3173</v>
      </c>
      <c r="C81" t="s">
        <v>211</v>
      </c>
    </row>
    <row r="82" spans="1:3" x14ac:dyDescent="0.25">
      <c r="A82" s="4" t="s">
        <v>765</v>
      </c>
      <c r="B82" s="67" t="str">
        <f>VLOOKUP("VM Traffic VLAN Name",'Nexus Info'!A3:C111,2,FALSE)</f>
        <v>Server</v>
      </c>
    </row>
    <row r="83" spans="1:3" x14ac:dyDescent="0.25">
      <c r="A83" s="4" t="s">
        <v>400</v>
      </c>
      <c r="B83" s="67">
        <f>VLOOKUP("VM Traffic VLAN",'Nexus Info'!A3:C111,2,FALSE)</f>
        <v>3174</v>
      </c>
      <c r="C83" t="s">
        <v>212</v>
      </c>
    </row>
    <row r="84" spans="1:3" x14ac:dyDescent="0.25">
      <c r="A84" s="4" t="s">
        <v>401</v>
      </c>
      <c r="B84" s="67">
        <f>VLOOKUP("VPC Domain ID",'Nexus Info'!A3:C111,2,FALSE)</f>
        <v>10</v>
      </c>
      <c r="C84" t="s">
        <v>213</v>
      </c>
    </row>
    <row r="85" spans="1:3" x14ac:dyDescent="0.25">
      <c r="A85" s="4" t="s">
        <v>782</v>
      </c>
      <c r="B85" s="67" t="str">
        <f>VLOOKUP("Nexus 1000v A Hostname",'1000v Info'!A3:C111,2,FALSE)</f>
        <v>NX-1000v-A</v>
      </c>
      <c r="C85" t="s">
        <v>214</v>
      </c>
    </row>
    <row r="86" spans="1:3" x14ac:dyDescent="0.25">
      <c r="A86" s="4" t="s">
        <v>781</v>
      </c>
      <c r="B86" s="67" t="str">
        <f>VLOOKUP("Nexus 1000v B Hostname",'1000v Info'!A3:C111,2,FALSE)</f>
        <v>NX-1000v-B</v>
      </c>
      <c r="C86" t="s">
        <v>215</v>
      </c>
    </row>
    <row r="87" spans="1:3" x14ac:dyDescent="0.25">
      <c r="A87" s="4" t="s">
        <v>766</v>
      </c>
      <c r="B87" s="67" t="str">
        <f>VLOOKUP("FCoE A VLAN Name",'Nexus Info'!A3:C111,2,FALSE)</f>
        <v>FCoE-A</v>
      </c>
    </row>
    <row r="88" spans="1:3" x14ac:dyDescent="0.25">
      <c r="A88" s="4" t="s">
        <v>402</v>
      </c>
      <c r="B88" s="67">
        <f>VLOOKUP("FCoE A VLAN ID",'Nexus Info'!A3:C111,2,FALSE)</f>
        <v>101</v>
      </c>
      <c r="C88" t="s">
        <v>216</v>
      </c>
    </row>
    <row r="89" spans="1:3" x14ac:dyDescent="0.25">
      <c r="A89" s="4" t="s">
        <v>767</v>
      </c>
      <c r="B89" s="67" t="str">
        <f>VLOOKUP("VSAN A Name",'Nexus Info'!A3:C111,2,FALSE)</f>
        <v>VSAN-A</v>
      </c>
    </row>
    <row r="90" spans="1:3" x14ac:dyDescent="0.25">
      <c r="A90" s="4" t="s">
        <v>403</v>
      </c>
      <c r="B90" s="67">
        <f>VLOOKUP("VSAN A ID",'Nexus Info'!A3:C111,2,FALSE)</f>
        <v>101</v>
      </c>
      <c r="C90" t="s">
        <v>217</v>
      </c>
    </row>
    <row r="91" spans="1:3" x14ac:dyDescent="0.25">
      <c r="A91" s="4" t="s">
        <v>768</v>
      </c>
      <c r="B91" s="67" t="str">
        <f>VLOOKUP("FCoE B VLAN Name",'Nexus Info'!A3:C111,2,FALSE)</f>
        <v>FCoE-B</v>
      </c>
    </row>
    <row r="92" spans="1:3" x14ac:dyDescent="0.25">
      <c r="A92" s="4" t="s">
        <v>404</v>
      </c>
      <c r="B92" s="67">
        <f>VLOOKUP("FCoE B VLAN ID",'Nexus Info'!A3:C111,2,FALSE)</f>
        <v>102</v>
      </c>
      <c r="C92" t="s">
        <v>218</v>
      </c>
    </row>
    <row r="93" spans="1:3" x14ac:dyDescent="0.25">
      <c r="A93" s="4" t="s">
        <v>769</v>
      </c>
      <c r="B93" s="67" t="str">
        <f>VLOOKUP("VSAN B Name",'Nexus Info'!A3:C111,2,FALSE)</f>
        <v>VSAN-B</v>
      </c>
    </row>
    <row r="94" spans="1:3" x14ac:dyDescent="0.25">
      <c r="A94" s="4" t="s">
        <v>405</v>
      </c>
      <c r="B94" s="67">
        <f>VLOOKUP("VSAN B ID",'Nexus Info'!A3:C111,2,FALSE)</f>
        <v>102</v>
      </c>
      <c r="C94" t="s">
        <v>219</v>
      </c>
    </row>
    <row r="95" spans="1:3" x14ac:dyDescent="0.25">
      <c r="A95" s="4" t="s">
        <v>339</v>
      </c>
      <c r="B95" s="67" t="str">
        <f>VLOOKUP("UCS Clustername",'UCS Info'!A3:C121,2,FALSE)</f>
        <v>UCS1</v>
      </c>
      <c r="C95" t="s">
        <v>220</v>
      </c>
    </row>
    <row r="96" spans="1:3" x14ac:dyDescent="0.25">
      <c r="A96" s="4" t="s">
        <v>340</v>
      </c>
      <c r="B96" s="67" t="str">
        <f>VLOOKUP("UCS Fabic Interconnect A Management IP",'UCS Info'!A3:C111,2,FALSE)</f>
        <v>172.26.56.101</v>
      </c>
      <c r="C96" t="s">
        <v>221</v>
      </c>
    </row>
    <row r="97" spans="1:3" x14ac:dyDescent="0.25">
      <c r="A97" s="4" t="s">
        <v>341</v>
      </c>
      <c r="B97" s="67" t="str">
        <f>VLOOKUP("UCSM Mgmt IP Subnet Mask",'UCS Info'!A3:C121,2,FALSE)</f>
        <v>255.255.255.0</v>
      </c>
      <c r="C97" t="s">
        <v>166</v>
      </c>
    </row>
    <row r="98" spans="1:3" x14ac:dyDescent="0.25">
      <c r="A98" s="4" t="s">
        <v>342</v>
      </c>
      <c r="B98" s="67" t="str">
        <f>VLOOKUP("UCSM Mgmt IP Gateway",'UCS Info'!A3:C121,2,FALSE)</f>
        <v>172.26.56.1</v>
      </c>
      <c r="C98" t="s">
        <v>167</v>
      </c>
    </row>
    <row r="99" spans="1:3" x14ac:dyDescent="0.25">
      <c r="A99" s="4" t="s">
        <v>344</v>
      </c>
      <c r="B99" s="67" t="str">
        <f>VLOOKUP("UCS Fabic Interconnect B Management IP",'UCS Info'!A3:C111,2,FALSE)</f>
        <v>172.26.56.102</v>
      </c>
      <c r="C99" t="s">
        <v>223</v>
      </c>
    </row>
    <row r="100" spans="1:3" x14ac:dyDescent="0.25">
      <c r="A100" s="4" t="s">
        <v>995</v>
      </c>
      <c r="B100" s="67" t="str">
        <f>VLOOKUP("UCSM Mgmt IP Subnet Mask",'UCS Info'!A3:C124,2,FALSE)</f>
        <v>255.255.255.0</v>
      </c>
      <c r="C100" t="s">
        <v>166</v>
      </c>
    </row>
    <row r="101" spans="1:3" x14ac:dyDescent="0.25">
      <c r="A101" s="4" t="s">
        <v>996</v>
      </c>
      <c r="B101" s="67" t="str">
        <f>VLOOKUP("UCSM Mgmt IP Gateway",'UCS Info'!A3:C124,2,FALSE)</f>
        <v>172.26.56.1</v>
      </c>
      <c r="C101" t="s">
        <v>167</v>
      </c>
    </row>
    <row r="102" spans="1:3" x14ac:dyDescent="0.25">
      <c r="A102" s="4" t="s">
        <v>343</v>
      </c>
      <c r="B102" s="67" t="str">
        <f>VLOOKUP("UCSM Mgmt VIP",'UCS Info'!A3:C121,2,FALSE)</f>
        <v>172.26.56.5</v>
      </c>
      <c r="C102" t="s">
        <v>222</v>
      </c>
    </row>
    <row r="103" spans="1:3" x14ac:dyDescent="0.25">
      <c r="A103" s="4" t="s">
        <v>779</v>
      </c>
      <c r="B103" s="67" t="str">
        <f>VLOOKUP("Nexus 1000v A CIMC IP Address",'1000v Info'!A3:C111,2,FALSE)</f>
        <v>192.168.11.11</v>
      </c>
      <c r="C103" t="s">
        <v>224</v>
      </c>
    </row>
    <row r="104" spans="1:3" x14ac:dyDescent="0.25">
      <c r="A104" s="4" t="s">
        <v>780</v>
      </c>
      <c r="B104" s="67" t="str">
        <f>VLOOKUP("Nexus 1000v B CIMC IP Address",'1000v Info'!A3:C111,2,FALSE)</f>
        <v>192.168.11.12</v>
      </c>
      <c r="C104" t="s">
        <v>224</v>
      </c>
    </row>
    <row r="105" spans="1:3" x14ac:dyDescent="0.25">
      <c r="A105" s="4" t="s">
        <v>345</v>
      </c>
      <c r="B105" s="67" t="str">
        <f>VLOOKUP("Nexus 1000v CIMC subnet Mask",'1000v Info'!A3:C111,2,FALSE)</f>
        <v>255.255.255.0</v>
      </c>
      <c r="C105" t="s">
        <v>166</v>
      </c>
    </row>
    <row r="106" spans="1:3" x14ac:dyDescent="0.25">
      <c r="A106" s="4" t="s">
        <v>346</v>
      </c>
      <c r="B106" s="67" t="str">
        <f>VLOOKUP("Nexus 1000v CIMC Gateway",'1000v Info'!A3:C111,2,FALSE)</f>
        <v>192.168.11.254</v>
      </c>
      <c r="C106" t="s">
        <v>167</v>
      </c>
    </row>
    <row r="107" spans="1:3" x14ac:dyDescent="0.25">
      <c r="A107" s="4" t="s">
        <v>347</v>
      </c>
      <c r="B107" s="67">
        <f>VLOOKUP("Nexus 1000v VSA domain ID",'1000v Info'!A3:C111,2,FALSE)</f>
        <v>10</v>
      </c>
      <c r="C107" t="s">
        <v>225</v>
      </c>
    </row>
    <row r="108" spans="1:3" x14ac:dyDescent="0.25">
      <c r="A108" s="4" t="s">
        <v>348</v>
      </c>
      <c r="B108" s="67" t="str">
        <f>VLOOKUP("Nexus 1000v VSA Hostname",'1000v Info'!A3:C111,2,FALSE)</f>
        <v>VSA</v>
      </c>
      <c r="C108" t="s">
        <v>226</v>
      </c>
    </row>
    <row r="109" spans="1:3" x14ac:dyDescent="0.25">
      <c r="A109" s="4" t="s">
        <v>349</v>
      </c>
      <c r="B109" s="67" t="str">
        <f>VLOOKUP("Nexus 1000v VSA IP Address",'1000v Info'!A3:C111,2,FALSE)</f>
        <v>192.168.20.20</v>
      </c>
      <c r="C109" t="s">
        <v>227</v>
      </c>
    </row>
    <row r="110" spans="1:3" x14ac:dyDescent="0.25">
      <c r="A110" s="4" t="s">
        <v>350</v>
      </c>
      <c r="B110" s="67" t="str">
        <f>VLOOKUP("Nexus 1000v VSA Subnet Mask",'1000v Info'!A3:C111,2,FALSE)</f>
        <v>255.255.255.0</v>
      </c>
      <c r="C110" t="s">
        <v>228</v>
      </c>
    </row>
    <row r="111" spans="1:3" x14ac:dyDescent="0.25">
      <c r="A111" s="4" t="s">
        <v>351</v>
      </c>
      <c r="B111" s="67" t="str">
        <f>VLOOKUP("Nexus 1000v VSA Gateway",'1000v Info'!A3:C111,2,FALSE)</f>
        <v>192.168.20.254</v>
      </c>
      <c r="C111" t="s">
        <v>175</v>
      </c>
    </row>
    <row r="112" spans="1:3" x14ac:dyDescent="0.25">
      <c r="A112" s="4" t="s">
        <v>352</v>
      </c>
      <c r="B112" s="67">
        <f>VLOOKUP("Nexus 1000v VSM Domain ID",'1000v Info'!A3:C111,2,FALSE)</f>
        <v>10</v>
      </c>
      <c r="C112" t="s">
        <v>229</v>
      </c>
    </row>
    <row r="113" spans="1:3" x14ac:dyDescent="0.25">
      <c r="A113" s="4" t="s">
        <v>353</v>
      </c>
      <c r="B113" s="67" t="str">
        <f>VLOOKUP("Nexus 1000v VSM Management IP",'1000v Info'!A3:C111,2,FALSE)</f>
        <v>192.168.20.21</v>
      </c>
      <c r="C113" t="s">
        <v>230</v>
      </c>
    </row>
    <row r="114" spans="1:3" x14ac:dyDescent="0.25">
      <c r="A114" s="4" t="s">
        <v>354</v>
      </c>
      <c r="B114" s="67" t="str">
        <f>VLOOKUP("Nexus 1000v VSM Management Subnet Mask",'1000v Info'!A3:C111,2,FALSE)</f>
        <v>255.255.255.0</v>
      </c>
      <c r="C114" t="s">
        <v>228</v>
      </c>
    </row>
    <row r="115" spans="1:3" x14ac:dyDescent="0.25">
      <c r="A115" s="4" t="s">
        <v>355</v>
      </c>
      <c r="B115" s="67" t="str">
        <f>VLOOKUP("Nexus 1000v VSM Management Gateway",'1000v Info'!A3:C111,2,FALSE)</f>
        <v>192.168.20.254</v>
      </c>
      <c r="C115" t="s">
        <v>175</v>
      </c>
    </row>
    <row r="116" spans="1:3" x14ac:dyDescent="0.25">
      <c r="A116" s="4" t="s">
        <v>356</v>
      </c>
      <c r="B116" s="67" t="str">
        <f>VLOOKUP("Nexus 1000v VSM Management Hostname",'1000v Info'!A3:C111,2,FALSE)</f>
        <v>VSM</v>
      </c>
      <c r="C116" t="s">
        <v>231</v>
      </c>
    </row>
    <row r="117" spans="1:3" x14ac:dyDescent="0.25">
      <c r="A117" s="4" t="s">
        <v>992</v>
      </c>
      <c r="B117" s="67" t="str">
        <f>VLOOKUP("Vserver Name",'NetApp Info'!A3:C111,2,FALSE)</f>
        <v>vserver</v>
      </c>
      <c r="C117" t="s">
        <v>232</v>
      </c>
    </row>
    <row r="118" spans="1:3" x14ac:dyDescent="0.25">
      <c r="A118" s="4" t="s">
        <v>358</v>
      </c>
      <c r="B118" s="67" t="s">
        <v>700</v>
      </c>
      <c r="C118" t="s">
        <v>233</v>
      </c>
    </row>
    <row r="119" spans="1:3" x14ac:dyDescent="0.25">
      <c r="A119" s="4" t="s">
        <v>359</v>
      </c>
      <c r="B119" s="67">
        <v>1</v>
      </c>
      <c r="C119" t="s">
        <v>234</v>
      </c>
    </row>
    <row r="120" spans="1:3" x14ac:dyDescent="0.25">
      <c r="A120" s="4" t="s">
        <v>360</v>
      </c>
      <c r="B120" s="67" t="str">
        <f>VLOOKUP("DNS Name",Questions!A1:F47,2,FALSE)</f>
        <v>test.local</v>
      </c>
      <c r="C120" t="s">
        <v>235</v>
      </c>
    </row>
    <row r="121" spans="1:3" x14ac:dyDescent="0.25">
      <c r="A121" s="4" t="s">
        <v>695</v>
      </c>
      <c r="B121" s="67" t="str">
        <f>VLOOKUP("DNS Server 1",Questions!A1:F47,2,FALSE)</f>
        <v>172.26.56.20</v>
      </c>
      <c r="C121" t="s">
        <v>236</v>
      </c>
    </row>
    <row r="122" spans="1:3" x14ac:dyDescent="0.25">
      <c r="A122" s="4" t="s">
        <v>694</v>
      </c>
      <c r="B122" s="67" t="str">
        <f>VLOOKUP("DNS Server 2",Questions!A2:F48,2,FALSE)</f>
        <v>172.26.56.1</v>
      </c>
      <c r="C122" t="s">
        <v>236</v>
      </c>
    </row>
    <row r="123" spans="1:3" x14ac:dyDescent="0.25">
      <c r="A123" s="4" t="s">
        <v>704</v>
      </c>
      <c r="B123" s="67" t="str">
        <f>VLOOKUP("Vserver Admin Password",'NetApp Info'!A3:C111,2,FALSE)</f>
        <v>test1234</v>
      </c>
      <c r="C123" t="s">
        <v>237</v>
      </c>
    </row>
    <row r="124" spans="1:3" x14ac:dyDescent="0.25">
      <c r="A124" s="4" t="s">
        <v>702</v>
      </c>
      <c r="B124" s="67" t="str">
        <f>VLOOKUP("Vserver Management IP address",'NetApp Info'!A3:C111,2,FALSE)</f>
        <v>192.168.20.1</v>
      </c>
      <c r="C124" t="s">
        <v>238</v>
      </c>
    </row>
    <row r="125" spans="1:3" x14ac:dyDescent="0.25">
      <c r="A125" s="4" t="s">
        <v>703</v>
      </c>
      <c r="B125" s="67" t="str">
        <f>VLOOKUP("Vserver Management Subnet Mask",'NetApp Info'!A3:C111,2,FALSE)</f>
        <v>255.255.255.0</v>
      </c>
      <c r="C125" t="s">
        <v>239</v>
      </c>
    </row>
    <row r="126" spans="1:3" x14ac:dyDescent="0.25">
      <c r="A126" s="4" t="s">
        <v>988</v>
      </c>
      <c r="B126" s="67" t="str">
        <f>VLOOKUP("Vserver Management Gateway",'NetApp Info'!A3:C111,2,FALSE)</f>
        <v>192.168.20.254</v>
      </c>
      <c r="C126" t="s">
        <v>989</v>
      </c>
    </row>
    <row r="127" spans="1:3" x14ac:dyDescent="0.25">
      <c r="A127" s="4" t="s">
        <v>240</v>
      </c>
      <c r="B127" s="67">
        <v>1</v>
      </c>
      <c r="C127" t="s">
        <v>241</v>
      </c>
    </row>
    <row r="128" spans="1:3" x14ac:dyDescent="0.25">
      <c r="A128" s="4" t="s">
        <v>990</v>
      </c>
      <c r="B128" s="67" t="str">
        <f>VLOOKUP("FTP Server",Questions!A8:F54,2,FALSE)</f>
        <v>172.26.56.1</v>
      </c>
      <c r="C128" t="s">
        <v>242</v>
      </c>
    </row>
    <row r="129" spans="1:3" x14ac:dyDescent="0.25">
      <c r="A129" s="4" t="s">
        <v>817</v>
      </c>
      <c r="B129" s="67" t="str">
        <f>VLOOKUP("UCSM Mgmt IP Pool Start",'UCS Info'!A3:C121,2,FALSE)</f>
        <v>172.26.56.201</v>
      </c>
    </row>
    <row r="130" spans="1:3" x14ac:dyDescent="0.25">
      <c r="A130" s="4" t="s">
        <v>818</v>
      </c>
      <c r="B130" s="67" t="str">
        <f>VLOOKUP("UCSM Mgmt IP Pool Finish",'UCS Info'!A3:C121,2,FALSE)</f>
        <v>172.26.56.220</v>
      </c>
    </row>
    <row r="131" spans="1:3" x14ac:dyDescent="0.25">
      <c r="A131" s="4" t="s">
        <v>819</v>
      </c>
      <c r="B131" s="67">
        <f>VLOOKUP("Site ID Code",'UCS Info'!A3:C121,2,FALSE)</f>
        <v>1</v>
      </c>
    </row>
    <row r="132" spans="1:3" x14ac:dyDescent="0.25">
      <c r="A132" s="4" t="s">
        <v>820</v>
      </c>
      <c r="B132" s="67" t="str">
        <f>VLOOKUP("Site Description",'UCS Info'!A3:C121,2,FALSE)</f>
        <v>Test</v>
      </c>
    </row>
    <row r="133" spans="1:3" x14ac:dyDescent="0.25">
      <c r="A133" s="4" t="s">
        <v>821</v>
      </c>
      <c r="B133" s="67">
        <f>VLOOKUP("Pod ID",'UCS Info'!A3:C121,2,FALSE)</f>
        <v>1</v>
      </c>
    </row>
    <row r="134" spans="1:3" x14ac:dyDescent="0.25">
      <c r="A134" s="4" t="s">
        <v>822</v>
      </c>
      <c r="B134" s="67" t="str">
        <f>VLOOKUP("Pod Description",'UCS Info'!A3:C121,2,FALSE)</f>
        <v>test</v>
      </c>
    </row>
    <row r="135" spans="1:3" x14ac:dyDescent="0.25">
      <c r="A135" s="4" t="s">
        <v>823</v>
      </c>
      <c r="B135" s="67" t="str">
        <f>VLOOKUP("UUID Pool Name",'UCS Info'!A3:C121,2,FALSE)</f>
        <v>Pool1</v>
      </c>
    </row>
    <row r="136" spans="1:3" x14ac:dyDescent="0.25">
      <c r="A136" s="4" t="s">
        <v>824</v>
      </c>
      <c r="B136" s="67" t="str">
        <f>VLOOKUP("MAC Pool ESXi Mgmt Name",'UCS Info'!A3:C121,2,FALSE)</f>
        <v>ESXi_Mgmt</v>
      </c>
    </row>
    <row r="137" spans="1:3" x14ac:dyDescent="0.25">
      <c r="A137" s="4" t="s">
        <v>825</v>
      </c>
      <c r="B137" s="67" t="str">
        <f>VLOOKUP("MAC Pool ESXi Mgmt ID",'UCS Info'!A3:C121,2,FALSE)</f>
        <v>01</v>
      </c>
    </row>
    <row r="138" spans="1:3" x14ac:dyDescent="0.25">
      <c r="A138" s="4" t="s">
        <v>826</v>
      </c>
      <c r="B138" s="67" t="str">
        <f>VLOOKUP("MAC Pool vMotion Name",'UCS Info'!A3:C121,2,FALSE)</f>
        <v>vMotion</v>
      </c>
    </row>
    <row r="139" spans="1:3" x14ac:dyDescent="0.25">
      <c r="A139" s="4" t="s">
        <v>827</v>
      </c>
      <c r="B139" s="67" t="str">
        <f>VLOOKUP("MAC Pool vMotion ID",'UCS Info'!A3:C121,2,FALSE)</f>
        <v>02</v>
      </c>
    </row>
    <row r="140" spans="1:3" x14ac:dyDescent="0.25">
      <c r="A140" s="4" t="s">
        <v>828</v>
      </c>
      <c r="B140" s="67" t="str">
        <f>VLOOKUP("MAC Pool Storage Access Name",'UCS Info'!A3:C121,2,FALSE)</f>
        <v>NFS</v>
      </c>
      <c r="C140" t="s">
        <v>832</v>
      </c>
    </row>
    <row r="141" spans="1:3" x14ac:dyDescent="0.25">
      <c r="A141" s="4" t="s">
        <v>829</v>
      </c>
      <c r="B141" s="67" t="str">
        <f>VLOOKUP("MAC Pool Storage Access ID",'UCS Info'!A3:C121,2,FALSE)</f>
        <v>03</v>
      </c>
      <c r="C141" t="s">
        <v>832</v>
      </c>
    </row>
    <row r="142" spans="1:3" x14ac:dyDescent="0.25">
      <c r="A142" s="4" t="s">
        <v>830</v>
      </c>
      <c r="B142" s="67" t="str">
        <f>VLOOKUP("MAC Pool VM Traffic #1 Name",'UCS Info'!A3:C121,2,FALSE)</f>
        <v>VM</v>
      </c>
    </row>
    <row r="143" spans="1:3" x14ac:dyDescent="0.25">
      <c r="A143" s="4" t="s">
        <v>831</v>
      </c>
      <c r="B143" s="67" t="str">
        <f>VLOOKUP("MAC Pool VM Traffic #1 ID",'UCS Info'!A3:C121,2,FALSE)</f>
        <v>04</v>
      </c>
    </row>
    <row r="144" spans="1:3" x14ac:dyDescent="0.25">
      <c r="A144" s="4" t="s">
        <v>842</v>
      </c>
      <c r="B144" s="67" t="str">
        <f>VLOOKUP("WWNN Pool Name",'UCS Info'!A3:C121,2,FALSE)</f>
        <v>WWNN_Pool</v>
      </c>
    </row>
    <row r="145" spans="1:3" x14ac:dyDescent="0.25">
      <c r="A145" s="4" t="s">
        <v>843</v>
      </c>
      <c r="B145" s="67" t="str">
        <f>VLOOKUP("WWPN Pool Name",'UCS Info'!A3:C121,2,FALSE)</f>
        <v>FAB</v>
      </c>
    </row>
    <row r="146" spans="1:3" x14ac:dyDescent="0.25">
      <c r="A146" s="4" t="s">
        <v>844</v>
      </c>
      <c r="B146" s="67" t="str">
        <f>VLOOKUP("FCoE A VLAN Name",'Nexus Info'!A3:C172,2,FALSE)</f>
        <v>FCoE-A</v>
      </c>
    </row>
    <row r="147" spans="1:3" x14ac:dyDescent="0.25">
      <c r="A147" s="4" t="s">
        <v>845</v>
      </c>
      <c r="B147" s="67">
        <f>VLOOKUP("FCoE A VLAN ID",'Nexus Info'!A3:C172,2,FALSE)</f>
        <v>101</v>
      </c>
      <c r="C147" t="s">
        <v>216</v>
      </c>
    </row>
    <row r="148" spans="1:3" x14ac:dyDescent="0.25">
      <c r="A148" s="4" t="s">
        <v>846</v>
      </c>
      <c r="B148" s="67" t="str">
        <f>VLOOKUP("VSAN A Name",'Nexus Info'!A3:C172,2,FALSE)</f>
        <v>VSAN-A</v>
      </c>
    </row>
    <row r="149" spans="1:3" x14ac:dyDescent="0.25">
      <c r="A149" s="4" t="s">
        <v>847</v>
      </c>
      <c r="B149" s="67">
        <f>VLOOKUP("VSAN A ID",'Nexus Info'!A3:C172,2,FALSE)</f>
        <v>101</v>
      </c>
      <c r="C149" t="s">
        <v>217</v>
      </c>
    </row>
    <row r="150" spans="1:3" x14ac:dyDescent="0.25">
      <c r="A150" s="4" t="s">
        <v>848</v>
      </c>
      <c r="B150" s="67" t="str">
        <f>VLOOKUP("iSCSI A VLAN Name",'Nexus Info'!A3:C172,2,FALSE)</f>
        <v>iSCSI-A</v>
      </c>
    </row>
    <row r="151" spans="1:3" x14ac:dyDescent="0.25">
      <c r="A151" s="4" t="s">
        <v>849</v>
      </c>
      <c r="B151" s="67">
        <f>VLOOKUP("iSCSI A VLAN ID",'Nexus Info'!A3:C172,2,FALSE)</f>
        <v>101</v>
      </c>
    </row>
    <row r="152" spans="1:3" x14ac:dyDescent="0.25">
      <c r="A152" s="4" t="s">
        <v>850</v>
      </c>
      <c r="B152" s="67" t="str">
        <f>VLOOKUP("FCoE B VLAN Name",'Nexus Info'!A3:C172,2,FALSE)</f>
        <v>FCoE-B</v>
      </c>
    </row>
    <row r="153" spans="1:3" x14ac:dyDescent="0.25">
      <c r="A153" s="4" t="s">
        <v>851</v>
      </c>
      <c r="B153" s="67">
        <f>VLOOKUP("FCoE B VLAN ID",'Nexus Info'!A3:C172,2,FALSE)</f>
        <v>102</v>
      </c>
      <c r="C153" t="s">
        <v>218</v>
      </c>
    </row>
    <row r="154" spans="1:3" x14ac:dyDescent="0.25">
      <c r="A154" s="4" t="s">
        <v>852</v>
      </c>
      <c r="B154" s="67" t="str">
        <f>VLOOKUP("VSAN B Name",'Nexus Info'!A3:C172,2,FALSE)</f>
        <v>VSAN-B</v>
      </c>
    </row>
    <row r="155" spans="1:3" x14ac:dyDescent="0.25">
      <c r="A155" s="4" t="s">
        <v>853</v>
      </c>
      <c r="B155" s="67">
        <f>VLOOKUP("VSAN B ID",'Nexus Info'!A3:C172,2,FALSE)</f>
        <v>102</v>
      </c>
      <c r="C155" t="s">
        <v>219</v>
      </c>
    </row>
    <row r="156" spans="1:3" x14ac:dyDescent="0.25">
      <c r="A156" s="4" t="s">
        <v>857</v>
      </c>
      <c r="B156" s="67" t="str">
        <f>VLOOKUP("inband Management VLAN Name",'Nexus Info'!A3:C202,2,FALSE)</f>
        <v>Mgmt</v>
      </c>
    </row>
    <row r="157" spans="1:3" x14ac:dyDescent="0.25">
      <c r="A157" s="4" t="s">
        <v>856</v>
      </c>
      <c r="B157" s="67">
        <f>VLOOKUP("inband Management VLAN ID",'Nexus Info'!A3:C202,2,FALSE)</f>
        <v>3175</v>
      </c>
      <c r="C157" t="s">
        <v>207</v>
      </c>
    </row>
    <row r="158" spans="1:3" x14ac:dyDescent="0.25">
      <c r="A158" s="4" t="s">
        <v>833</v>
      </c>
      <c r="B158" s="67" t="str">
        <f>VLOOKUP("NFS VLAN Name",'Nexus Info'!A3:C185,2,FALSE)</f>
        <v>NFS</v>
      </c>
    </row>
    <row r="159" spans="1:3" x14ac:dyDescent="0.25">
      <c r="A159" s="4" t="s">
        <v>834</v>
      </c>
      <c r="B159" s="67">
        <f>VLOOKUP("NFS VLAN ID",'Nexus Info'!A3:C185,2,FALSE)</f>
        <v>3170</v>
      </c>
      <c r="C159" t="s">
        <v>209</v>
      </c>
    </row>
    <row r="160" spans="1:3" x14ac:dyDescent="0.25">
      <c r="A160" s="4" t="s">
        <v>835</v>
      </c>
      <c r="B160" s="67" t="str">
        <f>VLOOKUP("Packet Control VLAN Name",'Nexus Info'!A3:C185,2,FALSE)</f>
        <v>PacketControl</v>
      </c>
    </row>
    <row r="161" spans="1:3" x14ac:dyDescent="0.25">
      <c r="A161" s="4" t="s">
        <v>836</v>
      </c>
      <c r="B161" s="67">
        <f>VLOOKUP("Packet Control VLAN ID",'Nexus Info'!A3:C185,2,FALSE)</f>
        <v>3176</v>
      </c>
      <c r="C161" t="s">
        <v>210</v>
      </c>
    </row>
    <row r="162" spans="1:3" x14ac:dyDescent="0.25">
      <c r="A162" s="4" t="s">
        <v>837</v>
      </c>
      <c r="B162" s="67" t="str">
        <f>VLOOKUP("vMotion VLAN Name",'Nexus Info'!A3:C185,2,FALSE)</f>
        <v>vMotion</v>
      </c>
    </row>
    <row r="163" spans="1:3" x14ac:dyDescent="0.25">
      <c r="A163" s="4" t="s">
        <v>838</v>
      </c>
      <c r="B163" s="67">
        <f>VLOOKUP("vMotion VLAN ID",'Nexus Info'!A3:C185,2,FALSE)</f>
        <v>3173</v>
      </c>
      <c r="C163" t="s">
        <v>841</v>
      </c>
    </row>
    <row r="164" spans="1:3" x14ac:dyDescent="0.25">
      <c r="A164" s="4" t="s">
        <v>839</v>
      </c>
      <c r="B164" s="67" t="str">
        <f>VLOOKUP("VM Traffic VLAN Name",'Nexus Info'!A3:C185,2,FALSE)</f>
        <v>Server</v>
      </c>
    </row>
    <row r="165" spans="1:3" x14ac:dyDescent="0.25">
      <c r="A165" s="4" t="s">
        <v>840</v>
      </c>
      <c r="B165" s="67">
        <f>VLOOKUP("VM Traffic VLAN",'Nexus Info'!A3:C185,2,FALSE)</f>
        <v>3174</v>
      </c>
      <c r="C165" t="s">
        <v>212</v>
      </c>
    </row>
    <row r="166" spans="1:3" x14ac:dyDescent="0.25">
      <c r="A166" s="4" t="s">
        <v>860</v>
      </c>
      <c r="B166" s="67" t="str">
        <f>VLOOKUP("Fabric A ESXi Management vNIC Template Name",'UCS Info'!A3:C121,2,FALSE)</f>
        <v>ESXi_A</v>
      </c>
    </row>
    <row r="167" spans="1:3" x14ac:dyDescent="0.25">
      <c r="A167" s="4" t="s">
        <v>859</v>
      </c>
      <c r="B167" s="67" t="str">
        <f>VLOOKUP("Fabric A vMotion vNIC Template Name",'UCS Info'!A3:C121,2,FALSE)</f>
        <v>vMotion_A</v>
      </c>
    </row>
    <row r="168" spans="1:3" x14ac:dyDescent="0.25">
      <c r="A168" s="4" t="s">
        <v>1023</v>
      </c>
      <c r="B168" s="67" t="str">
        <f>VLOOKUP("Fabric A Storage Access vNIC Template Name",'UCS Info'!A3:C121,2,FALSE)</f>
        <v>NFS_A</v>
      </c>
    </row>
    <row r="169" spans="1:3" x14ac:dyDescent="0.25">
      <c r="A169" s="4" t="s">
        <v>1024</v>
      </c>
      <c r="B169" s="67" t="str">
        <f>VLOOKUP("Fabric A VM Traffic vNIC Template Name",'UCS Info'!A3:C121,2,FALSE)</f>
        <v>VM_A</v>
      </c>
    </row>
    <row r="170" spans="1:3" x14ac:dyDescent="0.25">
      <c r="A170" s="4" t="s">
        <v>862</v>
      </c>
      <c r="B170" s="67" t="str">
        <f>VLOOKUP("Fabric B ESXi Management vNIC Template Name",'UCS Info'!A3:C121,2,FALSE)</f>
        <v>ESXi_B</v>
      </c>
    </row>
    <row r="171" spans="1:3" x14ac:dyDescent="0.25">
      <c r="A171" s="4" t="s">
        <v>861</v>
      </c>
      <c r="B171" s="67" t="str">
        <f>VLOOKUP("Fabric B vMotion vNIC Template Name",'UCS Info'!A3:C121,2,FALSE)</f>
        <v>vMotion_B</v>
      </c>
    </row>
    <row r="172" spans="1:3" x14ac:dyDescent="0.25">
      <c r="A172" s="4" t="s">
        <v>1025</v>
      </c>
      <c r="B172" s="67" t="str">
        <f>VLOOKUP("Fabric B Storage Access vNIC Template Name",'UCS Info'!A3:C121,2,FALSE)</f>
        <v>NFS_B</v>
      </c>
    </row>
    <row r="173" spans="1:3" x14ac:dyDescent="0.25">
      <c r="A173" s="4" t="s">
        <v>1026</v>
      </c>
      <c r="B173" s="67" t="str">
        <f>VLOOKUP("Fabric B VM Traffic vNIC Template Name",'UCS Info'!A3:C121,2,FALSE)</f>
        <v>VM_B</v>
      </c>
    </row>
    <row r="174" spans="1:3" x14ac:dyDescent="0.25">
      <c r="A174" s="4" t="s">
        <v>863</v>
      </c>
      <c r="B174" s="67" t="str">
        <f>VLOOKUP("Fabric A vHBA Template Name",'UCS Info'!A3:C121,2,FALSE)</f>
        <v>FAB_A</v>
      </c>
    </row>
    <row r="175" spans="1:3" x14ac:dyDescent="0.25">
      <c r="A175" s="4" t="s">
        <v>864</v>
      </c>
      <c r="B175" s="67" t="str">
        <f>VLOOKUP("Fabric B vHBA Template Name",'UCS Info'!A3:C121,2,FALSE)</f>
        <v>FAB_B</v>
      </c>
    </row>
    <row r="176" spans="1:3" x14ac:dyDescent="0.25">
      <c r="A176" s="4" t="s">
        <v>865</v>
      </c>
      <c r="B176" s="67" t="str">
        <f>VLOOKUP("Service Profile Template Name",'UCS Info'!A3:C121,2,FALSE)</f>
        <v>POD1</v>
      </c>
    </row>
    <row r="177" spans="1:3" x14ac:dyDescent="0.25">
      <c r="A177" s="4" t="s">
        <v>866</v>
      </c>
      <c r="B177" s="67" t="str">
        <f>VLOOKUP("Service Profile Prefix for ESXi Hosts",'UCS Info'!A3:C121,2,FALSE)</f>
        <v>ESXi_</v>
      </c>
    </row>
    <row r="178" spans="1:3" x14ac:dyDescent="0.25">
      <c r="A178" s="4" t="s">
        <v>361</v>
      </c>
      <c r="B178" s="67" t="s">
        <v>993</v>
      </c>
      <c r="C178" t="s">
        <v>243</v>
      </c>
    </row>
    <row r="179" spans="1:3" x14ac:dyDescent="0.25">
      <c r="A179" s="4" t="s">
        <v>362</v>
      </c>
      <c r="B179" s="67" t="s">
        <v>993</v>
      </c>
      <c r="C179" t="s">
        <v>244</v>
      </c>
    </row>
    <row r="180" spans="1:3" x14ac:dyDescent="0.25">
      <c r="A180" s="4" t="s">
        <v>363</v>
      </c>
      <c r="B180" s="67" t="s">
        <v>993</v>
      </c>
      <c r="C180" t="s">
        <v>245</v>
      </c>
    </row>
    <row r="181" spans="1:3" x14ac:dyDescent="0.25">
      <c r="A181" s="4" t="s">
        <v>364</v>
      </c>
      <c r="B181" s="67" t="s">
        <v>993</v>
      </c>
      <c r="C181" t="s">
        <v>246</v>
      </c>
    </row>
    <row r="182" spans="1:3" x14ac:dyDescent="0.25">
      <c r="A182" s="4" t="s">
        <v>357</v>
      </c>
      <c r="B182" s="67" t="str">
        <f>VLOOKUP("vCenter IP Address",'VMWare Info'!A3:C111,2,FALSE)</f>
        <v>172.26.56.200</v>
      </c>
    </row>
    <row r="183" spans="1:3" x14ac:dyDescent="0.25">
      <c r="A183" s="4" t="s">
        <v>816</v>
      </c>
      <c r="B183" s="67" t="str">
        <f>VLOOKUP("VMWare ESXi Host IP Pool Start",'VMWare Info'!A3:C111,2,FALSE)</f>
        <v>172.26.56.201</v>
      </c>
    </row>
    <row r="184" spans="1:3" x14ac:dyDescent="0.25">
      <c r="A184" s="4" t="s">
        <v>815</v>
      </c>
      <c r="B184" s="67" t="str">
        <f>VLOOKUP("VMWare ESXi Host IP Pool End",'VMWare Info'!A3:C111,2,FALSE)</f>
        <v>172.26.56.220</v>
      </c>
    </row>
    <row r="185" spans="1:3" x14ac:dyDescent="0.25">
      <c r="A185" s="4" t="s">
        <v>1002</v>
      </c>
      <c r="B185" s="67" t="str">
        <f>VLOOKUP("VMWare ESXi Host IP Mask",'VMWare Info'!A3:C111,2,FALSE)</f>
        <v>255.255.255.0</v>
      </c>
    </row>
    <row r="186" spans="1:3" x14ac:dyDescent="0.25">
      <c r="A186" s="4" t="s">
        <v>1009</v>
      </c>
      <c r="B186" s="67" t="str">
        <f>VLOOKUP("VMWare ESXi Host IP Gateway",'VMWare Info'!A3:C111,2,FALSE)</f>
        <v>172.26.56.1</v>
      </c>
    </row>
    <row r="187" spans="1:3" x14ac:dyDescent="0.25">
      <c r="A187" s="4" t="s">
        <v>813</v>
      </c>
      <c r="B187" s="67" t="str">
        <f>VLOOKUP("VMWare ESXi NFS IP Pool Start",'VMWare Info'!A3:C111,2,FALSE)</f>
        <v>192.168.22.201</v>
      </c>
    </row>
    <row r="188" spans="1:3" x14ac:dyDescent="0.25">
      <c r="A188" s="4" t="s">
        <v>814</v>
      </c>
      <c r="B188" t="str">
        <f>VLOOKUP("VMWare ESXi NFS IP Pool End",'VMWare Info'!A3:C111,2,FALSE)</f>
        <v>192.268.22.220</v>
      </c>
    </row>
    <row r="189" spans="1:3" x14ac:dyDescent="0.25">
      <c r="A189" s="4" t="s">
        <v>1003</v>
      </c>
      <c r="B189" t="str">
        <f>VLOOKUP("VMWare ESXi NFS IP Mask",'VMWare Info'!A3:C111,2,FALSE)</f>
        <v>255.255.255.0</v>
      </c>
    </row>
    <row r="190" spans="1:3" x14ac:dyDescent="0.25">
      <c r="A190" s="4" t="s">
        <v>1004</v>
      </c>
      <c r="B190" t="str">
        <f>VLOOKUP("VMWare ESXi vMotion IP Pool Start",'VMWare Info'!A3:C111,2,FALSE)</f>
        <v>192.168.100.201</v>
      </c>
    </row>
    <row r="191" spans="1:3" x14ac:dyDescent="0.25">
      <c r="A191" s="4" t="s">
        <v>1005</v>
      </c>
      <c r="B191" t="str">
        <f>VLOOKUP("VMWare ESXi vMotion IP Pool End",'VMWare Info'!A3:C111,2,FALSE)</f>
        <v>192.168.100.220</v>
      </c>
    </row>
    <row r="192" spans="1:3" x14ac:dyDescent="0.25">
      <c r="A192" s="4" t="s">
        <v>1006</v>
      </c>
      <c r="B192" t="str">
        <f>VLOOKUP("VMWare ESXi vMotion IP Mask",'VMWare Info'!A3:C111,2,FALSE)</f>
        <v>255.255.255.0</v>
      </c>
    </row>
  </sheetData>
  <mergeCells count="1">
    <mergeCell ref="A1:C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0"/>
  <sheetViews>
    <sheetView topLeftCell="A4" workbookViewId="0">
      <selection activeCell="A17" sqref="A17"/>
    </sheetView>
  </sheetViews>
  <sheetFormatPr defaultRowHeight="15" x14ac:dyDescent="0.25"/>
  <cols>
    <col min="1" max="1" width="44.85546875" bestFit="1" customWidth="1"/>
    <col min="2" max="2" width="41.42578125" bestFit="1" customWidth="1"/>
    <col min="3" max="3" width="67.28515625" bestFit="1" customWidth="1"/>
  </cols>
  <sheetData>
    <row r="1" spans="1:3" ht="37.5" customHeight="1" x14ac:dyDescent="0.25">
      <c r="A1" s="27" t="s">
        <v>255</v>
      </c>
      <c r="B1" s="27"/>
      <c r="C1" s="27"/>
    </row>
    <row r="2" spans="1:3" ht="20.25" thickBot="1" x14ac:dyDescent="0.35">
      <c r="A2" s="5" t="s">
        <v>162</v>
      </c>
      <c r="B2" s="6" t="s">
        <v>164</v>
      </c>
      <c r="C2" s="6" t="s">
        <v>163</v>
      </c>
    </row>
    <row r="3" spans="1:3" ht="15.75" thickTop="1" x14ac:dyDescent="0.25">
      <c r="A3" s="4" t="s">
        <v>293</v>
      </c>
      <c r="B3" s="67" t="str">
        <f>VLOOKUP("Netapp Node 1 IP Address",'NetApp Info'!A3:C121,2,FALSE)</f>
        <v>192.168.20.11</v>
      </c>
      <c r="C3" t="s">
        <v>165</v>
      </c>
    </row>
    <row r="4" spans="1:3" x14ac:dyDescent="0.25">
      <c r="A4" s="4" t="s">
        <v>294</v>
      </c>
      <c r="B4" s="67" t="str">
        <f>VLOOKUP("Netapp Node 1 subnet mask",'NetApp Info'!A3:C121,2,FALSE)</f>
        <v>255.255.255.0</v>
      </c>
      <c r="C4" t="s">
        <v>166</v>
      </c>
    </row>
    <row r="5" spans="1:3" x14ac:dyDescent="0.25">
      <c r="A5" s="4" t="s">
        <v>295</v>
      </c>
      <c r="B5" s="67" t="str">
        <f>VLOOKUP("Netapp Node 1 Gateway",'NetApp Info'!A3:C121,2,FALSE)</f>
        <v>192.168.20.254</v>
      </c>
      <c r="C5" t="s">
        <v>167</v>
      </c>
    </row>
    <row r="6" spans="1:3" x14ac:dyDescent="0.25">
      <c r="A6" s="4" t="s">
        <v>296</v>
      </c>
      <c r="B6" s="67" t="str">
        <f>VLOOKUP("Boot Software URL",'NetApp Info'!A3:C121,2,FALSE)</f>
        <v>ftp://netapp-boot.test.local</v>
      </c>
      <c r="C6" t="s">
        <v>249</v>
      </c>
    </row>
    <row r="7" spans="1:3" x14ac:dyDescent="0.25">
      <c r="A7" s="4" t="s">
        <v>297</v>
      </c>
      <c r="B7" s="67">
        <f>VLOOKUP("Number of Disks to assign controllers",'NetApp Info'!A3:C121,2,FALSE)</f>
        <v>16</v>
      </c>
      <c r="C7" t="s">
        <v>168</v>
      </c>
    </row>
    <row r="8" spans="1:3" x14ac:dyDescent="0.25">
      <c r="A8" s="4" t="s">
        <v>298</v>
      </c>
      <c r="B8" s="67" t="str">
        <f>VLOOKUP("Netapp Node 2 Name",'NetApp Info'!A3:C121,2,FALSE)</f>
        <v>netapp-02</v>
      </c>
      <c r="C8" t="s">
        <v>169</v>
      </c>
    </row>
    <row r="9" spans="1:3" x14ac:dyDescent="0.25">
      <c r="A9" s="4" t="s">
        <v>299</v>
      </c>
      <c r="B9" s="67" t="str">
        <f>VLOOKUP("Netapp Node 2 IP Address",'NetApp Info'!A3:C121,2,FALSE)</f>
        <v>192.168.20.12</v>
      </c>
      <c r="C9" t="s">
        <v>166</v>
      </c>
    </row>
    <row r="10" spans="1:3" x14ac:dyDescent="0.25">
      <c r="A10" s="4" t="s">
        <v>300</v>
      </c>
      <c r="B10" s="67" t="str">
        <f>VLOOKUP("Netapp Node 2 subnet mask",'NetApp Info'!A3:C121,2,FALSE)</f>
        <v>255.255.255.0</v>
      </c>
      <c r="C10" t="s">
        <v>167</v>
      </c>
    </row>
    <row r="11" spans="1:3" x14ac:dyDescent="0.25">
      <c r="A11" s="4" t="s">
        <v>301</v>
      </c>
      <c r="B11" s="67" t="str">
        <f>VLOOKUP("Cluster Name",'NetApp Info'!A3:C121,2,FALSE)</f>
        <v>netapp</v>
      </c>
      <c r="C11" t="s">
        <v>170</v>
      </c>
    </row>
    <row r="12" spans="1:3" x14ac:dyDescent="0.25">
      <c r="A12" s="4" t="s">
        <v>699</v>
      </c>
      <c r="B12" s="67" t="str">
        <f>VLOOKUP("Aggregate Name",'NetApp Info'!A3:C121,2,FALSE)</f>
        <v>aggr1</v>
      </c>
    </row>
    <row r="13" spans="1:3" x14ac:dyDescent="0.25">
      <c r="A13" s="4" t="s">
        <v>701</v>
      </c>
      <c r="B13" s="67" t="str">
        <f>VLOOKUP("VIF name",'NetApp Info'!A3:C121,2,FALSE)</f>
        <v>vif1</v>
      </c>
    </row>
    <row r="14" spans="1:3" x14ac:dyDescent="0.25">
      <c r="A14" s="4" t="s">
        <v>302</v>
      </c>
      <c r="B14" s="67" t="str">
        <f>VLOOKUP("Cluster Base License",'NetApp Info'!A3:C121,2,FALSE)</f>
        <v>SMKQROWJNQYQSDAAAAAAAAAAAAAA</v>
      </c>
      <c r="C14" t="s">
        <v>171</v>
      </c>
    </row>
    <row r="15" spans="1:3" x14ac:dyDescent="0.25">
      <c r="A15" s="4" t="s">
        <v>365</v>
      </c>
      <c r="B15" s="67" t="str">
        <f>VLOOKUP("Netapp Node 1 Flexclone License",'NetApp Info'!A3:C121,2,FALSE)</f>
        <v>ENHZFAFTVDDCMAXAGAAAAAAAAAAA</v>
      </c>
      <c r="C15" t="s">
        <v>375</v>
      </c>
    </row>
    <row r="16" spans="1:3" x14ac:dyDescent="0.25">
      <c r="A16" s="4" t="s">
        <v>366</v>
      </c>
      <c r="B16" s="67" t="str">
        <f>VLOOKUP("Netapp Node 1 FCP License",'NetApp Info'!A3:C121,2,FALSE)</f>
        <v>IJQRDAFTVDDCMAXAGAAAAAAAAAAA</v>
      </c>
      <c r="C16" t="s">
        <v>376</v>
      </c>
    </row>
    <row r="17" spans="1:3" x14ac:dyDescent="0.25">
      <c r="A17" s="4" t="s">
        <v>369</v>
      </c>
      <c r="B17" s="67" t="str">
        <f>VLOOKUP("Netapp Node 1 NFS License",'NetApp Info'!A3:C121,2,FALSE)</f>
        <v>YZWYBAFTVDDCMAXAGAAAAAAAAAAA</v>
      </c>
      <c r="C17" t="s">
        <v>379</v>
      </c>
    </row>
    <row r="18" spans="1:3" x14ac:dyDescent="0.25">
      <c r="A18" s="4" t="s">
        <v>370</v>
      </c>
      <c r="B18" s="67" t="str">
        <f>VLOOKUP("Netapp Node 2 Flexclone License",'NetApp Info'!A3:C121,2,FALSE)</f>
        <v>CQCWNTJWOZNBBGXAGAAAAAAAAAAA</v>
      </c>
      <c r="C18" t="s">
        <v>380</v>
      </c>
    </row>
    <row r="19" spans="1:3" x14ac:dyDescent="0.25">
      <c r="A19" s="4" t="s">
        <v>371</v>
      </c>
      <c r="B19" s="67" t="str">
        <f>VLOOKUP("Netapp Node 2 FCP License",'NetApp Info'!A3:C121,2,FALSE)</f>
        <v>GMLOLTJWOZNBBGXAGAAAAAAAAAAA</v>
      </c>
      <c r="C19" t="s">
        <v>381</v>
      </c>
    </row>
    <row r="20" spans="1:3" x14ac:dyDescent="0.25">
      <c r="A20" s="4" t="s">
        <v>374</v>
      </c>
      <c r="B20" s="67" t="str">
        <f>VLOOKUP("Netapp Node 2 NFS License",'NetApp Info'!A3:C121,2,FALSE)</f>
        <v>WCSVJTJWOZNBBGXAGAAAAAAAAAAA</v>
      </c>
      <c r="C20" t="s">
        <v>384</v>
      </c>
    </row>
    <row r="21" spans="1:3" x14ac:dyDescent="0.25">
      <c r="A21" s="4" t="s">
        <v>303</v>
      </c>
      <c r="B21" s="67" t="str">
        <f>VLOOKUP("Cluster Password",'NetApp Info'!A3:C121,2,FALSE)</f>
        <v>test1234</v>
      </c>
      <c r="C21" t="s">
        <v>172</v>
      </c>
    </row>
    <row r="22" spans="1:3" x14ac:dyDescent="0.25">
      <c r="A22" s="4" t="s">
        <v>304</v>
      </c>
      <c r="B22" s="67" t="str">
        <f>VLOOKUP("Cluster management IP address",'NetApp Info'!A3:C121,2,FALSE)</f>
        <v>192.168.20.10</v>
      </c>
      <c r="C22" t="s">
        <v>173</v>
      </c>
    </row>
    <row r="23" spans="1:3" x14ac:dyDescent="0.25">
      <c r="A23" s="4" t="s">
        <v>305</v>
      </c>
      <c r="B23" s="67" t="str">
        <f>VLOOKUP("Cluster Management Subnet Mask",'NetApp Info'!A3:C121,2,FALSE)</f>
        <v>255.255.255.0</v>
      </c>
      <c r="C23" t="s">
        <v>174</v>
      </c>
    </row>
    <row r="24" spans="1:3" x14ac:dyDescent="0.25">
      <c r="A24" s="4" t="s">
        <v>306</v>
      </c>
      <c r="B24" s="67" t="str">
        <f>VLOOKUP("Cluster Management Gateway",'NetApp Info'!A3:C121,2,FALSE)</f>
        <v>192.168.20.254</v>
      </c>
      <c r="C24" t="s">
        <v>175</v>
      </c>
    </row>
    <row r="25" spans="1:3" x14ac:dyDescent="0.25">
      <c r="A25" s="4" t="s">
        <v>307</v>
      </c>
      <c r="B25" s="67" t="str">
        <f>VLOOKUP("DNS Name",Questions!A1:F47,2,FALSE)</f>
        <v>test.local</v>
      </c>
      <c r="C25" t="s">
        <v>176</v>
      </c>
    </row>
    <row r="26" spans="1:3" x14ac:dyDescent="0.25">
      <c r="A26" s="4" t="s">
        <v>812</v>
      </c>
      <c r="B26" s="67" t="str">
        <f>VLOOKUP("DNS Server 1",Questions!A1:F47,2,FALSE)</f>
        <v>172.26.56.20</v>
      </c>
      <c r="C26" t="s">
        <v>177</v>
      </c>
    </row>
    <row r="27" spans="1:3" x14ac:dyDescent="0.25">
      <c r="A27" s="4" t="s">
        <v>811</v>
      </c>
      <c r="B27" s="67" t="str">
        <f>VLOOKUP("DNS Server 2",Questions!A2:F48,2,FALSE)</f>
        <v>172.26.56.1</v>
      </c>
      <c r="C27" t="s">
        <v>177</v>
      </c>
    </row>
    <row r="28" spans="1:3" x14ac:dyDescent="0.25">
      <c r="A28" s="4" t="s">
        <v>308</v>
      </c>
      <c r="B28" s="67" t="str">
        <f>VLOOKUP("SNMP Location",Questions!A1:F47,2,FALSE)</f>
        <v>Albany NY</v>
      </c>
      <c r="C28" t="s">
        <v>178</v>
      </c>
    </row>
    <row r="29" spans="1:3" x14ac:dyDescent="0.25">
      <c r="A29" s="4" t="s">
        <v>309</v>
      </c>
      <c r="B29" s="67" t="str">
        <f>VLOOKUP("Netapp Node 1 Name",'NetApp Info'!A3:C121,2,FALSE)</f>
        <v>netapp-01</v>
      </c>
      <c r="C29" t="s">
        <v>179</v>
      </c>
    </row>
    <row r="30" spans="1:3" x14ac:dyDescent="0.25">
      <c r="A30" s="4" t="s">
        <v>310</v>
      </c>
      <c r="B30" s="67" t="str">
        <f>VLOOKUP("Netapp Node 2 Name",'NetApp Info'!A3:C121,2,FALSE)</f>
        <v>netapp-02</v>
      </c>
      <c r="C30" t="s">
        <v>180</v>
      </c>
    </row>
    <row r="31" spans="1:3" x14ac:dyDescent="0.25">
      <c r="A31" s="4" t="s">
        <v>311</v>
      </c>
      <c r="B31" s="67">
        <f>VLOOKUP("Raid Size",'NetApp Info'!A3:C121,2,FALSE)</f>
        <v>16</v>
      </c>
      <c r="C31" t="s">
        <v>181</v>
      </c>
    </row>
    <row r="32" spans="1:3" x14ac:dyDescent="0.25">
      <c r="A32" s="4" t="s">
        <v>312</v>
      </c>
      <c r="B32" s="67">
        <f>VLOOKUP("Number of Aggregate Disks ",'NetApp Info'!A3:C121,2,FALSE)</f>
        <v>14</v>
      </c>
      <c r="C32" t="s">
        <v>182</v>
      </c>
    </row>
    <row r="33" spans="1:3" x14ac:dyDescent="0.25">
      <c r="A33" s="4" t="s">
        <v>313</v>
      </c>
      <c r="B33" s="67" t="str">
        <f>VLOOKUP("Netapp Node 1 Serice Processor IP",'NetApp Info'!A3:C121,2,FALSE)</f>
        <v>192.168.21.11</v>
      </c>
      <c r="C33" t="s">
        <v>183</v>
      </c>
    </row>
    <row r="34" spans="1:3" x14ac:dyDescent="0.25">
      <c r="A34" s="4" t="s">
        <v>314</v>
      </c>
      <c r="B34" s="67" t="str">
        <f>VLOOKUP("Netapp Node 1 Serice Processor Subnet Mask",'NetApp Info'!A3:C121,2,FALSE)</f>
        <v>255.255.255.0</v>
      </c>
      <c r="C34" t="s">
        <v>166</v>
      </c>
    </row>
    <row r="35" spans="1:3" x14ac:dyDescent="0.25">
      <c r="A35" s="4" t="s">
        <v>315</v>
      </c>
      <c r="B35" s="67" t="str">
        <f>VLOOKUP("Netapp Node 1 Serice Processor gateway",'NetApp Info'!A3:C121,2,FALSE)</f>
        <v>192.168.21.254</v>
      </c>
      <c r="C35" t="s">
        <v>167</v>
      </c>
    </row>
    <row r="36" spans="1:3" x14ac:dyDescent="0.25">
      <c r="A36" s="4" t="s">
        <v>316</v>
      </c>
      <c r="B36" s="67" t="str">
        <f>VLOOKUP("Netapp Node 2 Serice Processor IP",'NetApp Info'!A3:C121,2,FALSE)</f>
        <v>192.168.21.12</v>
      </c>
      <c r="C36" t="s">
        <v>184</v>
      </c>
    </row>
    <row r="37" spans="1:3" x14ac:dyDescent="0.25">
      <c r="A37" s="4" t="s">
        <v>317</v>
      </c>
      <c r="B37" s="67" t="str">
        <f>VLOOKUP("Netapp Node 2 Serice Processor Subnet Mask",'NetApp Info'!A3:C121,2,FALSE)</f>
        <v>255.255.255.0</v>
      </c>
      <c r="C37" t="s">
        <v>166</v>
      </c>
    </row>
    <row r="38" spans="1:3" x14ac:dyDescent="0.25">
      <c r="A38" s="4" t="s">
        <v>318</v>
      </c>
      <c r="B38" s="67" t="str">
        <f>VLOOKUP("Netapp Node 2 Serice Processor gateway",'NetApp Info'!A3:C121,2,FALSE)</f>
        <v>192.168.21.254</v>
      </c>
      <c r="C38" t="s">
        <v>167</v>
      </c>
    </row>
    <row r="39" spans="1:3" x14ac:dyDescent="0.25">
      <c r="A39" s="4" t="s">
        <v>386</v>
      </c>
      <c r="B39" s="67" t="str">
        <f>VLOOKUP("Timezone",Questions!A1:F47,2,FALSE)</f>
        <v>EST5EDT</v>
      </c>
      <c r="C39" t="s">
        <v>185</v>
      </c>
    </row>
    <row r="40" spans="1:3" x14ac:dyDescent="0.25">
      <c r="A40" s="4" t="s">
        <v>696</v>
      </c>
      <c r="B40" s="67" t="str">
        <f>VLOOKUP("NTP Server 1",Questions!A1:F47,2,FALSE)</f>
        <v>172.26.56.20</v>
      </c>
      <c r="C40" t="s">
        <v>186</v>
      </c>
    </row>
    <row r="41" spans="1:3" x14ac:dyDescent="0.25">
      <c r="A41" s="4" t="s">
        <v>697</v>
      </c>
      <c r="B41" s="67" t="str">
        <f>VLOOKUP("NTP Server 2",Questions!A1:F47,2,FALSE)</f>
        <v>172.26.56.10</v>
      </c>
      <c r="C41" t="s">
        <v>186</v>
      </c>
    </row>
    <row r="42" spans="1:3" x14ac:dyDescent="0.25">
      <c r="A42" s="4" t="s">
        <v>319</v>
      </c>
      <c r="B42" s="67" t="str">
        <f>VLOOKUP("SNMP Contact",Questions!A1:F47,2,FALSE)</f>
        <v>test@test.local</v>
      </c>
      <c r="C42" t="s">
        <v>187</v>
      </c>
    </row>
    <row r="43" spans="1:3" x14ac:dyDescent="0.25">
      <c r="A43" s="4" t="s">
        <v>320</v>
      </c>
      <c r="B43" s="67" t="str">
        <f>VLOOKUP("SNMP Location",Questions!A1:F47,2,FALSE)</f>
        <v>Albany NY</v>
      </c>
      <c r="C43" t="s">
        <v>188</v>
      </c>
    </row>
    <row r="44" spans="1:3" x14ac:dyDescent="0.25">
      <c r="A44" s="4" t="s">
        <v>321</v>
      </c>
      <c r="B44" s="67" t="str">
        <f>VLOOKUP("Oncommand FQDN",'NetApp Info'!A3:C121,2,FALSE)</f>
        <v>oncommand.test.local</v>
      </c>
      <c r="C44" t="s">
        <v>189</v>
      </c>
    </row>
    <row r="45" spans="1:3" x14ac:dyDescent="0.25">
      <c r="A45" s="4" t="s">
        <v>322</v>
      </c>
      <c r="B45" s="67" t="str">
        <f>VLOOKUP("SNMP Community",Questions!A1:F47,2,FALSE)</f>
        <v>public</v>
      </c>
      <c r="C45" t="s">
        <v>190</v>
      </c>
    </row>
    <row r="46" spans="1:3" x14ac:dyDescent="0.25">
      <c r="A46" s="4" t="s">
        <v>323</v>
      </c>
      <c r="B46" s="67" t="str">
        <f>VLOOKUP("Mail host",Questions!A1:F47,2,FALSE)</f>
        <v>mail.test.local</v>
      </c>
      <c r="C46" t="s">
        <v>191</v>
      </c>
    </row>
    <row r="47" spans="1:3" x14ac:dyDescent="0.25">
      <c r="A47" s="4" t="s">
        <v>324</v>
      </c>
      <c r="B47" s="67" t="str">
        <f>VLOOKUP("Storage Admin Email",'NetApp Info'!A3:C121,2,FALSE)</f>
        <v>admin@test.local</v>
      </c>
      <c r="C47" t="s">
        <v>187</v>
      </c>
    </row>
    <row r="48" spans="1:3" x14ac:dyDescent="0.25">
      <c r="A48" s="4" t="s">
        <v>325</v>
      </c>
      <c r="B48" s="67" t="str">
        <f>VLOOKUP("Vserver Common Name",'NetApp Info'!A3:C121,2,FALSE)</f>
        <v>cn=vserver,dc=test,dc=local</v>
      </c>
      <c r="C48" t="s">
        <v>192</v>
      </c>
    </row>
    <row r="49" spans="1:3" x14ac:dyDescent="0.25">
      <c r="A49" s="4" t="s">
        <v>326</v>
      </c>
      <c r="B49" s="67" t="str">
        <f>VLOOKUP("Two Letter Country code",Questions!A1:F47,2,FALSE)</f>
        <v>us</v>
      </c>
      <c r="C49" t="s">
        <v>193</v>
      </c>
    </row>
    <row r="50" spans="1:3" x14ac:dyDescent="0.25">
      <c r="A50" s="4" t="s">
        <v>327</v>
      </c>
      <c r="B50" s="67" t="str">
        <f>VLOOKUP("State",Questions!A1:F47,2,FALSE)</f>
        <v>NY</v>
      </c>
      <c r="C50" t="s">
        <v>194</v>
      </c>
    </row>
    <row r="51" spans="1:3" x14ac:dyDescent="0.25">
      <c r="A51" s="4" t="s">
        <v>328</v>
      </c>
      <c r="B51" s="67" t="str">
        <f>VLOOKUP("City Name",Questions!A1:F47,2,FALSE)</f>
        <v>Albany</v>
      </c>
      <c r="C51" t="s">
        <v>195</v>
      </c>
    </row>
    <row r="52" spans="1:3" x14ac:dyDescent="0.25">
      <c r="A52" s="4" t="s">
        <v>329</v>
      </c>
      <c r="B52" s="67" t="str">
        <f>VLOOKUP("Organization Name",Questions!A1:F47,2,FALSE)</f>
        <v>Test</v>
      </c>
      <c r="C52" t="s">
        <v>196</v>
      </c>
    </row>
    <row r="53" spans="1:3" x14ac:dyDescent="0.25">
      <c r="A53" s="4" t="s">
        <v>330</v>
      </c>
      <c r="B53" s="67" t="str">
        <f>VLOOKUP("Organization Unit Name",Questions!A1:F47,2,FALSE)</f>
        <v>IT</v>
      </c>
      <c r="C53" t="s">
        <v>197</v>
      </c>
    </row>
    <row r="54" spans="1:3" x14ac:dyDescent="0.25">
      <c r="A54" s="4" t="s">
        <v>331</v>
      </c>
      <c r="B54" s="67" t="str">
        <f>VLOOKUP("Cluster Common Name",'NetApp Info'!A3:C121,2,FALSE)</f>
        <v>cn=netapp,dc=test,dc=local</v>
      </c>
      <c r="C54" t="s">
        <v>247</v>
      </c>
    </row>
    <row r="55" spans="1:3" x14ac:dyDescent="0.25">
      <c r="A55" s="4" t="s">
        <v>332</v>
      </c>
      <c r="B55" s="67" t="str">
        <f>VLOOKUP("Netapp Node 1 Common Name",'NetApp Info'!A3:C117,2,FALSE)</f>
        <v>cn=node1,dc=test,dc=local</v>
      </c>
      <c r="C55" t="s">
        <v>198</v>
      </c>
    </row>
    <row r="56" spans="1:3" x14ac:dyDescent="0.25">
      <c r="A56" s="4" t="s">
        <v>333</v>
      </c>
      <c r="B56" s="67" t="str">
        <f>VLOOKUP("Netapp Node 2 Common Name",'NetApp Info'!A3:C117,2,FALSE)</f>
        <v>cn=node2,dc=test,dc=local</v>
      </c>
      <c r="C56" t="s">
        <v>248</v>
      </c>
    </row>
    <row r="57" spans="1:3" x14ac:dyDescent="0.25">
      <c r="A57" s="4" t="s">
        <v>334</v>
      </c>
      <c r="B57" s="67">
        <v>1</v>
      </c>
      <c r="C57" t="s">
        <v>199</v>
      </c>
    </row>
    <row r="58" spans="1:3" x14ac:dyDescent="0.25">
      <c r="A58" s="4" t="s">
        <v>335</v>
      </c>
      <c r="B58" s="67" t="str">
        <f>VLOOKUP("Netapp Node 1 NFS LIF IP address",'NetApp Info'!A3:C121,2,FALSE)</f>
        <v>192.168.22.1</v>
      </c>
      <c r="C58" t="s">
        <v>200</v>
      </c>
    </row>
    <row r="59" spans="1:3" x14ac:dyDescent="0.25">
      <c r="A59" s="4" t="s">
        <v>336</v>
      </c>
      <c r="B59" s="67" t="str">
        <f>VLOOKUP("Netapp Node 1 NFS LIF Subnet Mask",'NetApp Info'!A3:C121,2,FALSE)</f>
        <v>255.255.255.0</v>
      </c>
      <c r="C59" t="s">
        <v>202</v>
      </c>
    </row>
    <row r="60" spans="1:3" x14ac:dyDescent="0.25">
      <c r="A60" s="4" t="s">
        <v>337</v>
      </c>
      <c r="B60" s="67" t="str">
        <f>VLOOKUP("Netapp Node 2 NFS LIF IP address",'NetApp Info'!A3:C121,2,FALSE)</f>
        <v>192.168.22.2</v>
      </c>
      <c r="C60" t="s">
        <v>201</v>
      </c>
    </row>
    <row r="61" spans="1:3" x14ac:dyDescent="0.25">
      <c r="A61" s="4" t="s">
        <v>338</v>
      </c>
      <c r="B61" s="67" t="str">
        <f>VLOOKUP("Netapp Node 2 NFS LIF Subnet Mask",'NetApp Info'!A3:C121,2,FALSE)</f>
        <v>255.255.255.0</v>
      </c>
      <c r="C61" t="s">
        <v>202</v>
      </c>
    </row>
    <row r="62" spans="1:3" x14ac:dyDescent="0.25">
      <c r="A62" s="4" t="s">
        <v>387</v>
      </c>
      <c r="B62" s="67" t="str">
        <f>VLOOKUP("Nexus A Hostname",'Nexus Info'!A3:C111,2,FALSE)</f>
        <v>NexusA</v>
      </c>
      <c r="C62" t="s">
        <v>203</v>
      </c>
    </row>
    <row r="63" spans="1:3" x14ac:dyDescent="0.25">
      <c r="A63" s="4" t="s">
        <v>388</v>
      </c>
      <c r="B63" s="67" t="str">
        <f>VLOOKUP("Nexus A Management IP Address",'Nexus Info'!A3:C111,2,FALSE)</f>
        <v>192.168.10.1</v>
      </c>
      <c r="C63" t="s">
        <v>204</v>
      </c>
    </row>
    <row r="64" spans="1:3" x14ac:dyDescent="0.25">
      <c r="A64" s="4" t="s">
        <v>389</v>
      </c>
      <c r="B64" s="67" t="str">
        <f>VLOOKUP("Nexus A Management Subnet Mask",'Nexus Info'!A3:C111,2,FALSE)</f>
        <v>255.255.255.0</v>
      </c>
      <c r="C64" t="s">
        <v>166</v>
      </c>
    </row>
    <row r="65" spans="1:3" x14ac:dyDescent="0.25">
      <c r="A65" s="4" t="s">
        <v>390</v>
      </c>
      <c r="B65" s="67" t="str">
        <f>VLOOKUP("Nexus A Management Gateway",'Nexus Info'!A3:C111,2,FALSE)</f>
        <v>192.168.10.254</v>
      </c>
      <c r="C65" t="s">
        <v>167</v>
      </c>
    </row>
    <row r="66" spans="1:3" x14ac:dyDescent="0.25">
      <c r="A66" s="4" t="s">
        <v>391</v>
      </c>
      <c r="B66" s="67" t="str">
        <f>VLOOKUP("Nexus B Hostname",'Nexus Info'!A3:C111,2,FALSE)</f>
        <v>NexusB</v>
      </c>
      <c r="C66" t="s">
        <v>205</v>
      </c>
    </row>
    <row r="67" spans="1:3" x14ac:dyDescent="0.25">
      <c r="A67" s="4" t="s">
        <v>392</v>
      </c>
      <c r="B67" s="67" t="str">
        <f>VLOOKUP("Nexus B Management IP Address",'Nexus Info'!A3:C111,2,FALSE)</f>
        <v>192.168.10.2</v>
      </c>
      <c r="C67" t="s">
        <v>206</v>
      </c>
    </row>
    <row r="68" spans="1:3" x14ac:dyDescent="0.25">
      <c r="A68" s="4" t="s">
        <v>393</v>
      </c>
      <c r="B68" s="67" t="str">
        <f>VLOOKUP("Nexus B Management Subnet Mask",'Nexus Info'!A3:C111,2,FALSE)</f>
        <v>255.255.255.0</v>
      </c>
      <c r="C68" t="s">
        <v>166</v>
      </c>
    </row>
    <row r="69" spans="1:3" x14ac:dyDescent="0.25">
      <c r="A69" s="4" t="s">
        <v>394</v>
      </c>
      <c r="B69" s="67" t="str">
        <f>VLOOKUP("Nexus B Management Gateway",'Nexus Info'!A3:C111,2,FALSE)</f>
        <v>192.168.10.254</v>
      </c>
      <c r="C69" t="s">
        <v>167</v>
      </c>
    </row>
    <row r="70" spans="1:3" x14ac:dyDescent="0.25">
      <c r="A70" s="4" t="s">
        <v>760</v>
      </c>
      <c r="B70" s="67" t="str">
        <f>VLOOKUP("inband Management VLAN Name",'Nexus Info'!A3:C111,2,FALSE)</f>
        <v>Mgmt</v>
      </c>
    </row>
    <row r="71" spans="1:3" x14ac:dyDescent="0.25">
      <c r="A71" s="4" t="s">
        <v>395</v>
      </c>
      <c r="B71" s="67">
        <f>VLOOKUP("inband Management VLAN ID",'Nexus Info'!A3:C111,2,FALSE)</f>
        <v>3175</v>
      </c>
      <c r="C71" t="s">
        <v>207</v>
      </c>
    </row>
    <row r="72" spans="1:3" x14ac:dyDescent="0.25">
      <c r="A72" s="4" t="s">
        <v>761</v>
      </c>
      <c r="B72" s="67" t="str">
        <f>VLOOKUP("Native VLAN Name",'Nexus Info'!A3:C111,2,FALSE)</f>
        <v>Native</v>
      </c>
    </row>
    <row r="73" spans="1:3" x14ac:dyDescent="0.25">
      <c r="A73" s="4" t="s">
        <v>396</v>
      </c>
      <c r="B73" s="67">
        <f>VLOOKUP("Native VLAN ID",'Nexus Info'!A3:C111,2,FALSE)</f>
        <v>99</v>
      </c>
      <c r="C73" t="s">
        <v>208</v>
      </c>
    </row>
    <row r="74" spans="1:3" x14ac:dyDescent="0.25">
      <c r="A74" s="4" t="s">
        <v>762</v>
      </c>
      <c r="B74" s="67" t="str">
        <f>VLOOKUP("NFS VLAN Name",'Nexus Info'!A3:C111,2,FALSE)</f>
        <v>NFS</v>
      </c>
    </row>
    <row r="75" spans="1:3" x14ac:dyDescent="0.25">
      <c r="A75" s="4" t="s">
        <v>397</v>
      </c>
      <c r="B75" s="67">
        <f>VLOOKUP("NFS VLAN ID",'Nexus Info'!A3:C111,2,FALSE)</f>
        <v>3170</v>
      </c>
      <c r="C75" t="s">
        <v>209</v>
      </c>
    </row>
    <row r="76" spans="1:3" x14ac:dyDescent="0.25">
      <c r="A76" s="4" t="s">
        <v>763</v>
      </c>
      <c r="B76" s="67" t="str">
        <f>VLOOKUP("Packet Control VLAN Name",'Nexus Info'!A3:C111,2,FALSE)</f>
        <v>PacketControl</v>
      </c>
    </row>
    <row r="77" spans="1:3" x14ac:dyDescent="0.25">
      <c r="A77" s="4" t="s">
        <v>398</v>
      </c>
      <c r="B77" s="67">
        <f>VLOOKUP("Packet Control VLAN ID",'Nexus Info'!A3:C111,2,FALSE)</f>
        <v>3176</v>
      </c>
      <c r="C77" t="s">
        <v>210</v>
      </c>
    </row>
    <row r="78" spans="1:3" x14ac:dyDescent="0.25">
      <c r="A78" s="4" t="s">
        <v>764</v>
      </c>
      <c r="B78" s="67" t="str">
        <f>VLOOKUP("vMotion VLAN Name",'Nexus Info'!A3:C111,2,FALSE)</f>
        <v>vMotion</v>
      </c>
    </row>
    <row r="79" spans="1:3" x14ac:dyDescent="0.25">
      <c r="A79" s="4" t="s">
        <v>399</v>
      </c>
      <c r="B79" s="67">
        <f>VLOOKUP("vMotion VLAN ID",'Nexus Info'!A3:C111,2,FALSE)</f>
        <v>3173</v>
      </c>
      <c r="C79" t="s">
        <v>211</v>
      </c>
    </row>
    <row r="80" spans="1:3" x14ac:dyDescent="0.25">
      <c r="A80" s="4" t="s">
        <v>765</v>
      </c>
      <c r="B80" s="67" t="str">
        <f>VLOOKUP("VM Traffic VLAN Name",'Nexus Info'!A3:C111,2,FALSE)</f>
        <v>Server</v>
      </c>
    </row>
    <row r="81" spans="1:3" x14ac:dyDescent="0.25">
      <c r="A81" s="4" t="s">
        <v>400</v>
      </c>
      <c r="B81" s="67">
        <f>VLOOKUP("VM Traffic VLAN",'Nexus Info'!A3:C111,2,FALSE)</f>
        <v>3174</v>
      </c>
      <c r="C81" t="s">
        <v>212</v>
      </c>
    </row>
    <row r="82" spans="1:3" x14ac:dyDescent="0.25">
      <c r="A82" s="4" t="s">
        <v>401</v>
      </c>
      <c r="B82" s="67">
        <f>VLOOKUP("VPC Domain ID",'Nexus Info'!A3:C111,2,FALSE)</f>
        <v>10</v>
      </c>
      <c r="C82" t="s">
        <v>213</v>
      </c>
    </row>
    <row r="83" spans="1:3" x14ac:dyDescent="0.25">
      <c r="A83" s="4" t="s">
        <v>782</v>
      </c>
      <c r="B83" s="67" t="str">
        <f>VLOOKUP("Nexus 1000v A Hostname",'1000v Info'!A3:C111,2,FALSE)</f>
        <v>NX-1000v-A</v>
      </c>
      <c r="C83" t="s">
        <v>214</v>
      </c>
    </row>
    <row r="84" spans="1:3" x14ac:dyDescent="0.25">
      <c r="A84" s="4" t="s">
        <v>781</v>
      </c>
      <c r="B84" s="67" t="str">
        <f>VLOOKUP("Nexus 1000v B Hostname",'1000v Info'!A3:C111,2,FALSE)</f>
        <v>NX-1000v-B</v>
      </c>
      <c r="C84" t="s">
        <v>215</v>
      </c>
    </row>
    <row r="85" spans="1:3" x14ac:dyDescent="0.25">
      <c r="A85" s="4" t="s">
        <v>767</v>
      </c>
      <c r="B85" s="67" t="str">
        <f>VLOOKUP("VSAN A Name",'Nexus Info'!A3:C111,2,FALSE)</f>
        <v>VSAN-A</v>
      </c>
    </row>
    <row r="86" spans="1:3" x14ac:dyDescent="0.25">
      <c r="A86" s="4" t="s">
        <v>403</v>
      </c>
      <c r="B86" s="67">
        <f>VLOOKUP("VSAN A ID",'Nexus Info'!A3:C111,2,FALSE)</f>
        <v>101</v>
      </c>
      <c r="C86" t="s">
        <v>217</v>
      </c>
    </row>
    <row r="87" spans="1:3" x14ac:dyDescent="0.25">
      <c r="A87" s="4" t="s">
        <v>769</v>
      </c>
      <c r="B87" s="67" t="str">
        <f>VLOOKUP("VSAN B Name",'Nexus Info'!A3:C111,2,FALSE)</f>
        <v>VSAN-B</v>
      </c>
    </row>
    <row r="88" spans="1:3" x14ac:dyDescent="0.25">
      <c r="A88" s="4" t="s">
        <v>405</v>
      </c>
      <c r="B88" s="67">
        <f>VLOOKUP("VSAN B ID",'Nexus Info'!A3:C111,2,FALSE)</f>
        <v>102</v>
      </c>
      <c r="C88" t="s">
        <v>219</v>
      </c>
    </row>
    <row r="89" spans="1:3" x14ac:dyDescent="0.25">
      <c r="A89" s="4" t="s">
        <v>339</v>
      </c>
      <c r="B89" s="67" t="str">
        <f>VLOOKUP("UCS Clustername",'UCS Info'!A3:C121,2,FALSE)</f>
        <v>UCS1</v>
      </c>
      <c r="C89" t="s">
        <v>220</v>
      </c>
    </row>
    <row r="90" spans="1:3" x14ac:dyDescent="0.25">
      <c r="A90" s="4" t="s">
        <v>340</v>
      </c>
      <c r="B90" s="67" t="str">
        <f>VLOOKUP("UCS Fabic Interconnect A Management IP",'UCS Info'!A3:C111,2,FALSE)</f>
        <v>172.26.56.101</v>
      </c>
      <c r="C90" t="s">
        <v>221</v>
      </c>
    </row>
    <row r="91" spans="1:3" x14ac:dyDescent="0.25">
      <c r="A91" s="4" t="s">
        <v>341</v>
      </c>
      <c r="B91" s="67" t="str">
        <f>VLOOKUP("UCSM Mgmt IP Subnet Mask",'UCS Info'!A3:C121,2,FALSE)</f>
        <v>255.255.255.0</v>
      </c>
      <c r="C91" t="s">
        <v>166</v>
      </c>
    </row>
    <row r="92" spans="1:3" x14ac:dyDescent="0.25">
      <c r="A92" s="4" t="s">
        <v>342</v>
      </c>
      <c r="B92" s="67" t="str">
        <f>VLOOKUP("UCSM Mgmt IP Gateway",'UCS Info'!A3:C121,2,FALSE)</f>
        <v>172.26.56.1</v>
      </c>
      <c r="C92" t="s">
        <v>167</v>
      </c>
    </row>
    <row r="93" spans="1:3" x14ac:dyDescent="0.25">
      <c r="A93" s="4" t="s">
        <v>344</v>
      </c>
      <c r="B93" s="67" t="str">
        <f>VLOOKUP("UCS Fabic Interconnect B Management IP",'UCS Info'!A3:C111,2,FALSE)</f>
        <v>172.26.56.102</v>
      </c>
      <c r="C93" t="s">
        <v>223</v>
      </c>
    </row>
    <row r="94" spans="1:3" x14ac:dyDescent="0.25">
      <c r="A94" s="4" t="s">
        <v>995</v>
      </c>
      <c r="B94" s="67" t="str">
        <f>VLOOKUP("UCSM Mgmt IP Subnet Mask",'UCS Info'!A3:C124,2,FALSE)</f>
        <v>255.255.255.0</v>
      </c>
      <c r="C94" t="s">
        <v>166</v>
      </c>
    </row>
    <row r="95" spans="1:3" x14ac:dyDescent="0.25">
      <c r="A95" s="4" t="s">
        <v>996</v>
      </c>
      <c r="B95" s="67" t="str">
        <f>VLOOKUP("UCSM Mgmt IP Gateway",'UCS Info'!A3:C124,2,FALSE)</f>
        <v>172.26.56.1</v>
      </c>
      <c r="C95" t="s">
        <v>167</v>
      </c>
    </row>
    <row r="96" spans="1:3" x14ac:dyDescent="0.25">
      <c r="A96" s="4" t="s">
        <v>343</v>
      </c>
      <c r="B96" s="67" t="str">
        <f>VLOOKUP("UCSM Mgmt VIP",'UCS Info'!A3:C121,2,FALSE)</f>
        <v>172.26.56.5</v>
      </c>
      <c r="C96" t="s">
        <v>222</v>
      </c>
    </row>
    <row r="97" spans="1:3" x14ac:dyDescent="0.25">
      <c r="A97" s="4" t="s">
        <v>779</v>
      </c>
      <c r="B97" s="67" t="str">
        <f>VLOOKUP("Nexus 1000v A CIMC IP Address",'1000v Info'!A3:C111,2,FALSE)</f>
        <v>192.168.11.11</v>
      </c>
      <c r="C97" t="s">
        <v>224</v>
      </c>
    </row>
    <row r="98" spans="1:3" x14ac:dyDescent="0.25">
      <c r="A98" s="4" t="s">
        <v>780</v>
      </c>
      <c r="B98" s="67" t="str">
        <f>VLOOKUP("Nexus 1000v B CIMC IP Address",'1000v Info'!A3:C111,2,FALSE)</f>
        <v>192.168.11.12</v>
      </c>
      <c r="C98" t="s">
        <v>224</v>
      </c>
    </row>
    <row r="99" spans="1:3" x14ac:dyDescent="0.25">
      <c r="A99" s="4" t="s">
        <v>345</v>
      </c>
      <c r="B99" s="67" t="str">
        <f>VLOOKUP("Nexus 1000v CIMC subnet Mask",'1000v Info'!A3:C111,2,FALSE)</f>
        <v>255.255.255.0</v>
      </c>
      <c r="C99" t="s">
        <v>166</v>
      </c>
    </row>
    <row r="100" spans="1:3" x14ac:dyDescent="0.25">
      <c r="A100" s="4" t="s">
        <v>346</v>
      </c>
      <c r="B100" s="67" t="str">
        <f>VLOOKUP("Nexus 1000v CIMC Gateway",'1000v Info'!A3:C111,2,FALSE)</f>
        <v>192.168.11.254</v>
      </c>
      <c r="C100" t="s">
        <v>167</v>
      </c>
    </row>
    <row r="101" spans="1:3" x14ac:dyDescent="0.25">
      <c r="A101" s="4" t="s">
        <v>347</v>
      </c>
      <c r="B101" s="67">
        <f>VLOOKUP("Nexus 1000v VSA domain ID",'1000v Info'!A3:C111,2,FALSE)</f>
        <v>10</v>
      </c>
      <c r="C101" t="s">
        <v>225</v>
      </c>
    </row>
    <row r="102" spans="1:3" x14ac:dyDescent="0.25">
      <c r="A102" s="4" t="s">
        <v>348</v>
      </c>
      <c r="B102" s="67" t="str">
        <f>VLOOKUP("Nexus 1000v VSA Hostname",'1000v Info'!A3:C111,2,FALSE)</f>
        <v>VSA</v>
      </c>
      <c r="C102" t="s">
        <v>226</v>
      </c>
    </row>
    <row r="103" spans="1:3" x14ac:dyDescent="0.25">
      <c r="A103" s="4" t="s">
        <v>349</v>
      </c>
      <c r="B103" s="67" t="str">
        <f>VLOOKUP("Nexus 1000v VSA IP Address",'1000v Info'!A3:C111,2,FALSE)</f>
        <v>192.168.20.20</v>
      </c>
      <c r="C103" t="s">
        <v>227</v>
      </c>
    </row>
    <row r="104" spans="1:3" x14ac:dyDescent="0.25">
      <c r="A104" s="4" t="s">
        <v>350</v>
      </c>
      <c r="B104" s="67" t="str">
        <f>VLOOKUP("Nexus 1000v VSA Subnet Mask",'1000v Info'!A3:C111,2,FALSE)</f>
        <v>255.255.255.0</v>
      </c>
      <c r="C104" t="s">
        <v>228</v>
      </c>
    </row>
    <row r="105" spans="1:3" x14ac:dyDescent="0.25">
      <c r="A105" s="4" t="s">
        <v>351</v>
      </c>
      <c r="B105" s="67" t="str">
        <f>VLOOKUP("Nexus 1000v VSA Gateway",'1000v Info'!A3:C111,2,FALSE)</f>
        <v>192.168.20.254</v>
      </c>
      <c r="C105" t="s">
        <v>175</v>
      </c>
    </row>
    <row r="106" spans="1:3" x14ac:dyDescent="0.25">
      <c r="A106" s="4" t="s">
        <v>352</v>
      </c>
      <c r="B106" s="67">
        <f>VLOOKUP("Nexus 1000v VSM Domain ID",'1000v Info'!A3:C111,2,FALSE)</f>
        <v>10</v>
      </c>
      <c r="C106" t="s">
        <v>229</v>
      </c>
    </row>
    <row r="107" spans="1:3" x14ac:dyDescent="0.25">
      <c r="A107" s="4" t="s">
        <v>353</v>
      </c>
      <c r="B107" s="67" t="str">
        <f>VLOOKUP("Nexus 1000v VSM Management IP",'1000v Info'!A3:C111,2,FALSE)</f>
        <v>192.168.20.21</v>
      </c>
      <c r="C107" t="s">
        <v>230</v>
      </c>
    </row>
    <row r="108" spans="1:3" x14ac:dyDescent="0.25">
      <c r="A108" s="4" t="s">
        <v>354</v>
      </c>
      <c r="B108" s="67" t="str">
        <f>VLOOKUP("Nexus 1000v VSM Management Subnet Mask",'1000v Info'!A3:C111,2,FALSE)</f>
        <v>255.255.255.0</v>
      </c>
      <c r="C108" t="s">
        <v>228</v>
      </c>
    </row>
    <row r="109" spans="1:3" x14ac:dyDescent="0.25">
      <c r="A109" s="4" t="s">
        <v>355</v>
      </c>
      <c r="B109" s="67" t="str">
        <f>VLOOKUP("Nexus 1000v VSM Management Gateway",'1000v Info'!A3:C111,2,FALSE)</f>
        <v>192.168.20.254</v>
      </c>
      <c r="C109" t="s">
        <v>175</v>
      </c>
    </row>
    <row r="110" spans="1:3" x14ac:dyDescent="0.25">
      <c r="A110" s="4" t="s">
        <v>356</v>
      </c>
      <c r="B110" s="67" t="str">
        <f>VLOOKUP("Nexus 1000v VSM Management Hostname",'1000v Info'!A3:C111,2,FALSE)</f>
        <v>VSM</v>
      </c>
      <c r="C110" t="s">
        <v>231</v>
      </c>
    </row>
    <row r="111" spans="1:3" x14ac:dyDescent="0.25">
      <c r="A111" s="4" t="s">
        <v>992</v>
      </c>
      <c r="B111" s="67" t="str">
        <f>VLOOKUP("Vserver Name",'NetApp Info'!A3:C111,2,FALSE)</f>
        <v>vserver</v>
      </c>
      <c r="C111" t="s">
        <v>232</v>
      </c>
    </row>
    <row r="112" spans="1:3" x14ac:dyDescent="0.25">
      <c r="A112" s="4" t="s">
        <v>358</v>
      </c>
      <c r="B112" s="67" t="s">
        <v>700</v>
      </c>
      <c r="C112" t="s">
        <v>233</v>
      </c>
    </row>
    <row r="113" spans="1:3" x14ac:dyDescent="0.25">
      <c r="A113" s="4" t="s">
        <v>359</v>
      </c>
      <c r="B113" s="67">
        <v>1</v>
      </c>
      <c r="C113" t="s">
        <v>234</v>
      </c>
    </row>
    <row r="114" spans="1:3" x14ac:dyDescent="0.25">
      <c r="A114" s="4" t="s">
        <v>360</v>
      </c>
      <c r="B114" s="67" t="str">
        <f>VLOOKUP("DNS Name",Questions!A1:F47,2,FALSE)</f>
        <v>test.local</v>
      </c>
      <c r="C114" t="s">
        <v>235</v>
      </c>
    </row>
    <row r="115" spans="1:3" x14ac:dyDescent="0.25">
      <c r="A115" s="4" t="s">
        <v>695</v>
      </c>
      <c r="B115" s="67" t="str">
        <f>VLOOKUP("DNS Server 1",Questions!A1:F47,2,FALSE)</f>
        <v>172.26.56.20</v>
      </c>
      <c r="C115" t="s">
        <v>236</v>
      </c>
    </row>
    <row r="116" spans="1:3" x14ac:dyDescent="0.25">
      <c r="A116" s="4" t="s">
        <v>694</v>
      </c>
      <c r="B116" s="67" t="str">
        <f>VLOOKUP("DNS Server 2",Questions!A2:F48,2,FALSE)</f>
        <v>172.26.56.1</v>
      </c>
      <c r="C116" t="s">
        <v>236</v>
      </c>
    </row>
    <row r="117" spans="1:3" x14ac:dyDescent="0.25">
      <c r="A117" s="4" t="s">
        <v>704</v>
      </c>
      <c r="B117" s="67" t="str">
        <f>VLOOKUP("Vserver Admin Password",'NetApp Info'!A3:C111,2,FALSE)</f>
        <v>test1234</v>
      </c>
      <c r="C117" t="s">
        <v>237</v>
      </c>
    </row>
    <row r="118" spans="1:3" x14ac:dyDescent="0.25">
      <c r="A118" s="4" t="s">
        <v>702</v>
      </c>
      <c r="B118" s="67" t="str">
        <f>VLOOKUP("Vserver Management IP address",'NetApp Info'!A3:C111,2,FALSE)</f>
        <v>192.168.20.1</v>
      </c>
      <c r="C118" t="s">
        <v>238</v>
      </c>
    </row>
    <row r="119" spans="1:3" x14ac:dyDescent="0.25">
      <c r="A119" s="4" t="s">
        <v>703</v>
      </c>
      <c r="B119" s="67" t="str">
        <f>VLOOKUP("Vserver Management Subnet Mask",'NetApp Info'!A3:C111,2,FALSE)</f>
        <v>255.255.255.0</v>
      </c>
      <c r="C119" t="s">
        <v>239</v>
      </c>
    </row>
    <row r="120" spans="1:3" x14ac:dyDescent="0.25">
      <c r="A120" s="4" t="s">
        <v>988</v>
      </c>
      <c r="B120" s="67" t="str">
        <f>VLOOKUP("Vserver Management Gateway",'NetApp Info'!A3:C111,2,FALSE)</f>
        <v>192.168.20.254</v>
      </c>
      <c r="C120" t="s">
        <v>989</v>
      </c>
    </row>
    <row r="121" spans="1:3" x14ac:dyDescent="0.25">
      <c r="A121" s="4" t="s">
        <v>240</v>
      </c>
      <c r="B121" s="67">
        <v>1</v>
      </c>
      <c r="C121" t="s">
        <v>241</v>
      </c>
    </row>
    <row r="122" spans="1:3" x14ac:dyDescent="0.25">
      <c r="A122" s="4" t="s">
        <v>990</v>
      </c>
      <c r="B122" s="67" t="str">
        <f>VLOOKUP("FTP Server",Questions!A8:F54,2,FALSE)</f>
        <v>172.26.56.1</v>
      </c>
      <c r="C122" t="s">
        <v>242</v>
      </c>
    </row>
    <row r="123" spans="1:3" x14ac:dyDescent="0.25">
      <c r="A123" s="4" t="s">
        <v>817</v>
      </c>
      <c r="B123" s="67" t="str">
        <f>VLOOKUP("UCSM Mgmt IP Pool Start",'UCS Info'!A3:C121,2,FALSE)</f>
        <v>172.26.56.201</v>
      </c>
    </row>
    <row r="124" spans="1:3" x14ac:dyDescent="0.25">
      <c r="A124" s="4" t="s">
        <v>818</v>
      </c>
      <c r="B124" s="67" t="str">
        <f>VLOOKUP("UCSM Mgmt IP Pool Finish",'UCS Info'!A3:C121,2,FALSE)</f>
        <v>172.26.56.220</v>
      </c>
    </row>
    <row r="125" spans="1:3" x14ac:dyDescent="0.25">
      <c r="A125" s="4" t="s">
        <v>819</v>
      </c>
      <c r="B125" s="67">
        <f>VLOOKUP("Site ID Code",'UCS Info'!A3:C121,2,FALSE)</f>
        <v>1</v>
      </c>
    </row>
    <row r="126" spans="1:3" x14ac:dyDescent="0.25">
      <c r="A126" s="4" t="s">
        <v>820</v>
      </c>
      <c r="B126" s="67" t="str">
        <f>VLOOKUP("Site Description",'UCS Info'!A3:C121,2,FALSE)</f>
        <v>Test</v>
      </c>
    </row>
    <row r="127" spans="1:3" x14ac:dyDescent="0.25">
      <c r="A127" s="4" t="s">
        <v>821</v>
      </c>
      <c r="B127" s="67">
        <f>VLOOKUP("Pod ID",'UCS Info'!A3:C121,2,FALSE)</f>
        <v>1</v>
      </c>
    </row>
    <row r="128" spans="1:3" x14ac:dyDescent="0.25">
      <c r="A128" s="4" t="s">
        <v>822</v>
      </c>
      <c r="B128" s="67" t="str">
        <f>VLOOKUP("Pod Description",'UCS Info'!A3:C121,2,FALSE)</f>
        <v>test</v>
      </c>
    </row>
    <row r="129" spans="1:3" x14ac:dyDescent="0.25">
      <c r="A129" s="4" t="s">
        <v>823</v>
      </c>
      <c r="B129" s="67" t="str">
        <f>VLOOKUP("UUID Pool Name",'UCS Info'!A3:C121,2,FALSE)</f>
        <v>Pool1</v>
      </c>
    </row>
    <row r="130" spans="1:3" x14ac:dyDescent="0.25">
      <c r="A130" s="4" t="s">
        <v>824</v>
      </c>
      <c r="B130" s="67" t="str">
        <f>VLOOKUP("MAC Pool ESXi Mgmt Name",'UCS Info'!A3:C121,2,FALSE)</f>
        <v>ESXi_Mgmt</v>
      </c>
    </row>
    <row r="131" spans="1:3" x14ac:dyDescent="0.25">
      <c r="A131" s="4" t="s">
        <v>825</v>
      </c>
      <c r="B131" s="67" t="str">
        <f>VLOOKUP("MAC Pool ESXi Mgmt ID",'UCS Info'!A3:C121,2,FALSE)</f>
        <v>01</v>
      </c>
    </row>
    <row r="132" spans="1:3" x14ac:dyDescent="0.25">
      <c r="A132" s="4" t="s">
        <v>826</v>
      </c>
      <c r="B132" s="67" t="str">
        <f>VLOOKUP("MAC Pool vMotion Name",'UCS Info'!A3:C121,2,FALSE)</f>
        <v>vMotion</v>
      </c>
    </row>
    <row r="133" spans="1:3" x14ac:dyDescent="0.25">
      <c r="A133" s="4" t="s">
        <v>827</v>
      </c>
      <c r="B133" s="67" t="str">
        <f>VLOOKUP("MAC Pool vMotion ID",'UCS Info'!A3:C121,2,FALSE)</f>
        <v>02</v>
      </c>
    </row>
    <row r="134" spans="1:3" x14ac:dyDescent="0.25">
      <c r="A134" s="4" t="s">
        <v>828</v>
      </c>
      <c r="B134" s="67" t="str">
        <f>VLOOKUP("MAC Pool Storage Access Name",'UCS Info'!A3:C121,2,FALSE)</f>
        <v>NFS</v>
      </c>
      <c r="C134" t="s">
        <v>832</v>
      </c>
    </row>
    <row r="135" spans="1:3" x14ac:dyDescent="0.25">
      <c r="A135" s="4" t="s">
        <v>829</v>
      </c>
      <c r="B135" s="67" t="str">
        <f>VLOOKUP("MAC Pool Storage Access ID",'UCS Info'!A3:C121,2,FALSE)</f>
        <v>03</v>
      </c>
      <c r="C135" t="s">
        <v>832</v>
      </c>
    </row>
    <row r="136" spans="1:3" x14ac:dyDescent="0.25">
      <c r="A136" s="4" t="s">
        <v>830</v>
      </c>
      <c r="B136" s="67" t="str">
        <f>VLOOKUP("MAC Pool VM Traffic #1 Name",'UCS Info'!A3:C121,2,FALSE)</f>
        <v>VM</v>
      </c>
    </row>
    <row r="137" spans="1:3" x14ac:dyDescent="0.25">
      <c r="A137" s="4" t="s">
        <v>831</v>
      </c>
      <c r="B137" s="67" t="str">
        <f>VLOOKUP("MAC Pool VM Traffic #1 ID",'UCS Info'!A3:C121,2,FALSE)</f>
        <v>04</v>
      </c>
    </row>
    <row r="138" spans="1:3" x14ac:dyDescent="0.25">
      <c r="A138" s="4" t="s">
        <v>842</v>
      </c>
      <c r="B138" s="67" t="str">
        <f>VLOOKUP("WWNN Pool Name",'UCS Info'!A3:C121,2,FALSE)</f>
        <v>WWNN_Pool</v>
      </c>
    </row>
    <row r="139" spans="1:3" x14ac:dyDescent="0.25">
      <c r="A139" s="4" t="s">
        <v>843</v>
      </c>
      <c r="B139" s="67" t="str">
        <f>VLOOKUP("WWPN Pool Name",'UCS Info'!A3:C121,2,FALSE)</f>
        <v>FAB</v>
      </c>
    </row>
    <row r="140" spans="1:3" x14ac:dyDescent="0.25">
      <c r="A140" s="4" t="s">
        <v>846</v>
      </c>
      <c r="B140" s="67" t="str">
        <f>VLOOKUP("VSAN A Name",'Nexus Info'!A3:C172,2,FALSE)</f>
        <v>VSAN-A</v>
      </c>
    </row>
    <row r="141" spans="1:3" x14ac:dyDescent="0.25">
      <c r="A141" s="4" t="s">
        <v>847</v>
      </c>
      <c r="B141" s="67">
        <f>VLOOKUP("VSAN A ID",'Nexus Info'!A3:C172,2,FALSE)</f>
        <v>101</v>
      </c>
      <c r="C141" t="s">
        <v>217</v>
      </c>
    </row>
    <row r="142" spans="1:3" x14ac:dyDescent="0.25">
      <c r="A142" s="4" t="s">
        <v>852</v>
      </c>
      <c r="B142" s="67" t="str">
        <f>VLOOKUP("VSAN B Name",'Nexus Info'!A3:C172,2,FALSE)</f>
        <v>VSAN-B</v>
      </c>
    </row>
    <row r="143" spans="1:3" x14ac:dyDescent="0.25">
      <c r="A143" s="4" t="s">
        <v>853</v>
      </c>
      <c r="B143" s="67">
        <f>VLOOKUP("VSAN B ID",'Nexus Info'!A3:C172,2,FALSE)</f>
        <v>102</v>
      </c>
      <c r="C143" t="s">
        <v>219</v>
      </c>
    </row>
    <row r="144" spans="1:3" x14ac:dyDescent="0.25">
      <c r="A144" s="4" t="s">
        <v>857</v>
      </c>
      <c r="B144" s="67" t="str">
        <f>VLOOKUP("inband Management VLAN Name",'Nexus Info'!A3:C202,2,FALSE)</f>
        <v>Mgmt</v>
      </c>
    </row>
    <row r="145" spans="1:3" x14ac:dyDescent="0.25">
      <c r="A145" s="4" t="s">
        <v>856</v>
      </c>
      <c r="B145" s="67">
        <f>VLOOKUP("inband Management VLAN ID",'Nexus Info'!A3:C202,2,FALSE)</f>
        <v>3175</v>
      </c>
      <c r="C145" t="s">
        <v>207</v>
      </c>
    </row>
    <row r="146" spans="1:3" x14ac:dyDescent="0.25">
      <c r="A146" s="4" t="s">
        <v>833</v>
      </c>
      <c r="B146" s="67" t="str">
        <f>VLOOKUP("NFS VLAN Name",'Nexus Info'!A3:C185,2,FALSE)</f>
        <v>NFS</v>
      </c>
    </row>
    <row r="147" spans="1:3" x14ac:dyDescent="0.25">
      <c r="A147" s="4" t="s">
        <v>834</v>
      </c>
      <c r="B147" s="67">
        <f>VLOOKUP("NFS VLAN ID",'Nexus Info'!A3:C185,2,FALSE)</f>
        <v>3170</v>
      </c>
      <c r="C147" t="s">
        <v>209</v>
      </c>
    </row>
    <row r="148" spans="1:3" x14ac:dyDescent="0.25">
      <c r="A148" s="4" t="s">
        <v>835</v>
      </c>
      <c r="B148" s="67" t="str">
        <f>VLOOKUP("Packet Control VLAN Name",'Nexus Info'!A3:C185,2,FALSE)</f>
        <v>PacketControl</v>
      </c>
    </row>
    <row r="149" spans="1:3" x14ac:dyDescent="0.25">
      <c r="A149" s="4" t="s">
        <v>836</v>
      </c>
      <c r="B149" s="67">
        <f>VLOOKUP("Packet Control VLAN ID",'Nexus Info'!A3:C185,2,FALSE)</f>
        <v>3176</v>
      </c>
      <c r="C149" t="s">
        <v>210</v>
      </c>
    </row>
    <row r="150" spans="1:3" x14ac:dyDescent="0.25">
      <c r="A150" s="4" t="s">
        <v>837</v>
      </c>
      <c r="B150" s="67" t="str">
        <f>VLOOKUP("vMotion VLAN Name",'Nexus Info'!A3:C185,2,FALSE)</f>
        <v>vMotion</v>
      </c>
    </row>
    <row r="151" spans="1:3" x14ac:dyDescent="0.25">
      <c r="A151" s="4" t="s">
        <v>838</v>
      </c>
      <c r="B151" s="67">
        <f>VLOOKUP("vMotion VLAN ID",'Nexus Info'!A3:C185,2,FALSE)</f>
        <v>3173</v>
      </c>
      <c r="C151" t="s">
        <v>841</v>
      </c>
    </row>
    <row r="152" spans="1:3" x14ac:dyDescent="0.25">
      <c r="A152" s="4" t="s">
        <v>839</v>
      </c>
      <c r="B152" s="67" t="str">
        <f>VLOOKUP("VM Traffic VLAN Name",'Nexus Info'!A3:C185,2,FALSE)</f>
        <v>Server</v>
      </c>
    </row>
    <row r="153" spans="1:3" x14ac:dyDescent="0.25">
      <c r="A153" s="4" t="s">
        <v>840</v>
      </c>
      <c r="B153" s="67">
        <f>VLOOKUP("VM Traffic VLAN",'Nexus Info'!A3:C185,2,FALSE)</f>
        <v>3174</v>
      </c>
      <c r="C153" t="s">
        <v>212</v>
      </c>
    </row>
    <row r="154" spans="1:3" x14ac:dyDescent="0.25">
      <c r="A154" s="4" t="s">
        <v>860</v>
      </c>
      <c r="B154" s="67" t="str">
        <f>VLOOKUP("Fabric A ESXi Management vNIC Template Name",'UCS Info'!A3:C121,2,FALSE)</f>
        <v>ESXi_A</v>
      </c>
    </row>
    <row r="155" spans="1:3" x14ac:dyDescent="0.25">
      <c r="A155" s="4" t="s">
        <v>859</v>
      </c>
      <c r="B155" s="67" t="str">
        <f>VLOOKUP("Fabric A vMotion vNIC Template Name",'UCS Info'!A3:C121,2,FALSE)</f>
        <v>vMotion_A</v>
      </c>
    </row>
    <row r="156" spans="1:3" x14ac:dyDescent="0.25">
      <c r="A156" s="4" t="s">
        <v>1023</v>
      </c>
      <c r="B156" s="67" t="str">
        <f>VLOOKUP("Fabric A Storage Access vNIC Template Name",'UCS Info'!A3:C121,2,FALSE)</f>
        <v>NFS_A</v>
      </c>
    </row>
    <row r="157" spans="1:3" x14ac:dyDescent="0.25">
      <c r="A157" s="4" t="s">
        <v>1024</v>
      </c>
      <c r="B157" s="67" t="str">
        <f>VLOOKUP("Fabric A VM Traffic vNIC Template Name",'UCS Info'!A3:C121,2,FALSE)</f>
        <v>VM_A</v>
      </c>
    </row>
    <row r="158" spans="1:3" x14ac:dyDescent="0.25">
      <c r="A158" s="4" t="s">
        <v>862</v>
      </c>
      <c r="B158" s="67" t="str">
        <f>VLOOKUP("Fabric B ESXi Management vNIC Template Name",'UCS Info'!A3:C121,2,FALSE)</f>
        <v>ESXi_B</v>
      </c>
    </row>
    <row r="159" spans="1:3" x14ac:dyDescent="0.25">
      <c r="A159" s="4" t="s">
        <v>861</v>
      </c>
      <c r="B159" s="67" t="str">
        <f>VLOOKUP("Fabric B vMotion vNIC Template Name",'UCS Info'!A3:C121,2,FALSE)</f>
        <v>vMotion_B</v>
      </c>
    </row>
    <row r="160" spans="1:3" x14ac:dyDescent="0.25">
      <c r="A160" s="4" t="s">
        <v>1025</v>
      </c>
      <c r="B160" s="67" t="str">
        <f>VLOOKUP("Fabric B Storage Access vNIC Template Name",'UCS Info'!A3:C121,2,FALSE)</f>
        <v>NFS_B</v>
      </c>
    </row>
    <row r="161" spans="1:3" x14ac:dyDescent="0.25">
      <c r="A161" s="4" t="s">
        <v>1026</v>
      </c>
      <c r="B161" s="67" t="str">
        <f>VLOOKUP("Fabric B VM Traffic vNIC Template Name",'UCS Info'!A3:C121,2,FALSE)</f>
        <v>VM_B</v>
      </c>
    </row>
    <row r="162" spans="1:3" x14ac:dyDescent="0.25">
      <c r="A162" s="4" t="s">
        <v>863</v>
      </c>
      <c r="B162" s="67" t="str">
        <f>VLOOKUP("Fabric A vHBA Template Name",'UCS Info'!A3:C121,2,FALSE)</f>
        <v>FAB_A</v>
      </c>
    </row>
    <row r="163" spans="1:3" x14ac:dyDescent="0.25">
      <c r="A163" s="4" t="s">
        <v>864</v>
      </c>
      <c r="B163" s="67" t="str">
        <f>VLOOKUP("Fabric B vHBA Template Name",'UCS Info'!A3:C121,2,FALSE)</f>
        <v>FAB_B</v>
      </c>
    </row>
    <row r="164" spans="1:3" x14ac:dyDescent="0.25">
      <c r="A164" s="4" t="s">
        <v>865</v>
      </c>
      <c r="B164" s="67" t="str">
        <f>VLOOKUP("Service Profile Template Name",'UCS Info'!A3:C121,2,FALSE)</f>
        <v>POD1</v>
      </c>
    </row>
    <row r="165" spans="1:3" x14ac:dyDescent="0.25">
      <c r="A165" s="4" t="s">
        <v>866</v>
      </c>
      <c r="B165" s="67" t="str">
        <f>VLOOKUP("Service Profile Prefix for ESXi Hosts",'UCS Info'!A3:C121,2,FALSE)</f>
        <v>ESXi_</v>
      </c>
    </row>
    <row r="166" spans="1:3" x14ac:dyDescent="0.25">
      <c r="A166" s="4" t="s">
        <v>361</v>
      </c>
      <c r="B166" s="67" t="s">
        <v>993</v>
      </c>
      <c r="C166" t="s">
        <v>243</v>
      </c>
    </row>
    <row r="167" spans="1:3" x14ac:dyDescent="0.25">
      <c r="A167" s="4" t="s">
        <v>362</v>
      </c>
      <c r="B167" s="67" t="s">
        <v>993</v>
      </c>
      <c r="C167" t="s">
        <v>244</v>
      </c>
    </row>
    <row r="168" spans="1:3" x14ac:dyDescent="0.25">
      <c r="A168" s="4" t="s">
        <v>363</v>
      </c>
      <c r="B168" s="67" t="s">
        <v>993</v>
      </c>
      <c r="C168" t="s">
        <v>245</v>
      </c>
    </row>
    <row r="169" spans="1:3" x14ac:dyDescent="0.25">
      <c r="A169" s="4" t="s">
        <v>364</v>
      </c>
      <c r="B169" s="67" t="s">
        <v>993</v>
      </c>
      <c r="C169" t="s">
        <v>246</v>
      </c>
    </row>
    <row r="170" spans="1:3" x14ac:dyDescent="0.25">
      <c r="A170" s="4" t="s">
        <v>357</v>
      </c>
      <c r="B170" s="67" t="str">
        <f>VLOOKUP("vCenter IP Address",'VMWare Info'!A3:C111,2,FALSE)</f>
        <v>172.26.56.200</v>
      </c>
    </row>
    <row r="171" spans="1:3" x14ac:dyDescent="0.25">
      <c r="A171" s="4" t="s">
        <v>816</v>
      </c>
      <c r="B171" s="67" t="str">
        <f>VLOOKUP("VMWare ESXi Host IP Pool Start",'VMWare Info'!A3:C111,2,FALSE)</f>
        <v>172.26.56.201</v>
      </c>
    </row>
    <row r="172" spans="1:3" x14ac:dyDescent="0.25">
      <c r="A172" s="4" t="s">
        <v>815</v>
      </c>
      <c r="B172" s="67" t="str">
        <f>VLOOKUP("VMWare ESXi Host IP Pool End",'VMWare Info'!A3:C111,2,FALSE)</f>
        <v>172.26.56.220</v>
      </c>
    </row>
    <row r="173" spans="1:3" x14ac:dyDescent="0.25">
      <c r="A173" s="4" t="s">
        <v>1002</v>
      </c>
      <c r="B173" s="67" t="str">
        <f>VLOOKUP("VMWare ESXi Host IP Mask",'VMWare Info'!A3:C111,2,FALSE)</f>
        <v>255.255.255.0</v>
      </c>
    </row>
    <row r="174" spans="1:3" x14ac:dyDescent="0.25">
      <c r="A174" s="4" t="s">
        <v>1009</v>
      </c>
      <c r="B174" s="67" t="str">
        <f>VLOOKUP("VMWare ESXi Host IP Gateway",'VMWare Info'!A3:C111,2,FALSE)</f>
        <v>172.26.56.1</v>
      </c>
    </row>
    <row r="175" spans="1:3" x14ac:dyDescent="0.25">
      <c r="A175" s="4" t="s">
        <v>813</v>
      </c>
      <c r="B175" s="67" t="str">
        <f>VLOOKUP("VMWare ESXi NFS IP Pool Start",'VMWare Info'!A3:C111,2,FALSE)</f>
        <v>192.168.22.201</v>
      </c>
    </row>
    <row r="176" spans="1:3" x14ac:dyDescent="0.25">
      <c r="A176" s="4" t="s">
        <v>814</v>
      </c>
      <c r="B176" t="str">
        <f>VLOOKUP("VMWare ESXi NFS IP Pool End",'VMWare Info'!A3:C111,2,FALSE)</f>
        <v>192.268.22.220</v>
      </c>
    </row>
    <row r="177" spans="1:2" x14ac:dyDescent="0.25">
      <c r="A177" s="4" t="s">
        <v>1003</v>
      </c>
      <c r="B177" t="str">
        <f>VLOOKUP("VMWare ESXi NFS IP Mask",'VMWare Info'!A3:C111,2,FALSE)</f>
        <v>255.255.255.0</v>
      </c>
    </row>
    <row r="178" spans="1:2" x14ac:dyDescent="0.25">
      <c r="A178" s="4" t="s">
        <v>1004</v>
      </c>
      <c r="B178" t="str">
        <f>VLOOKUP("VMWare ESXi vMotion IP Pool Start",'VMWare Info'!A3:C111,2,FALSE)</f>
        <v>192.168.100.201</v>
      </c>
    </row>
    <row r="179" spans="1:2" x14ac:dyDescent="0.25">
      <c r="A179" s="4" t="s">
        <v>1005</v>
      </c>
      <c r="B179" t="str">
        <f>VLOOKUP("VMWare ESXi vMotion IP Pool End",'VMWare Info'!A3:C111,2,FALSE)</f>
        <v>192.168.100.220</v>
      </c>
    </row>
    <row r="180" spans="1:2" x14ac:dyDescent="0.25">
      <c r="A180" s="4" t="s">
        <v>1006</v>
      </c>
      <c r="B180" t="str">
        <f>VLOOKUP("VMWare ESXi vMotion IP Mask",'VMWare Info'!A3:C111,2,FALSE)</f>
        <v>255.255.255.0</v>
      </c>
    </row>
  </sheetData>
  <mergeCells count="1">
    <mergeCell ref="A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19</vt:i4>
      </vt:variant>
    </vt:vector>
  </HeadingPairs>
  <TitlesOfParts>
    <vt:vector size="32" baseType="lpstr">
      <vt:lpstr>Questions</vt:lpstr>
      <vt:lpstr>UCS Info</vt:lpstr>
      <vt:lpstr>NetApp Info</vt:lpstr>
      <vt:lpstr>Nexus Info</vt:lpstr>
      <vt:lpstr>VMWare Info</vt:lpstr>
      <vt:lpstr>1000v Info</vt:lpstr>
      <vt:lpstr>Interfaces</vt:lpstr>
      <vt:lpstr>FCoE Variables</vt:lpstr>
      <vt:lpstr>FC Variables</vt:lpstr>
      <vt:lpstr>iSCSI Variables</vt:lpstr>
      <vt:lpstr>Answers</vt:lpstr>
      <vt:lpstr>hidden work</vt:lpstr>
      <vt:lpstr>Interface map</vt:lpstr>
      <vt:lpstr>Cisco_Nexus_1110_X_A</vt:lpstr>
      <vt:lpstr>Cisco_Nexus_1110_X_B</vt:lpstr>
      <vt:lpstr>Cisco_Nexus_5548_A</vt:lpstr>
      <vt:lpstr>Cisco_Nexus_5548_B</vt:lpstr>
      <vt:lpstr>Cisco_UCS_Fabric_Interconnect_A</vt:lpstr>
      <vt:lpstr>Cisco_UCS_Fabric_Interconnect_B</vt:lpstr>
      <vt:lpstr>NetApp_A</vt:lpstr>
      <vt:lpstr>NetApp_B</vt:lpstr>
      <vt:lpstr>NetApp_Controller_A</vt:lpstr>
      <vt:lpstr>NetApp_Controller_B</vt:lpstr>
      <vt:lpstr>Nexus_1000V_A</vt:lpstr>
      <vt:lpstr>Nexus_1000v_B</vt:lpstr>
      <vt:lpstr>Nexus_5548_A</vt:lpstr>
      <vt:lpstr>Nexus_5548_B</vt:lpstr>
      <vt:lpstr>UCS_FI_A</vt:lpstr>
      <vt:lpstr>UCS_FI_B</vt:lpstr>
      <vt:lpstr>'FC Variables'!Variables_1</vt:lpstr>
      <vt:lpstr>'FCoE Variables'!Variables_1</vt:lpstr>
      <vt:lpstr>'iSCSI Variables'!Variables_1</vt:lpstr>
    </vt:vector>
  </TitlesOfParts>
  <Company>World Wide Technology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Nickl</dc:creator>
  <cp:lastModifiedBy>Ryan Neubauer</cp:lastModifiedBy>
  <dcterms:created xsi:type="dcterms:W3CDTF">2013-07-30T02:40:25Z</dcterms:created>
  <dcterms:modified xsi:type="dcterms:W3CDTF">2013-10-28T21:26:01Z</dcterms:modified>
</cp:coreProperties>
</file>