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showInkAnnotation="0" autoCompressPictures="0"/>
  <mc:AlternateContent xmlns:mc="http://schemas.openxmlformats.org/markup-compatibility/2006">
    <mc:Choice Requires="x15">
      <x15ac:absPath xmlns:x15ac="http://schemas.microsoft.com/office/spreadsheetml/2010/11/ac" url="/Users/michaeldaniels/Desktop/"/>
    </mc:Choice>
  </mc:AlternateContent>
  <xr:revisionPtr revIDLastSave="0" documentId="8_{E8B74180-372A-1349-9FBA-F4B35ABDF7BF}" xr6:coauthVersionLast="45" xr6:coauthVersionMax="45" xr10:uidLastSave="{00000000-0000-0000-0000-000000000000}"/>
  <bookViews>
    <workbookView xWindow="0" yWindow="460" windowWidth="29040" windowHeight="15840" tabRatio="500" activeTab="9" xr2:uid="{00000000-000D-0000-FFFF-FFFF00000000}"/>
  </bookViews>
  <sheets>
    <sheet name="DIC" sheetId="60" state="hidden" r:id="rId1"/>
    <sheet name="ProfitLoss" sheetId="6" state="hidden" r:id="rId2"/>
    <sheet name="Sheet4" sheetId="61" state="hidden" r:id="rId3"/>
    <sheet name="Sheet5" sheetId="62" state="hidden" r:id="rId4"/>
    <sheet name="Sheet9" sheetId="66" state="hidden" r:id="rId5"/>
    <sheet name="Sheet10" sheetId="67" state="hidden" r:id="rId6"/>
    <sheet name="Sheet11" sheetId="68" state="hidden" r:id="rId7"/>
    <sheet name="V SCALE" sheetId="58" state="hidden" r:id="rId8"/>
    <sheet name="Sheet3" sheetId="59" state="hidden" r:id="rId9"/>
    <sheet name="Project 100k" sheetId="34" r:id="rId10"/>
    <sheet name="SubPenny" sheetId="93" r:id="rId11"/>
    <sheet name="Light Vol History" sheetId="94" r:id="rId12"/>
    <sheet name="Summary" sheetId="89" r:id="rId13"/>
    <sheet name="FRFGD" sheetId="91" r:id="rId14"/>
    <sheet name="Vol calc" sheetId="95" r:id="rId15"/>
    <sheet name="Sheet2" sheetId="42" state="hidden" r:id="rId16"/>
    <sheet name="Spikers" sheetId="11" state="hidden" r:id="rId17"/>
    <sheet name="Grinders Mid or ow" sheetId="12" state="hidden" r:id="rId18"/>
    <sheet name="GAPPERS" sheetId="16" state="hidden" r:id="rId19"/>
    <sheet name="Sheet1" sheetId="21" state="hidden" r:id="rId20"/>
    <sheet name="52 week movers" sheetId="13" state="hidden" r:id="rId21"/>
    <sheet name="Compilation" sheetId="18" state="hidden" r:id="rId22"/>
    <sheet name="Health" sheetId="10" state="hidden" r:id="rId23"/>
  </sheets>
  <definedNames>
    <definedName name="_xlnm._FilterDatabase" localSheetId="9" hidden="1">'Project 100k'!$A$1:$A$269</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9" i="94" l="1"/>
  <c r="E39" i="94"/>
  <c r="F39" i="94"/>
  <c r="G39" i="94"/>
  <c r="H39" i="94"/>
  <c r="I39" i="94"/>
  <c r="J39" i="94"/>
  <c r="K39" i="94"/>
  <c r="L39" i="94"/>
  <c r="M39" i="94"/>
  <c r="N39" i="94"/>
  <c r="O39" i="94"/>
  <c r="P39" i="94"/>
  <c r="C39" i="94"/>
  <c r="P31" i="94"/>
  <c r="P29" i="94"/>
  <c r="D31" i="94"/>
  <c r="E31" i="94"/>
  <c r="F31" i="94"/>
  <c r="G31" i="94"/>
  <c r="H31" i="94"/>
  <c r="I31" i="94"/>
  <c r="J31" i="94"/>
  <c r="K31" i="94"/>
  <c r="L31" i="94"/>
  <c r="M31" i="94"/>
  <c r="N31" i="94"/>
  <c r="O31" i="94"/>
  <c r="C31" i="94"/>
  <c r="C7" i="94"/>
  <c r="D21" i="94"/>
  <c r="E21" i="94"/>
  <c r="F21" i="94"/>
  <c r="G21" i="94"/>
  <c r="H21" i="94"/>
  <c r="I21" i="94"/>
  <c r="J21" i="94"/>
  <c r="K21" i="94"/>
  <c r="L21" i="94"/>
  <c r="M21" i="94"/>
  <c r="N21" i="94"/>
  <c r="O21" i="94"/>
  <c r="P21" i="94"/>
  <c r="C21" i="94"/>
  <c r="Q93" i="93"/>
  <c r="Q77" i="93"/>
  <c r="Q61" i="93"/>
  <c r="Q56" i="93"/>
  <c r="Q31" i="93"/>
  <c r="Q17" i="93"/>
  <c r="C10" i="93"/>
  <c r="D10" i="93"/>
  <c r="E10" i="93"/>
  <c r="F10" i="93"/>
  <c r="G10" i="93"/>
  <c r="H10" i="93"/>
  <c r="I10" i="93"/>
  <c r="K10" i="93"/>
  <c r="L10" i="93"/>
  <c r="M10" i="93"/>
  <c r="N10" i="93"/>
  <c r="O10" i="93"/>
  <c r="P10" i="93"/>
  <c r="Q268" i="34"/>
  <c r="C268" i="34"/>
  <c r="D268" i="34"/>
  <c r="E268" i="34"/>
  <c r="F268" i="34"/>
  <c r="G268" i="34"/>
  <c r="H268" i="34"/>
  <c r="I268" i="34"/>
  <c r="J268" i="34"/>
  <c r="K268" i="34"/>
  <c r="L268" i="34"/>
  <c r="N268" i="34"/>
  <c r="O268" i="34"/>
  <c r="P268" i="34"/>
  <c r="M268" i="34"/>
  <c r="B225" i="34"/>
  <c r="C225" i="34"/>
  <c r="D225" i="34"/>
  <c r="E225" i="34"/>
  <c r="F225" i="34"/>
  <c r="G225" i="34"/>
  <c r="H225" i="34"/>
  <c r="I225" i="34"/>
  <c r="J225" i="34"/>
  <c r="K225" i="34"/>
  <c r="L225" i="34"/>
  <c r="M225" i="34"/>
  <c r="N225" i="34"/>
  <c r="O225" i="34"/>
  <c r="P225" i="34"/>
  <c r="P190" i="34"/>
  <c r="Q225" i="34"/>
  <c r="Q179" i="34"/>
  <c r="Q152" i="34"/>
  <c r="C121" i="34"/>
  <c r="D121" i="34"/>
  <c r="E121" i="34"/>
  <c r="F121" i="34"/>
  <c r="G121" i="34"/>
  <c r="H121" i="34"/>
  <c r="I121" i="34"/>
  <c r="J121" i="34"/>
  <c r="K121" i="34"/>
  <c r="L121" i="34"/>
  <c r="N121" i="34"/>
  <c r="O121" i="34"/>
  <c r="M121" i="34"/>
  <c r="Q121" i="34"/>
  <c r="Q89" i="34"/>
  <c r="Q75" i="34"/>
  <c r="Q60" i="34"/>
  <c r="P37" i="34"/>
  <c r="Q31" i="34"/>
  <c r="Q7" i="34"/>
  <c r="Q17" i="34"/>
  <c r="P222" i="34"/>
  <c r="P233" i="34"/>
  <c r="P228" i="34"/>
  <c r="P229" i="34"/>
  <c r="P230" i="34"/>
  <c r="P27" i="93" l="1"/>
  <c r="C31" i="93"/>
  <c r="D31" i="93"/>
  <c r="F31" i="93"/>
  <c r="G31" i="93"/>
  <c r="I31" i="93"/>
  <c r="K31" i="93"/>
  <c r="L31" i="93"/>
  <c r="N31" i="93"/>
  <c r="O31" i="93"/>
  <c r="M27" i="93"/>
  <c r="J27" i="93"/>
  <c r="H27" i="93"/>
  <c r="E27" i="93"/>
  <c r="C89" i="34"/>
  <c r="D89" i="34"/>
  <c r="F89" i="34"/>
  <c r="G89" i="34"/>
  <c r="I89" i="34"/>
  <c r="K89" i="34"/>
  <c r="L89" i="34"/>
  <c r="N89" i="34"/>
  <c r="O89" i="34"/>
  <c r="M81" i="34"/>
  <c r="J81" i="34"/>
  <c r="H81" i="34"/>
  <c r="E81" i="34"/>
  <c r="P81" i="34" s="1"/>
  <c r="C75" i="34"/>
  <c r="D75" i="34"/>
  <c r="F75" i="34"/>
  <c r="G75" i="34"/>
  <c r="I75" i="34"/>
  <c r="K75" i="34"/>
  <c r="L75" i="34"/>
  <c r="N75" i="34"/>
  <c r="O75" i="34"/>
  <c r="M67" i="34"/>
  <c r="J67" i="34"/>
  <c r="H67" i="34"/>
  <c r="E67" i="34"/>
  <c r="P67" i="34" l="1"/>
  <c r="M222" i="34"/>
  <c r="J222" i="34"/>
  <c r="H222" i="34"/>
  <c r="E222" i="34"/>
  <c r="H223" i="34"/>
  <c r="M190" i="34"/>
  <c r="J190" i="34"/>
  <c r="H190" i="34"/>
  <c r="E190" i="34"/>
  <c r="C179" i="34"/>
  <c r="D179" i="34"/>
  <c r="F179" i="34"/>
  <c r="G179" i="34"/>
  <c r="I179" i="34"/>
  <c r="K179" i="34"/>
  <c r="L179" i="34"/>
  <c r="N179" i="34"/>
  <c r="O179" i="34"/>
  <c r="M169" i="34"/>
  <c r="J169" i="34"/>
  <c r="H169" i="34"/>
  <c r="E169" i="34"/>
  <c r="C152" i="34"/>
  <c r="D152" i="34"/>
  <c r="F152" i="34"/>
  <c r="G152" i="34"/>
  <c r="I152" i="34"/>
  <c r="K152" i="34"/>
  <c r="L152" i="34"/>
  <c r="N152" i="34"/>
  <c r="O152" i="34"/>
  <c r="M144" i="34"/>
  <c r="J144" i="34"/>
  <c r="H144" i="34"/>
  <c r="E144" i="34"/>
  <c r="P144" i="34" s="1"/>
  <c r="M138" i="34"/>
  <c r="J138" i="34"/>
  <c r="H138" i="34"/>
  <c r="E138" i="34"/>
  <c r="C60" i="34"/>
  <c r="D60" i="34"/>
  <c r="F60" i="34"/>
  <c r="G60" i="34"/>
  <c r="I60" i="34"/>
  <c r="K60" i="34"/>
  <c r="L60" i="34"/>
  <c r="N60" i="34"/>
  <c r="O60" i="34"/>
  <c r="M56" i="34"/>
  <c r="J56" i="34"/>
  <c r="H56" i="34"/>
  <c r="E56" i="34"/>
  <c r="B89" i="34"/>
  <c r="M86" i="34"/>
  <c r="J86" i="34"/>
  <c r="H86" i="34"/>
  <c r="E86" i="34"/>
  <c r="P138" i="34" l="1"/>
  <c r="P169" i="34"/>
  <c r="P86" i="34"/>
  <c r="P56" i="34"/>
  <c r="M244" i="34"/>
  <c r="J244" i="34"/>
  <c r="H244" i="34"/>
  <c r="E244" i="34"/>
  <c r="B268" i="34"/>
  <c r="M233" i="34"/>
  <c r="J233" i="34"/>
  <c r="H233" i="34"/>
  <c r="E233" i="34"/>
  <c r="M229" i="34"/>
  <c r="J229" i="34"/>
  <c r="H229" i="34"/>
  <c r="E229" i="34"/>
  <c r="M207" i="34"/>
  <c r="J207" i="34"/>
  <c r="H207" i="34"/>
  <c r="E207" i="34"/>
  <c r="M143" i="34"/>
  <c r="J143" i="34"/>
  <c r="H143" i="34"/>
  <c r="E143" i="34"/>
  <c r="B17" i="34"/>
  <c r="C17" i="34"/>
  <c r="D17" i="34"/>
  <c r="F17" i="34"/>
  <c r="G17" i="34"/>
  <c r="I17" i="34"/>
  <c r="K17" i="34"/>
  <c r="L17" i="34"/>
  <c r="N17" i="34"/>
  <c r="O17" i="34"/>
  <c r="M9" i="34"/>
  <c r="J9" i="34"/>
  <c r="H9" i="34"/>
  <c r="E9" i="34"/>
  <c r="P9" i="34" l="1"/>
  <c r="P244" i="34"/>
  <c r="P207" i="34"/>
  <c r="P143" i="34"/>
  <c r="B17" i="93"/>
  <c r="C17" i="93"/>
  <c r="D17" i="93"/>
  <c r="F17" i="93"/>
  <c r="G17" i="93"/>
  <c r="I17" i="93"/>
  <c r="K17" i="93"/>
  <c r="L17" i="93"/>
  <c r="N17" i="93"/>
  <c r="O17" i="93"/>
  <c r="M13" i="93"/>
  <c r="J13" i="93"/>
  <c r="H13" i="93"/>
  <c r="E13" i="93"/>
  <c r="B56" i="93"/>
  <c r="C56" i="93"/>
  <c r="D56" i="93"/>
  <c r="F56" i="93"/>
  <c r="G56" i="93"/>
  <c r="I56" i="93"/>
  <c r="K56" i="93"/>
  <c r="L56" i="93"/>
  <c r="N56" i="93"/>
  <c r="O56" i="93"/>
  <c r="M54" i="93"/>
  <c r="J54" i="93"/>
  <c r="H54" i="93"/>
  <c r="E54" i="93"/>
  <c r="M206" i="34"/>
  <c r="J206" i="34"/>
  <c r="H206" i="34"/>
  <c r="E206" i="34"/>
  <c r="B152" i="34"/>
  <c r="M142" i="34"/>
  <c r="J142" i="34"/>
  <c r="H142" i="34"/>
  <c r="E142" i="34"/>
  <c r="M151" i="34"/>
  <c r="J151" i="34"/>
  <c r="H151" i="34"/>
  <c r="E151" i="34"/>
  <c r="C31" i="34"/>
  <c r="D31" i="34"/>
  <c r="F31" i="34"/>
  <c r="G31" i="34"/>
  <c r="I31" i="34"/>
  <c r="K31" i="34"/>
  <c r="L31" i="34"/>
  <c r="N31" i="34"/>
  <c r="O31" i="34"/>
  <c r="M25" i="34"/>
  <c r="J25" i="34"/>
  <c r="H25" i="34"/>
  <c r="E25" i="34"/>
  <c r="P13" i="93" l="1"/>
  <c r="P142" i="34"/>
  <c r="P206" i="34"/>
  <c r="P54" i="93"/>
  <c r="P151" i="34"/>
  <c r="P25" i="34"/>
  <c r="B179" i="34"/>
  <c r="M168" i="34"/>
  <c r="J168" i="34"/>
  <c r="H168" i="34"/>
  <c r="E168" i="34"/>
  <c r="M83" i="34"/>
  <c r="J83" i="34"/>
  <c r="H83" i="34"/>
  <c r="E83" i="34"/>
  <c r="C7" i="34"/>
  <c r="D7" i="34"/>
  <c r="F7" i="34"/>
  <c r="G7" i="34"/>
  <c r="I7" i="34"/>
  <c r="K7" i="34"/>
  <c r="L7" i="34"/>
  <c r="N7" i="34"/>
  <c r="O7" i="34"/>
  <c r="M5" i="34"/>
  <c r="J5" i="34"/>
  <c r="H5" i="34"/>
  <c r="E5" i="34"/>
  <c r="M185" i="34"/>
  <c r="J185" i="34"/>
  <c r="H185" i="34"/>
  <c r="E185" i="34"/>
  <c r="M14" i="34"/>
  <c r="J14" i="34"/>
  <c r="H14" i="34"/>
  <c r="E14" i="34"/>
  <c r="M270" i="34"/>
  <c r="M271" i="34"/>
  <c r="M272" i="34"/>
  <c r="M273" i="34"/>
  <c r="M274" i="34"/>
  <c r="M275" i="34"/>
  <c r="M276" i="34"/>
  <c r="M277" i="34"/>
  <c r="M278" i="34"/>
  <c r="M279" i="34"/>
  <c r="M280" i="34"/>
  <c r="M281" i="34"/>
  <c r="M282" i="34"/>
  <c r="M283" i="34"/>
  <c r="M284" i="34"/>
  <c r="M285" i="34"/>
  <c r="M286" i="34"/>
  <c r="M287" i="34"/>
  <c r="M288" i="34"/>
  <c r="M289" i="34"/>
  <c r="M290" i="34"/>
  <c r="M291" i="34"/>
  <c r="M292" i="34"/>
  <c r="M293" i="34"/>
  <c r="M294" i="34"/>
  <c r="M295" i="34"/>
  <c r="J270" i="34"/>
  <c r="J271" i="34"/>
  <c r="J272" i="34"/>
  <c r="J273" i="34"/>
  <c r="J274" i="34"/>
  <c r="J275" i="34"/>
  <c r="J276" i="34"/>
  <c r="J277" i="34"/>
  <c r="J278" i="34"/>
  <c r="J279" i="34"/>
  <c r="J280" i="34"/>
  <c r="J281" i="34"/>
  <c r="J282" i="34"/>
  <c r="J283" i="34"/>
  <c r="J284" i="34"/>
  <c r="J285" i="34"/>
  <c r="J286" i="34"/>
  <c r="J287" i="34"/>
  <c r="J288" i="34"/>
  <c r="J289" i="34"/>
  <c r="J290" i="34"/>
  <c r="J291" i="34"/>
  <c r="J292" i="34"/>
  <c r="J293" i="34"/>
  <c r="J294" i="34"/>
  <c r="J295" i="34"/>
  <c r="J296" i="34"/>
  <c r="J297" i="34"/>
  <c r="H270" i="34"/>
  <c r="H271" i="34"/>
  <c r="H272" i="34"/>
  <c r="H273" i="34"/>
  <c r="H274" i="34"/>
  <c r="H275" i="34"/>
  <c r="H276" i="34"/>
  <c r="H277" i="34"/>
  <c r="H278" i="34"/>
  <c r="H279" i="34"/>
  <c r="H280" i="34"/>
  <c r="H281" i="34"/>
  <c r="H282" i="34"/>
  <c r="H283" i="34"/>
  <c r="H284" i="34"/>
  <c r="H285" i="34"/>
  <c r="H286" i="34"/>
  <c r="H287" i="34"/>
  <c r="H288" i="34"/>
  <c r="H289" i="34"/>
  <c r="H290" i="34"/>
  <c r="H291" i="34"/>
  <c r="H292" i="34"/>
  <c r="H293" i="34"/>
  <c r="H294" i="34"/>
  <c r="H295" i="34"/>
  <c r="E270" i="34"/>
  <c r="E271" i="34"/>
  <c r="E272" i="34"/>
  <c r="E273" i="34"/>
  <c r="E274" i="34"/>
  <c r="E275" i="34"/>
  <c r="E276" i="34"/>
  <c r="E277" i="34"/>
  <c r="E278" i="34"/>
  <c r="E279" i="34"/>
  <c r="E280" i="34"/>
  <c r="E281" i="34"/>
  <c r="E282" i="34"/>
  <c r="E283" i="34"/>
  <c r="E284" i="34"/>
  <c r="E285" i="34"/>
  <c r="E286" i="34"/>
  <c r="E287" i="34"/>
  <c r="E288" i="34"/>
  <c r="E289" i="34"/>
  <c r="E290" i="34"/>
  <c r="E291" i="34"/>
  <c r="E292" i="34"/>
  <c r="E293" i="34"/>
  <c r="E294" i="34"/>
  <c r="E295" i="34"/>
  <c r="E296" i="34"/>
  <c r="E297" i="34"/>
  <c r="M71" i="34"/>
  <c r="J71" i="34"/>
  <c r="H71" i="34"/>
  <c r="E71" i="34"/>
  <c r="M221" i="34"/>
  <c r="J221" i="34"/>
  <c r="H221" i="34"/>
  <c r="E221" i="34"/>
  <c r="M16" i="34"/>
  <c r="J16" i="34"/>
  <c r="H16" i="34"/>
  <c r="E16" i="34"/>
  <c r="B60" i="34"/>
  <c r="M37" i="34"/>
  <c r="J37" i="34"/>
  <c r="H37" i="34"/>
  <c r="E37" i="34"/>
  <c r="M29" i="94"/>
  <c r="J29" i="94"/>
  <c r="H29" i="94"/>
  <c r="E29" i="94"/>
  <c r="P71" i="34" l="1"/>
  <c r="P221" i="34"/>
  <c r="P168" i="34"/>
  <c r="P83" i="34"/>
  <c r="P185" i="34"/>
  <c r="P5" i="34"/>
  <c r="P14" i="34"/>
  <c r="P16" i="34"/>
  <c r="M84" i="34"/>
  <c r="J84" i="34"/>
  <c r="H84" i="34"/>
  <c r="E84" i="34"/>
  <c r="P84" i="34" l="1"/>
  <c r="E70" i="34"/>
  <c r="M52" i="34"/>
  <c r="J52" i="34"/>
  <c r="H52" i="34"/>
  <c r="E52" i="34"/>
  <c r="M12" i="34"/>
  <c r="J12" i="34"/>
  <c r="H12" i="34"/>
  <c r="E12" i="34"/>
  <c r="M44" i="34"/>
  <c r="J44" i="34"/>
  <c r="H44" i="34"/>
  <c r="E44" i="34"/>
  <c r="M43" i="34"/>
  <c r="J43" i="34"/>
  <c r="H43" i="34"/>
  <c r="E43" i="34"/>
  <c r="M243" i="34"/>
  <c r="J243" i="34"/>
  <c r="H243" i="34"/>
  <c r="E243" i="34"/>
  <c r="M267" i="34"/>
  <c r="J267" i="34"/>
  <c r="H267" i="34"/>
  <c r="E267" i="34"/>
  <c r="M72" i="34"/>
  <c r="J72" i="34"/>
  <c r="H72" i="34"/>
  <c r="E72" i="34"/>
  <c r="E204" i="34"/>
  <c r="M204" i="34"/>
  <c r="J204" i="34"/>
  <c r="H204" i="34"/>
  <c r="P52" i="34" l="1"/>
  <c r="P243" i="34"/>
  <c r="P267" i="34"/>
  <c r="P44" i="34"/>
  <c r="P43" i="34"/>
  <c r="P12" i="34"/>
  <c r="P72" i="34"/>
  <c r="P204" i="34"/>
  <c r="C61" i="93" l="1"/>
  <c r="D61" i="93"/>
  <c r="F61" i="93"/>
  <c r="G61" i="93"/>
  <c r="I61" i="93"/>
  <c r="K61" i="93"/>
  <c r="L61" i="93"/>
  <c r="N61" i="93"/>
  <c r="O61" i="93"/>
  <c r="M59" i="93"/>
  <c r="J59" i="93"/>
  <c r="H59" i="93"/>
  <c r="E59" i="93"/>
  <c r="M66" i="34"/>
  <c r="J66" i="34"/>
  <c r="H66" i="34"/>
  <c r="E66" i="34"/>
  <c r="M35" i="34"/>
  <c r="J35" i="34"/>
  <c r="H35" i="34"/>
  <c r="E35" i="34"/>
  <c r="M126" i="34"/>
  <c r="J126" i="34"/>
  <c r="H126" i="34"/>
  <c r="E126" i="34"/>
  <c r="M111" i="34"/>
  <c r="J111" i="34"/>
  <c r="H111" i="34"/>
  <c r="E111" i="34"/>
  <c r="P111" i="34" l="1"/>
  <c r="P126" i="34"/>
  <c r="P66" i="34"/>
  <c r="P35" i="34"/>
  <c r="Q95" i="34"/>
  <c r="C95" i="34"/>
  <c r="D95" i="34"/>
  <c r="F95" i="34"/>
  <c r="G95" i="34"/>
  <c r="I95" i="34"/>
  <c r="K95" i="34"/>
  <c r="L95" i="34"/>
  <c r="N95" i="34"/>
  <c r="O95" i="34"/>
  <c r="M20" i="94"/>
  <c r="J20" i="94"/>
  <c r="H20" i="94"/>
  <c r="E20" i="94"/>
  <c r="P20" i="94" s="1"/>
  <c r="P35" i="94"/>
  <c r="M35" i="94"/>
  <c r="J35" i="94"/>
  <c r="H35" i="94"/>
  <c r="E35" i="94"/>
  <c r="M88" i="34" l="1"/>
  <c r="J88" i="34"/>
  <c r="H88" i="34"/>
  <c r="E88" i="34"/>
  <c r="P88" i="34" l="1"/>
  <c r="J49" i="34"/>
  <c r="M130" i="34" l="1"/>
  <c r="J130" i="34"/>
  <c r="H130" i="34"/>
  <c r="E130" i="34"/>
  <c r="B43" i="95"/>
  <c r="B40" i="95"/>
  <c r="B37" i="95"/>
  <c r="B34" i="95"/>
  <c r="B31" i="95"/>
  <c r="B28" i="95"/>
  <c r="H19" i="95"/>
  <c r="G19" i="95"/>
  <c r="F19" i="95"/>
  <c r="E19" i="95"/>
  <c r="D19" i="95"/>
  <c r="C19" i="95"/>
  <c r="B19" i="95"/>
  <c r="P130" i="34" l="1"/>
  <c r="M59" i="34"/>
  <c r="J59" i="34"/>
  <c r="H59" i="34"/>
  <c r="E59" i="34"/>
  <c r="M175" i="34"/>
  <c r="J175" i="34"/>
  <c r="H175" i="34"/>
  <c r="E175" i="34"/>
  <c r="M133" i="34"/>
  <c r="J133" i="34"/>
  <c r="H133" i="34"/>
  <c r="E133" i="34"/>
  <c r="P133" i="34" l="1"/>
  <c r="P175" i="34"/>
  <c r="P59" i="34"/>
  <c r="C77" i="93"/>
  <c r="D77" i="93"/>
  <c r="F77" i="93"/>
  <c r="G77" i="93"/>
  <c r="I77" i="93"/>
  <c r="K77" i="93"/>
  <c r="L77" i="93"/>
  <c r="N77" i="93"/>
  <c r="O77" i="93"/>
  <c r="M72" i="93"/>
  <c r="J72" i="93"/>
  <c r="H72" i="93"/>
  <c r="E72" i="93"/>
  <c r="M47" i="34"/>
  <c r="J47" i="34"/>
  <c r="H47" i="34"/>
  <c r="E47" i="34"/>
  <c r="M184" i="34"/>
  <c r="J184" i="34"/>
  <c r="H184" i="34"/>
  <c r="E184" i="34"/>
  <c r="P72" i="93" l="1"/>
  <c r="P47" i="34"/>
  <c r="P184" i="34"/>
  <c r="L34" i="91"/>
  <c r="J34" i="91"/>
  <c r="H34" i="91"/>
  <c r="E34" i="91"/>
  <c r="M238" i="34"/>
  <c r="J238" i="34"/>
  <c r="H238" i="34"/>
  <c r="E238" i="34"/>
  <c r="M74" i="34"/>
  <c r="J74" i="34"/>
  <c r="H74" i="34"/>
  <c r="E74" i="34"/>
  <c r="B93" i="93"/>
  <c r="C93" i="93"/>
  <c r="D93" i="93"/>
  <c r="F93" i="93"/>
  <c r="G93" i="93"/>
  <c r="I93" i="93"/>
  <c r="K93" i="93"/>
  <c r="L93" i="93"/>
  <c r="N93" i="93"/>
  <c r="O93" i="93"/>
  <c r="M81" i="93"/>
  <c r="J81" i="93"/>
  <c r="H81" i="93"/>
  <c r="E81" i="93"/>
  <c r="M205" i="34"/>
  <c r="J205" i="34"/>
  <c r="H205" i="34"/>
  <c r="E205" i="34"/>
  <c r="Q3" i="93"/>
  <c r="Q10" i="93"/>
  <c r="Q37" i="93"/>
  <c r="Q46" i="93"/>
  <c r="Q70" i="93"/>
  <c r="Q102" i="93"/>
  <c r="B37" i="93"/>
  <c r="C37" i="93"/>
  <c r="D37" i="93"/>
  <c r="F37" i="93"/>
  <c r="G37" i="93"/>
  <c r="I37" i="93"/>
  <c r="K37" i="93"/>
  <c r="L37" i="93"/>
  <c r="N37" i="93"/>
  <c r="O37" i="93"/>
  <c r="M35" i="93"/>
  <c r="J35" i="93"/>
  <c r="H35" i="93"/>
  <c r="E104" i="93"/>
  <c r="E105" i="93"/>
  <c r="E106" i="93"/>
  <c r="E107" i="93"/>
  <c r="E108" i="93"/>
  <c r="E109" i="93"/>
  <c r="E110" i="93"/>
  <c r="E111" i="93"/>
  <c r="E112" i="93"/>
  <c r="E113" i="93"/>
  <c r="E114" i="93"/>
  <c r="E115" i="93"/>
  <c r="E116" i="93"/>
  <c r="E117" i="93"/>
  <c r="E118" i="93"/>
  <c r="E119" i="93"/>
  <c r="E120" i="93"/>
  <c r="E121" i="93"/>
  <c r="E122" i="93"/>
  <c r="E123" i="93"/>
  <c r="E124" i="93"/>
  <c r="E125" i="93"/>
  <c r="E126" i="93"/>
  <c r="E127" i="93"/>
  <c r="E128" i="93"/>
  <c r="E129" i="93"/>
  <c r="E130" i="93"/>
  <c r="E131" i="93"/>
  <c r="E132" i="93"/>
  <c r="E133" i="93"/>
  <c r="E134" i="93"/>
  <c r="E135" i="93"/>
  <c r="E136" i="93"/>
  <c r="E137" i="93"/>
  <c r="E138" i="93"/>
  <c r="E139" i="93"/>
  <c r="E140" i="93"/>
  <c r="E141" i="93"/>
  <c r="E142" i="93"/>
  <c r="E143" i="93"/>
  <c r="E144" i="93"/>
  <c r="E145" i="93"/>
  <c r="E146" i="93"/>
  <c r="E147" i="93"/>
  <c r="E148" i="93"/>
  <c r="E149" i="93"/>
  <c r="E150" i="93"/>
  <c r="E151" i="93"/>
  <c r="E152" i="93"/>
  <c r="E153" i="93"/>
  <c r="E154" i="93"/>
  <c r="E155" i="93"/>
  <c r="E156" i="93"/>
  <c r="E157" i="93"/>
  <c r="E158" i="93"/>
  <c r="E159" i="93"/>
  <c r="E160" i="93"/>
  <c r="E161" i="93"/>
  <c r="E162" i="93"/>
  <c r="E163" i="93"/>
  <c r="E164" i="93"/>
  <c r="E165" i="93"/>
  <c r="E166" i="93"/>
  <c r="E167" i="93"/>
  <c r="E168" i="93"/>
  <c r="E169" i="93"/>
  <c r="E170" i="93"/>
  <c r="E171" i="93"/>
  <c r="E172" i="93"/>
  <c r="E173" i="93"/>
  <c r="E174" i="93"/>
  <c r="E175" i="93"/>
  <c r="E176" i="93"/>
  <c r="E177" i="93"/>
  <c r="E178" i="93"/>
  <c r="E179" i="93"/>
  <c r="E180" i="93"/>
  <c r="E181" i="93"/>
  <c r="E182" i="93"/>
  <c r="E183" i="93"/>
  <c r="E184" i="93"/>
  <c r="E185" i="93"/>
  <c r="E186" i="93"/>
  <c r="E187" i="93"/>
  <c r="E188" i="93"/>
  <c r="E189" i="93"/>
  <c r="E190" i="93"/>
  <c r="E191" i="93"/>
  <c r="E192" i="93"/>
  <c r="E193" i="93"/>
  <c r="E194" i="93"/>
  <c r="E195" i="93"/>
  <c r="E196" i="93"/>
  <c r="E197" i="93"/>
  <c r="E198" i="93"/>
  <c r="E199" i="93"/>
  <c r="E200" i="93"/>
  <c r="E201" i="93"/>
  <c r="E202" i="93"/>
  <c r="E203" i="93"/>
  <c r="E204" i="93"/>
  <c r="E205" i="93"/>
  <c r="E206" i="93"/>
  <c r="E207" i="93"/>
  <c r="E208" i="93"/>
  <c r="E209" i="93"/>
  <c r="E210" i="93"/>
  <c r="E211" i="93"/>
  <c r="E212" i="93"/>
  <c r="E213" i="93"/>
  <c r="E214" i="93"/>
  <c r="E215" i="93"/>
  <c r="E216" i="93"/>
  <c r="E217" i="93"/>
  <c r="E218" i="93"/>
  <c r="E219" i="93"/>
  <c r="E220" i="93"/>
  <c r="E221" i="93"/>
  <c r="E222" i="93"/>
  <c r="E223" i="93"/>
  <c r="E224" i="93"/>
  <c r="E225" i="93"/>
  <c r="E226" i="93"/>
  <c r="E227" i="93"/>
  <c r="E228" i="93"/>
  <c r="E229" i="93"/>
  <c r="E230" i="93"/>
  <c r="E231" i="93"/>
  <c r="E232" i="93"/>
  <c r="E233" i="93"/>
  <c r="E234" i="93"/>
  <c r="E235" i="93"/>
  <c r="E236" i="93"/>
  <c r="E237" i="93"/>
  <c r="E238" i="93"/>
  <c r="E239" i="93"/>
  <c r="E240" i="93"/>
  <c r="E241" i="93"/>
  <c r="E242" i="93"/>
  <c r="E243" i="93"/>
  <c r="E244" i="93"/>
  <c r="E245" i="93"/>
  <c r="E246" i="93"/>
  <c r="E247" i="93"/>
  <c r="E248" i="93"/>
  <c r="E249" i="93"/>
  <c r="E250" i="93"/>
  <c r="E251" i="93"/>
  <c r="E252" i="93"/>
  <c r="E253" i="93"/>
  <c r="E254" i="93"/>
  <c r="E255" i="93"/>
  <c r="E256" i="93"/>
  <c r="E257" i="93"/>
  <c r="E258" i="93"/>
  <c r="E259" i="93"/>
  <c r="E260" i="93"/>
  <c r="E261" i="93"/>
  <c r="E262" i="93"/>
  <c r="E263" i="93"/>
  <c r="E264" i="93"/>
  <c r="J104" i="93"/>
  <c r="J105" i="93"/>
  <c r="J106" i="93"/>
  <c r="J107" i="93"/>
  <c r="J108" i="93"/>
  <c r="J109" i="93"/>
  <c r="J110" i="93"/>
  <c r="J111" i="93"/>
  <c r="J112" i="93"/>
  <c r="J113" i="93"/>
  <c r="J114" i="93"/>
  <c r="J115" i="93"/>
  <c r="J116" i="93"/>
  <c r="J117" i="93"/>
  <c r="J118" i="93"/>
  <c r="J119" i="93"/>
  <c r="H104" i="93"/>
  <c r="H105" i="93"/>
  <c r="H106" i="93"/>
  <c r="H107" i="93"/>
  <c r="H108" i="93"/>
  <c r="H109" i="93"/>
  <c r="H110" i="93"/>
  <c r="P205" i="34" l="1"/>
  <c r="P238" i="34"/>
  <c r="P74" i="34"/>
  <c r="M41" i="34"/>
  <c r="J41" i="34"/>
  <c r="H41" i="34"/>
  <c r="E41" i="34"/>
  <c r="H203" i="34"/>
  <c r="M209" i="34"/>
  <c r="J209" i="34"/>
  <c r="H209" i="34"/>
  <c r="E209" i="34"/>
  <c r="M15" i="93"/>
  <c r="J15" i="93"/>
  <c r="H15" i="93"/>
  <c r="E15" i="93"/>
  <c r="P15" i="93" l="1"/>
  <c r="P41" i="34"/>
  <c r="P209" i="34"/>
  <c r="M249" i="34"/>
  <c r="J249" i="34"/>
  <c r="H249" i="34"/>
  <c r="E249" i="34"/>
  <c r="M40" i="34"/>
  <c r="J40" i="34"/>
  <c r="H40" i="34"/>
  <c r="E40" i="34"/>
  <c r="P249" i="34" l="1"/>
  <c r="P40" i="34"/>
  <c r="L24" i="91" l="1"/>
  <c r="J24" i="91"/>
  <c r="H24" i="91"/>
  <c r="E24" i="91"/>
  <c r="M80" i="34"/>
  <c r="J80" i="34"/>
  <c r="H80" i="34"/>
  <c r="E80" i="34"/>
  <c r="P80" i="34" l="1"/>
  <c r="L56" i="91"/>
  <c r="J56" i="91"/>
  <c r="H56" i="91"/>
  <c r="E56" i="91"/>
  <c r="M178" i="34"/>
  <c r="J178" i="34"/>
  <c r="H178" i="34"/>
  <c r="E178" i="34"/>
  <c r="M65" i="34"/>
  <c r="J65" i="34"/>
  <c r="H65" i="34"/>
  <c r="E65" i="34"/>
  <c r="M216" i="34"/>
  <c r="J216" i="34"/>
  <c r="H216" i="34"/>
  <c r="E216" i="34"/>
  <c r="E19" i="34"/>
  <c r="M104" i="34"/>
  <c r="J104" i="34"/>
  <c r="H104" i="34"/>
  <c r="E104" i="34"/>
  <c r="M101" i="34"/>
  <c r="J101" i="34"/>
  <c r="H101" i="34"/>
  <c r="E101" i="34"/>
  <c r="P104" i="34" l="1"/>
  <c r="P216" i="34"/>
  <c r="P178" i="34"/>
  <c r="P65" i="34"/>
  <c r="P101" i="34"/>
  <c r="M19" i="94"/>
  <c r="J19" i="94"/>
  <c r="H19" i="94"/>
  <c r="E19" i="94"/>
  <c r="P19" i="94" s="1"/>
  <c r="L6" i="91" l="1"/>
  <c r="J6" i="91"/>
  <c r="H6" i="91"/>
  <c r="E6" i="91"/>
  <c r="L22" i="91"/>
  <c r="J22" i="91"/>
  <c r="H22" i="91"/>
  <c r="E22" i="91"/>
  <c r="M140" i="34"/>
  <c r="J140" i="34"/>
  <c r="H140" i="34"/>
  <c r="E140" i="34"/>
  <c r="M165" i="34"/>
  <c r="J165" i="34"/>
  <c r="H165" i="34"/>
  <c r="E165" i="34"/>
  <c r="M42" i="34"/>
  <c r="J42" i="34"/>
  <c r="H42" i="34"/>
  <c r="E42" i="34"/>
  <c r="E45" i="34"/>
  <c r="H45" i="34"/>
  <c r="J45" i="34"/>
  <c r="M45" i="34"/>
  <c r="P140" i="34" l="1"/>
  <c r="P45" i="34"/>
  <c r="P165" i="34"/>
  <c r="P42" i="34"/>
  <c r="M114" i="34"/>
  <c r="J114" i="34"/>
  <c r="H114" i="34"/>
  <c r="E114" i="34"/>
  <c r="M78" i="34"/>
  <c r="J78" i="34"/>
  <c r="H78" i="34"/>
  <c r="E78" i="34"/>
  <c r="M183" i="34"/>
  <c r="J183" i="34"/>
  <c r="H183" i="34"/>
  <c r="E183" i="34"/>
  <c r="P183" i="34" l="1"/>
  <c r="P78" i="34"/>
  <c r="P114" i="34"/>
  <c r="M186" i="34"/>
  <c r="J186" i="34"/>
  <c r="H186" i="34"/>
  <c r="E186" i="34"/>
  <c r="P186" i="34" l="1"/>
  <c r="L8" i="91"/>
  <c r="J8" i="91"/>
  <c r="H8" i="91"/>
  <c r="E8" i="91"/>
  <c r="L20" i="91"/>
  <c r="J20" i="91"/>
  <c r="H20" i="91"/>
  <c r="E20" i="91"/>
  <c r="L32" i="91"/>
  <c r="J32" i="91"/>
  <c r="H32" i="91"/>
  <c r="E32" i="91"/>
  <c r="L55" i="91"/>
  <c r="J55" i="91"/>
  <c r="H55" i="91"/>
  <c r="E55" i="91"/>
  <c r="M46" i="94"/>
  <c r="M47" i="94"/>
  <c r="M48" i="94"/>
  <c r="M49" i="94"/>
  <c r="M50" i="94"/>
  <c r="M51" i="94"/>
  <c r="M52" i="94"/>
  <c r="M53" i="94"/>
  <c r="M54" i="94"/>
  <c r="M55" i="94"/>
  <c r="M56" i="94"/>
  <c r="M57" i="94"/>
  <c r="H46" i="94"/>
  <c r="H47" i="94"/>
  <c r="H48" i="94"/>
  <c r="H49" i="94"/>
  <c r="H50" i="94"/>
  <c r="H51" i="94"/>
  <c r="H52" i="94"/>
  <c r="H53" i="94"/>
  <c r="H54" i="94"/>
  <c r="J46" i="94"/>
  <c r="J47" i="94"/>
  <c r="J48" i="94"/>
  <c r="J49" i="94"/>
  <c r="J50" i="94"/>
  <c r="J51" i="94"/>
  <c r="J52" i="94"/>
  <c r="J53" i="94"/>
  <c r="J54" i="94"/>
  <c r="M99" i="93"/>
  <c r="J99" i="93"/>
  <c r="H99" i="93"/>
  <c r="E99" i="93"/>
  <c r="P99" i="93" s="1"/>
  <c r="M12" i="93"/>
  <c r="M14" i="93"/>
  <c r="M16" i="93"/>
  <c r="M19" i="93"/>
  <c r="M20" i="93"/>
  <c r="M21" i="93"/>
  <c r="M22" i="93"/>
  <c r="M23" i="93"/>
  <c r="M24" i="93"/>
  <c r="M25" i="93"/>
  <c r="M26" i="93"/>
  <c r="M28" i="93"/>
  <c r="M29" i="93"/>
  <c r="M30" i="93"/>
  <c r="M33" i="93"/>
  <c r="M34" i="93"/>
  <c r="M36" i="93"/>
  <c r="M39" i="93"/>
  <c r="M40" i="93"/>
  <c r="M41" i="93"/>
  <c r="M42" i="93"/>
  <c r="M43" i="93"/>
  <c r="M44" i="93"/>
  <c r="M45" i="93"/>
  <c r="M48" i="93"/>
  <c r="M49" i="93"/>
  <c r="M50" i="93"/>
  <c r="M51" i="93"/>
  <c r="M52" i="93"/>
  <c r="M53" i="93"/>
  <c r="M55" i="93"/>
  <c r="M58" i="93"/>
  <c r="M60" i="93"/>
  <c r="M63" i="93"/>
  <c r="M64" i="93"/>
  <c r="M65" i="93"/>
  <c r="M66" i="93"/>
  <c r="M67" i="93"/>
  <c r="M68" i="93"/>
  <c r="M69" i="93"/>
  <c r="M73" i="93"/>
  <c r="M74" i="93"/>
  <c r="M75" i="93"/>
  <c r="M76" i="93"/>
  <c r="M79" i="93"/>
  <c r="M80" i="93"/>
  <c r="M82" i="93"/>
  <c r="M83" i="93"/>
  <c r="M84" i="93"/>
  <c r="M85" i="93"/>
  <c r="M86" i="93"/>
  <c r="M87" i="93"/>
  <c r="M88" i="93"/>
  <c r="M89" i="93"/>
  <c r="M90" i="93"/>
  <c r="M91" i="93"/>
  <c r="M92" i="93"/>
  <c r="M95" i="93"/>
  <c r="M96" i="93"/>
  <c r="M97" i="93"/>
  <c r="M98" i="93"/>
  <c r="M100" i="93"/>
  <c r="M101" i="93"/>
  <c r="M104" i="93"/>
  <c r="M105" i="93"/>
  <c r="M106" i="93"/>
  <c r="M107" i="93"/>
  <c r="M108" i="93"/>
  <c r="M109" i="93"/>
  <c r="M110" i="93"/>
  <c r="M111" i="93"/>
  <c r="M112" i="93"/>
  <c r="M113" i="93"/>
  <c r="M114" i="93"/>
  <c r="M115" i="93"/>
  <c r="M116" i="93"/>
  <c r="M117" i="93"/>
  <c r="M118" i="93"/>
  <c r="M119" i="93"/>
  <c r="M120" i="93"/>
  <c r="M121" i="93"/>
  <c r="M122" i="93"/>
  <c r="M123" i="93"/>
  <c r="M124" i="93"/>
  <c r="M125" i="93"/>
  <c r="M126" i="93"/>
  <c r="M127" i="93"/>
  <c r="M128" i="93"/>
  <c r="M129" i="93"/>
  <c r="M130" i="93"/>
  <c r="M131" i="93"/>
  <c r="M132" i="93"/>
  <c r="M133" i="93"/>
  <c r="M134" i="93"/>
  <c r="M135" i="93"/>
  <c r="M136" i="93"/>
  <c r="M137" i="93"/>
  <c r="M138" i="93"/>
  <c r="M139" i="93"/>
  <c r="M140" i="93"/>
  <c r="M141" i="93"/>
  <c r="M142" i="93"/>
  <c r="M143" i="93"/>
  <c r="M144" i="93"/>
  <c r="M145" i="93"/>
  <c r="M146" i="93"/>
  <c r="M147" i="93"/>
  <c r="M148" i="93"/>
  <c r="M149" i="93"/>
  <c r="M150" i="93"/>
  <c r="M151" i="93"/>
  <c r="M152" i="93"/>
  <c r="M153" i="93"/>
  <c r="M154" i="93"/>
  <c r="M155" i="93"/>
  <c r="M156" i="93"/>
  <c r="M157" i="93"/>
  <c r="M158" i="93"/>
  <c r="M159" i="93"/>
  <c r="M160" i="93"/>
  <c r="M161" i="93"/>
  <c r="M162" i="93"/>
  <c r="M163" i="93"/>
  <c r="M164" i="93"/>
  <c r="M165" i="93"/>
  <c r="M166" i="93"/>
  <c r="M167" i="93"/>
  <c r="M168" i="93"/>
  <c r="M169" i="93"/>
  <c r="M170" i="93"/>
  <c r="M171" i="93"/>
  <c r="M172" i="93"/>
  <c r="M173" i="93"/>
  <c r="M174" i="93"/>
  <c r="M175" i="93"/>
  <c r="M176" i="93"/>
  <c r="M177" i="93"/>
  <c r="M178" i="93"/>
  <c r="M179" i="93"/>
  <c r="M180" i="93"/>
  <c r="M181" i="93"/>
  <c r="M182" i="93"/>
  <c r="M183" i="93"/>
  <c r="M184" i="93"/>
  <c r="M185" i="93"/>
  <c r="M186" i="93"/>
  <c r="M187" i="93"/>
  <c r="M188" i="93"/>
  <c r="M189" i="93"/>
  <c r="M190" i="93"/>
  <c r="M191" i="93"/>
  <c r="M192" i="93"/>
  <c r="M193" i="93"/>
  <c r="M194" i="93"/>
  <c r="M195" i="93"/>
  <c r="M196" i="93"/>
  <c r="M197" i="93"/>
  <c r="M198" i="93"/>
  <c r="M199" i="93"/>
  <c r="M200" i="93"/>
  <c r="M201" i="93"/>
  <c r="M202" i="93"/>
  <c r="M203" i="93"/>
  <c r="M204" i="93"/>
  <c r="M205" i="93"/>
  <c r="M206" i="93"/>
  <c r="M207" i="93"/>
  <c r="M208" i="93"/>
  <c r="M209" i="93"/>
  <c r="M210" i="93"/>
  <c r="M211" i="93"/>
  <c r="M212" i="93"/>
  <c r="M213" i="93"/>
  <c r="M214" i="93"/>
  <c r="M215" i="93"/>
  <c r="M216" i="93"/>
  <c r="M217" i="93"/>
  <c r="M218" i="93"/>
  <c r="M219" i="93"/>
  <c r="M220" i="93"/>
  <c r="M221" i="93"/>
  <c r="M222" i="93"/>
  <c r="M223" i="93"/>
  <c r="M224" i="93"/>
  <c r="M225" i="93"/>
  <c r="M226" i="93"/>
  <c r="M227" i="93"/>
  <c r="M228" i="93"/>
  <c r="M229" i="93"/>
  <c r="M230" i="93"/>
  <c r="M231" i="93"/>
  <c r="M232" i="93"/>
  <c r="M233" i="93"/>
  <c r="M234" i="93"/>
  <c r="M235" i="93"/>
  <c r="M236" i="93"/>
  <c r="M237" i="93"/>
  <c r="M238" i="93"/>
  <c r="M239" i="93"/>
  <c r="M5" i="93"/>
  <c r="M6" i="93"/>
  <c r="M7" i="93"/>
  <c r="M8" i="93"/>
  <c r="M9" i="93"/>
  <c r="M2" i="93"/>
  <c r="M3" i="93" s="1"/>
  <c r="M240" i="93"/>
  <c r="M241" i="93"/>
  <c r="M242" i="93"/>
  <c r="M243" i="93"/>
  <c r="M244" i="93"/>
  <c r="M245" i="93"/>
  <c r="M246" i="93"/>
  <c r="M247" i="93"/>
  <c r="M248" i="93"/>
  <c r="M249" i="93"/>
  <c r="M250" i="93"/>
  <c r="M251" i="93"/>
  <c r="M252" i="93"/>
  <c r="M253" i="93"/>
  <c r="M254" i="93"/>
  <c r="M255" i="93"/>
  <c r="M256" i="93"/>
  <c r="M257" i="93"/>
  <c r="M258" i="93"/>
  <c r="M259" i="93"/>
  <c r="M260" i="93"/>
  <c r="M261" i="93"/>
  <c r="M262" i="93"/>
  <c r="M263" i="93"/>
  <c r="M264" i="93"/>
  <c r="M265" i="93"/>
  <c r="M266" i="93"/>
  <c r="M267" i="93"/>
  <c r="M268" i="93"/>
  <c r="M269" i="93"/>
  <c r="M270" i="93"/>
  <c r="M271" i="93"/>
  <c r="M272" i="93"/>
  <c r="M273" i="93"/>
  <c r="M274" i="93"/>
  <c r="M6" i="94"/>
  <c r="M9" i="94"/>
  <c r="M13" i="94"/>
  <c r="M16" i="94"/>
  <c r="M42" i="94"/>
  <c r="M41" i="94"/>
  <c r="M34" i="94"/>
  <c r="M36" i="94"/>
  <c r="M37" i="94"/>
  <c r="M38" i="94"/>
  <c r="M33" i="94"/>
  <c r="B39" i="94"/>
  <c r="P33" i="94"/>
  <c r="J33" i="94"/>
  <c r="H33" i="94"/>
  <c r="E33" i="94"/>
  <c r="M15" i="34"/>
  <c r="J15" i="34"/>
  <c r="H15" i="34"/>
  <c r="E15" i="34"/>
  <c r="M3" i="34"/>
  <c r="M4" i="34"/>
  <c r="M6" i="34"/>
  <c r="M2" i="34"/>
  <c r="M11" i="34"/>
  <c r="M13" i="34"/>
  <c r="M10" i="34"/>
  <c r="M20" i="34"/>
  <c r="M21" i="34"/>
  <c r="M22" i="34"/>
  <c r="M23" i="34"/>
  <c r="M24" i="34"/>
  <c r="M26" i="34"/>
  <c r="M27" i="34"/>
  <c r="M28" i="34"/>
  <c r="M29" i="34"/>
  <c r="M30" i="34"/>
  <c r="M19" i="34"/>
  <c r="M34" i="34"/>
  <c r="M36" i="34"/>
  <c r="M38" i="34"/>
  <c r="M39" i="34"/>
  <c r="M46" i="34"/>
  <c r="M48" i="34"/>
  <c r="M49" i="34"/>
  <c r="M50" i="34"/>
  <c r="M51" i="34"/>
  <c r="M53" i="34"/>
  <c r="M54" i="34"/>
  <c r="M55" i="34"/>
  <c r="M57" i="34"/>
  <c r="M58" i="34"/>
  <c r="M33" i="34"/>
  <c r="M63" i="34"/>
  <c r="M64" i="34"/>
  <c r="M68" i="34"/>
  <c r="M69" i="34"/>
  <c r="M70" i="34"/>
  <c r="M73" i="34"/>
  <c r="M62" i="34"/>
  <c r="M75" i="34" s="1"/>
  <c r="M79" i="34"/>
  <c r="M82" i="34"/>
  <c r="M85" i="34"/>
  <c r="M87" i="34"/>
  <c r="M77" i="34"/>
  <c r="M91" i="34"/>
  <c r="M92" i="34"/>
  <c r="M93" i="34"/>
  <c r="M94" i="34"/>
  <c r="M98" i="34"/>
  <c r="M99" i="34"/>
  <c r="M100" i="34"/>
  <c r="M102" i="34"/>
  <c r="M103" i="34"/>
  <c r="M105" i="34"/>
  <c r="M106" i="34"/>
  <c r="M107" i="34"/>
  <c r="M108" i="34"/>
  <c r="M109" i="34"/>
  <c r="M110" i="34"/>
  <c r="M112" i="34"/>
  <c r="M113" i="34"/>
  <c r="M115" i="34"/>
  <c r="M116" i="34"/>
  <c r="M117" i="34"/>
  <c r="M118" i="34"/>
  <c r="M119" i="34"/>
  <c r="M120" i="34"/>
  <c r="M97" i="34"/>
  <c r="J10" i="34"/>
  <c r="J11" i="34"/>
  <c r="J13" i="34"/>
  <c r="J19" i="34"/>
  <c r="J20" i="34"/>
  <c r="J21" i="34"/>
  <c r="J22" i="34"/>
  <c r="J23" i="34"/>
  <c r="J24" i="34"/>
  <c r="J26" i="34"/>
  <c r="J27" i="34"/>
  <c r="J28" i="34"/>
  <c r="J29" i="34"/>
  <c r="J30" i="34"/>
  <c r="J33" i="34"/>
  <c r="J34" i="34"/>
  <c r="J36" i="34"/>
  <c r="J38" i="34"/>
  <c r="J39" i="34"/>
  <c r="J46" i="34"/>
  <c r="J48" i="34"/>
  <c r="J50" i="34"/>
  <c r="J51" i="34"/>
  <c r="J53" i="34"/>
  <c r="J54" i="34"/>
  <c r="J55" i="34"/>
  <c r="J57" i="34"/>
  <c r="J58" i="34"/>
  <c r="J62" i="34"/>
  <c r="J63" i="34"/>
  <c r="J64" i="34"/>
  <c r="J68" i="34"/>
  <c r="J69" i="34"/>
  <c r="J70" i="34"/>
  <c r="P70" i="34" s="1"/>
  <c r="J73" i="34"/>
  <c r="J77" i="34"/>
  <c r="J89" i="34" s="1"/>
  <c r="J79" i="34"/>
  <c r="J82" i="34"/>
  <c r="J85" i="34"/>
  <c r="J87" i="34"/>
  <c r="J91" i="34"/>
  <c r="J92" i="34"/>
  <c r="J93" i="34"/>
  <c r="J94" i="34"/>
  <c r="J97" i="34"/>
  <c r="J98" i="34"/>
  <c r="J99" i="34"/>
  <c r="J100" i="34"/>
  <c r="J102" i="34"/>
  <c r="J103" i="34"/>
  <c r="J105" i="34"/>
  <c r="J106" i="34"/>
  <c r="J107" i="34"/>
  <c r="J108" i="34"/>
  <c r="J109" i="34"/>
  <c r="J110" i="34"/>
  <c r="J112" i="34"/>
  <c r="J113" i="34"/>
  <c r="J115" i="34"/>
  <c r="J116" i="34"/>
  <c r="J117" i="34"/>
  <c r="J118" i="34"/>
  <c r="J119" i="34"/>
  <c r="J120" i="34"/>
  <c r="J123" i="34"/>
  <c r="J124" i="34"/>
  <c r="J125" i="34"/>
  <c r="J127" i="34"/>
  <c r="J128" i="34"/>
  <c r="J129" i="34"/>
  <c r="J131" i="34"/>
  <c r="J132" i="34"/>
  <c r="J134" i="34"/>
  <c r="J135" i="34"/>
  <c r="J136" i="34"/>
  <c r="J137" i="34"/>
  <c r="J139" i="34"/>
  <c r="J141" i="34"/>
  <c r="J145" i="34"/>
  <c r="J146" i="34"/>
  <c r="J147" i="34"/>
  <c r="J148" i="34"/>
  <c r="J149" i="34"/>
  <c r="J150" i="34"/>
  <c r="J154" i="34"/>
  <c r="J156" i="34"/>
  <c r="J157" i="34"/>
  <c r="J158" i="34"/>
  <c r="J159" i="34"/>
  <c r="J160" i="34"/>
  <c r="J161" i="34"/>
  <c r="J162" i="34"/>
  <c r="J163" i="34"/>
  <c r="J164" i="34"/>
  <c r="J166" i="34"/>
  <c r="J167" i="34"/>
  <c r="J170" i="34"/>
  <c r="J171" i="34"/>
  <c r="J172" i="34"/>
  <c r="J173" i="34"/>
  <c r="J174" i="34"/>
  <c r="J176" i="34"/>
  <c r="J177" i="34"/>
  <c r="J181" i="34"/>
  <c r="J182" i="34"/>
  <c r="J187" i="34"/>
  <c r="J188" i="34"/>
  <c r="J189" i="34"/>
  <c r="J191" i="34"/>
  <c r="J192" i="34"/>
  <c r="J193" i="34"/>
  <c r="J194" i="34"/>
  <c r="J195" i="34"/>
  <c r="J196" i="34"/>
  <c r="J197" i="34"/>
  <c r="J198" i="34"/>
  <c r="J199" i="34"/>
  <c r="J200" i="34"/>
  <c r="J201" i="34"/>
  <c r="J202" i="34"/>
  <c r="J203" i="34"/>
  <c r="J208" i="34"/>
  <c r="J210" i="34"/>
  <c r="J211" i="34"/>
  <c r="J212" i="34"/>
  <c r="J213" i="34"/>
  <c r="J214" i="34"/>
  <c r="J215" i="34"/>
  <c r="J217" i="34"/>
  <c r="J218" i="34"/>
  <c r="J219" i="34"/>
  <c r="J220" i="34"/>
  <c r="J223" i="34"/>
  <c r="J224" i="34"/>
  <c r="J227" i="34"/>
  <c r="J228" i="34"/>
  <c r="J230" i="34"/>
  <c r="J231" i="34"/>
  <c r="J232" i="34"/>
  <c r="J234" i="34"/>
  <c r="J235" i="34"/>
  <c r="J236" i="34"/>
  <c r="J237" i="34"/>
  <c r="J239" i="34"/>
  <c r="J240" i="34"/>
  <c r="J241" i="34"/>
  <c r="J242" i="34"/>
  <c r="J245" i="34"/>
  <c r="J246" i="34"/>
  <c r="J247" i="34"/>
  <c r="J248" i="34"/>
  <c r="J250" i="34"/>
  <c r="J251" i="34"/>
  <c r="J252" i="34"/>
  <c r="J253" i="34"/>
  <c r="J254" i="34"/>
  <c r="J255" i="34"/>
  <c r="J256" i="34"/>
  <c r="J257" i="34"/>
  <c r="J258" i="34"/>
  <c r="J259" i="34"/>
  <c r="J260" i="34"/>
  <c r="J261" i="34"/>
  <c r="J262" i="34"/>
  <c r="J263" i="34"/>
  <c r="J264" i="34"/>
  <c r="J265" i="34"/>
  <c r="J266" i="34"/>
  <c r="M150" i="34"/>
  <c r="M124" i="34"/>
  <c r="M125" i="34"/>
  <c r="M127" i="34"/>
  <c r="M128" i="34"/>
  <c r="M129" i="34"/>
  <c r="M131" i="34"/>
  <c r="M132" i="34"/>
  <c r="M134" i="34"/>
  <c r="M135" i="34"/>
  <c r="M136" i="34"/>
  <c r="M137" i="34"/>
  <c r="M139" i="34"/>
  <c r="M141" i="34"/>
  <c r="M145" i="34"/>
  <c r="M146" i="34"/>
  <c r="M147" i="34"/>
  <c r="M148" i="34"/>
  <c r="M149" i="34"/>
  <c r="M123" i="34"/>
  <c r="M177" i="34"/>
  <c r="M155" i="34"/>
  <c r="M156" i="34"/>
  <c r="M157" i="34"/>
  <c r="M158" i="34"/>
  <c r="M159" i="34"/>
  <c r="M160" i="34"/>
  <c r="M161" i="34"/>
  <c r="M162" i="34"/>
  <c r="M163" i="34"/>
  <c r="M164" i="34"/>
  <c r="M166" i="34"/>
  <c r="M167" i="34"/>
  <c r="M170" i="34"/>
  <c r="M171" i="34"/>
  <c r="M172" i="34"/>
  <c r="M173" i="34"/>
  <c r="M174" i="34"/>
  <c r="M176" i="34"/>
  <c r="M154" i="34"/>
  <c r="M182" i="34"/>
  <c r="M187" i="34"/>
  <c r="M188" i="34"/>
  <c r="M189" i="34"/>
  <c r="M191" i="34"/>
  <c r="M192" i="34"/>
  <c r="M193" i="34"/>
  <c r="M194" i="34"/>
  <c r="M195" i="34"/>
  <c r="M196" i="34"/>
  <c r="M197" i="34"/>
  <c r="M198" i="34"/>
  <c r="M199" i="34"/>
  <c r="M200" i="34"/>
  <c r="M201" i="34"/>
  <c r="M202" i="34"/>
  <c r="M203" i="34"/>
  <c r="M208" i="34"/>
  <c r="M210" i="34"/>
  <c r="M211" i="34"/>
  <c r="M212" i="34"/>
  <c r="M213" i="34"/>
  <c r="M214" i="34"/>
  <c r="M215" i="34"/>
  <c r="M217" i="34"/>
  <c r="M218" i="34"/>
  <c r="M219" i="34"/>
  <c r="M220" i="34"/>
  <c r="M223" i="34"/>
  <c r="M224" i="34"/>
  <c r="M181" i="34"/>
  <c r="H79" i="34"/>
  <c r="E79" i="34"/>
  <c r="M242" i="34"/>
  <c r="H242" i="34"/>
  <c r="E242" i="34"/>
  <c r="M228" i="34"/>
  <c r="M230" i="34"/>
  <c r="M231" i="34"/>
  <c r="M232" i="34"/>
  <c r="M234" i="34"/>
  <c r="M235" i="34"/>
  <c r="M236" i="34"/>
  <c r="M237" i="34"/>
  <c r="M239" i="34"/>
  <c r="M240" i="34"/>
  <c r="M241" i="34"/>
  <c r="M245" i="34"/>
  <c r="M246" i="34"/>
  <c r="M247" i="34"/>
  <c r="M248" i="34"/>
  <c r="M250" i="34"/>
  <c r="M251" i="34"/>
  <c r="M252" i="34"/>
  <c r="M253" i="34"/>
  <c r="M254" i="34"/>
  <c r="M255" i="34"/>
  <c r="M256" i="34"/>
  <c r="M257" i="34"/>
  <c r="M258" i="34"/>
  <c r="M259" i="34"/>
  <c r="M260" i="34"/>
  <c r="M261" i="34"/>
  <c r="M262" i="34"/>
  <c r="M263" i="34"/>
  <c r="M264" i="34"/>
  <c r="M265" i="34"/>
  <c r="M266" i="34"/>
  <c r="M227" i="34"/>
  <c r="M31" i="93" l="1"/>
  <c r="M89" i="34"/>
  <c r="J75" i="34"/>
  <c r="M179" i="34"/>
  <c r="J179" i="34"/>
  <c r="M152" i="34"/>
  <c r="J152" i="34"/>
  <c r="M60" i="34"/>
  <c r="J60" i="34"/>
  <c r="M17" i="34"/>
  <c r="J17" i="34"/>
  <c r="M17" i="93"/>
  <c r="M56" i="93"/>
  <c r="M61" i="93"/>
  <c r="J31" i="34"/>
  <c r="M31" i="34"/>
  <c r="M7" i="34"/>
  <c r="P15" i="34"/>
  <c r="M95" i="34"/>
  <c r="J95" i="34"/>
  <c r="M77" i="93"/>
  <c r="M93" i="93"/>
  <c r="M37" i="93"/>
  <c r="M102" i="93"/>
  <c r="M70" i="93"/>
  <c r="M46" i="93"/>
  <c r="P79" i="34" l="1"/>
  <c r="C11" i="94" l="1"/>
  <c r="D11" i="94"/>
  <c r="F11" i="94"/>
  <c r="G11" i="94"/>
  <c r="I11" i="94"/>
  <c r="K11" i="94"/>
  <c r="L11" i="94"/>
  <c r="N11" i="94"/>
  <c r="O11" i="94"/>
  <c r="B31" i="94"/>
  <c r="C43" i="94"/>
  <c r="D43" i="94"/>
  <c r="F43" i="94"/>
  <c r="G43" i="94"/>
  <c r="I43" i="94"/>
  <c r="K43" i="94"/>
  <c r="L43" i="94"/>
  <c r="M43" i="94"/>
  <c r="N43" i="94"/>
  <c r="O43" i="94"/>
  <c r="M45" i="94"/>
  <c r="J45" i="94"/>
  <c r="H45" i="94"/>
  <c r="B43" i="94"/>
  <c r="J42" i="94"/>
  <c r="H42" i="94"/>
  <c r="E42" i="94"/>
  <c r="J41" i="94"/>
  <c r="J43" i="94" s="1"/>
  <c r="H41" i="94"/>
  <c r="H43" i="94" s="1"/>
  <c r="E41" i="94"/>
  <c r="E43" i="94" s="1"/>
  <c r="J38" i="94"/>
  <c r="H38" i="94"/>
  <c r="E38" i="94"/>
  <c r="J37" i="94"/>
  <c r="H37" i="94"/>
  <c r="E37" i="94"/>
  <c r="J36" i="94"/>
  <c r="H36" i="94"/>
  <c r="E36" i="94"/>
  <c r="J34" i="94"/>
  <c r="H34" i="94"/>
  <c r="E34" i="94"/>
  <c r="M30" i="94"/>
  <c r="J30" i="94"/>
  <c r="H30" i="94"/>
  <c r="E30" i="94"/>
  <c r="M28" i="94"/>
  <c r="J28" i="94"/>
  <c r="H28" i="94"/>
  <c r="E28" i="94"/>
  <c r="O26" i="94"/>
  <c r="N26" i="94"/>
  <c r="L26" i="94"/>
  <c r="K26" i="94"/>
  <c r="I26" i="94"/>
  <c r="G26" i="94"/>
  <c r="F26" i="94"/>
  <c r="D26" i="94"/>
  <c r="C26" i="94"/>
  <c r="B26" i="94"/>
  <c r="M25" i="94"/>
  <c r="J25" i="94"/>
  <c r="H25" i="94"/>
  <c r="E25" i="94"/>
  <c r="O23" i="94"/>
  <c r="N23" i="94"/>
  <c r="L23" i="94"/>
  <c r="K23" i="94"/>
  <c r="I23" i="94"/>
  <c r="G23" i="94"/>
  <c r="F23" i="94"/>
  <c r="D23" i="94"/>
  <c r="C23" i="94"/>
  <c r="B23" i="94"/>
  <c r="O17" i="94"/>
  <c r="N17" i="94"/>
  <c r="L17" i="94"/>
  <c r="K17" i="94"/>
  <c r="I17" i="94"/>
  <c r="G17" i="94"/>
  <c r="F17" i="94"/>
  <c r="D17" i="94"/>
  <c r="C17" i="94"/>
  <c r="B17" i="94"/>
  <c r="A17" i="94"/>
  <c r="J16" i="94"/>
  <c r="H16" i="94"/>
  <c r="E16" i="94"/>
  <c r="O14" i="94"/>
  <c r="N14" i="94"/>
  <c r="L14" i="94"/>
  <c r="K14" i="94"/>
  <c r="I14" i="94"/>
  <c r="G14" i="94"/>
  <c r="F14" i="94"/>
  <c r="D14" i="94"/>
  <c r="C14" i="94"/>
  <c r="J13" i="94"/>
  <c r="H13" i="94"/>
  <c r="E13" i="94"/>
  <c r="B11" i="94"/>
  <c r="A11" i="94"/>
  <c r="M10" i="94"/>
  <c r="M11" i="94" s="1"/>
  <c r="J10" i="94"/>
  <c r="H10" i="94"/>
  <c r="E10" i="94"/>
  <c r="J9" i="94"/>
  <c r="H9" i="94"/>
  <c r="E9" i="94"/>
  <c r="O7" i="94"/>
  <c r="N7" i="94"/>
  <c r="L7" i="94"/>
  <c r="K7" i="94"/>
  <c r="I7" i="94"/>
  <c r="G7" i="94"/>
  <c r="F7" i="94"/>
  <c r="D7" i="94"/>
  <c r="J6" i="94"/>
  <c r="H6" i="94"/>
  <c r="E6" i="94"/>
  <c r="O4" i="94"/>
  <c r="N4" i="94"/>
  <c r="L4" i="94"/>
  <c r="K4" i="94"/>
  <c r="I4" i="94"/>
  <c r="G4" i="94"/>
  <c r="F4" i="94"/>
  <c r="D4" i="94"/>
  <c r="C4" i="94"/>
  <c r="B4" i="94"/>
  <c r="M4" i="94"/>
  <c r="J4" i="94"/>
  <c r="E4" i="94"/>
  <c r="O2" i="94"/>
  <c r="N2" i="94"/>
  <c r="L2" i="94"/>
  <c r="K2" i="94"/>
  <c r="I2" i="94"/>
  <c r="G2" i="94"/>
  <c r="F2" i="94"/>
  <c r="D2" i="94"/>
  <c r="C2" i="94"/>
  <c r="E2" i="94"/>
  <c r="M2" i="94"/>
  <c r="J2" i="94"/>
  <c r="H2" i="94"/>
  <c r="H182" i="34"/>
  <c r="E182" i="34"/>
  <c r="H181" i="34"/>
  <c r="E181" i="34"/>
  <c r="H110" i="34"/>
  <c r="E110" i="34"/>
  <c r="P110" i="34" s="1"/>
  <c r="H109" i="34"/>
  <c r="E109" i="34"/>
  <c r="P109" i="34" s="1"/>
  <c r="J5" i="93"/>
  <c r="H5" i="93"/>
  <c r="E5" i="93"/>
  <c r="P5" i="93" s="1"/>
  <c r="H11" i="94" l="1"/>
  <c r="J11" i="94"/>
  <c r="E11" i="94"/>
  <c r="P41" i="94"/>
  <c r="P43" i="94" s="1"/>
  <c r="P34" i="94"/>
  <c r="P13" i="94"/>
  <c r="P6" i="94"/>
  <c r="P37" i="94"/>
  <c r="P25" i="94"/>
  <c r="P9" i="94"/>
  <c r="P16" i="94"/>
  <c r="H7" i="94"/>
  <c r="P10" i="94"/>
  <c r="P42" i="94"/>
  <c r="P30" i="94"/>
  <c r="P38" i="94"/>
  <c r="E14" i="94"/>
  <c r="H17" i="94"/>
  <c r="J17" i="94"/>
  <c r="M23" i="94"/>
  <c r="H26" i="94"/>
  <c r="H4" i="94"/>
  <c r="M17" i="94"/>
  <c r="M26" i="94"/>
  <c r="J14" i="94"/>
  <c r="E7" i="94"/>
  <c r="H23" i="94"/>
  <c r="P36" i="94"/>
  <c r="P7" i="94"/>
  <c r="E23" i="94"/>
  <c r="M7" i="94"/>
  <c r="H14" i="94"/>
  <c r="P28" i="94"/>
  <c r="M14" i="94"/>
  <c r="J7" i="94"/>
  <c r="E17" i="94"/>
  <c r="E26" i="94"/>
  <c r="J23" i="94"/>
  <c r="J26" i="94"/>
  <c r="P2" i="94"/>
  <c r="P4" i="94"/>
  <c r="B121" i="34"/>
  <c r="B77" i="93"/>
  <c r="B70" i="93"/>
  <c r="C70" i="93"/>
  <c r="D70" i="93"/>
  <c r="F70" i="93"/>
  <c r="G70" i="93"/>
  <c r="I70" i="93"/>
  <c r="K70" i="93"/>
  <c r="L70" i="93"/>
  <c r="N70" i="93"/>
  <c r="O70" i="93"/>
  <c r="B46" i="93"/>
  <c r="C46" i="93"/>
  <c r="D46" i="93"/>
  <c r="F46" i="93"/>
  <c r="G46" i="93"/>
  <c r="I46" i="93"/>
  <c r="K46" i="93"/>
  <c r="L46" i="93"/>
  <c r="N46" i="93"/>
  <c r="O46" i="93"/>
  <c r="B31" i="93"/>
  <c r="H96" i="93"/>
  <c r="H97" i="93"/>
  <c r="H98" i="93"/>
  <c r="B102" i="93"/>
  <c r="C102" i="93"/>
  <c r="D102" i="93"/>
  <c r="F102" i="93"/>
  <c r="G102" i="93"/>
  <c r="K102" i="93"/>
  <c r="L102" i="93"/>
  <c r="N102" i="93"/>
  <c r="O102" i="93"/>
  <c r="I102" i="93"/>
  <c r="E84" i="93"/>
  <c r="H84" i="93"/>
  <c r="J84" i="93"/>
  <c r="E85" i="93"/>
  <c r="H85" i="93"/>
  <c r="J85" i="93"/>
  <c r="P11" i="94" l="1"/>
  <c r="P23" i="94"/>
  <c r="P14" i="94"/>
  <c r="P26" i="94"/>
  <c r="P17" i="94"/>
  <c r="P84" i="93"/>
  <c r="P85" i="93"/>
  <c r="E2" i="93"/>
  <c r="H2" i="93"/>
  <c r="J2" i="93"/>
  <c r="J101" i="93"/>
  <c r="H101" i="93"/>
  <c r="E101" i="93"/>
  <c r="E100" i="93"/>
  <c r="J98" i="93"/>
  <c r="E98" i="93"/>
  <c r="J97" i="93"/>
  <c r="E97" i="93"/>
  <c r="J96" i="93"/>
  <c r="E96" i="93"/>
  <c r="J95" i="93"/>
  <c r="H95" i="93"/>
  <c r="E95" i="93"/>
  <c r="J92" i="93"/>
  <c r="H92" i="93"/>
  <c r="E92" i="93"/>
  <c r="J91" i="93"/>
  <c r="H91" i="93"/>
  <c r="E91" i="93"/>
  <c r="J90" i="93"/>
  <c r="H90" i="93"/>
  <c r="E90" i="93"/>
  <c r="J89" i="93"/>
  <c r="H89" i="93"/>
  <c r="E89" i="93"/>
  <c r="J88" i="93"/>
  <c r="H88" i="93"/>
  <c r="E88" i="93"/>
  <c r="J87" i="93"/>
  <c r="H87" i="93"/>
  <c r="E87" i="93"/>
  <c r="J86" i="93"/>
  <c r="H86" i="93"/>
  <c r="E86" i="93"/>
  <c r="J83" i="93"/>
  <c r="H83" i="93"/>
  <c r="E83" i="93"/>
  <c r="J82" i="93"/>
  <c r="H82" i="93"/>
  <c r="E82" i="93"/>
  <c r="J80" i="93"/>
  <c r="H80" i="93"/>
  <c r="E80" i="93"/>
  <c r="J79" i="93"/>
  <c r="H79" i="93"/>
  <c r="E79" i="93"/>
  <c r="J76" i="93"/>
  <c r="H76" i="93"/>
  <c r="E76" i="93"/>
  <c r="J75" i="93"/>
  <c r="H75" i="93"/>
  <c r="E75" i="93"/>
  <c r="J74" i="93"/>
  <c r="H74" i="93"/>
  <c r="E74" i="93"/>
  <c r="J73" i="93"/>
  <c r="H73" i="93"/>
  <c r="E73" i="93"/>
  <c r="J69" i="93"/>
  <c r="H69" i="93"/>
  <c r="E69" i="93"/>
  <c r="J68" i="93"/>
  <c r="H68" i="93"/>
  <c r="E68" i="93"/>
  <c r="J67" i="93"/>
  <c r="H67" i="93"/>
  <c r="E67" i="93"/>
  <c r="J66" i="93"/>
  <c r="H66" i="93"/>
  <c r="E66" i="93"/>
  <c r="J65" i="93"/>
  <c r="H65" i="93"/>
  <c r="E65" i="93"/>
  <c r="J64" i="93"/>
  <c r="H64" i="93"/>
  <c r="E64" i="93"/>
  <c r="J63" i="93"/>
  <c r="H63" i="93"/>
  <c r="E63" i="93"/>
  <c r="J60" i="93"/>
  <c r="H60" i="93"/>
  <c r="E60" i="93"/>
  <c r="J58" i="93"/>
  <c r="J61" i="93" s="1"/>
  <c r="H58" i="93"/>
  <c r="H61" i="93" s="1"/>
  <c r="E58" i="93"/>
  <c r="J55" i="93"/>
  <c r="H55" i="93"/>
  <c r="E55" i="93"/>
  <c r="J53" i="93"/>
  <c r="H53" i="93"/>
  <c r="E53" i="93"/>
  <c r="J52" i="93"/>
  <c r="H52" i="93"/>
  <c r="E52" i="93"/>
  <c r="J51" i="93"/>
  <c r="H51" i="93"/>
  <c r="E51" i="93"/>
  <c r="J50" i="93"/>
  <c r="H50" i="93"/>
  <c r="E50" i="93"/>
  <c r="J49" i="93"/>
  <c r="H49" i="93"/>
  <c r="E49" i="93"/>
  <c r="J48" i="93"/>
  <c r="H48" i="93"/>
  <c r="E48" i="93"/>
  <c r="E56" i="93" s="1"/>
  <c r="J45" i="93"/>
  <c r="H45" i="93"/>
  <c r="E45" i="93"/>
  <c r="J44" i="93"/>
  <c r="H44" i="93"/>
  <c r="E44" i="93"/>
  <c r="J43" i="93"/>
  <c r="H43" i="93"/>
  <c r="E43" i="93"/>
  <c r="J42" i="93"/>
  <c r="H42" i="93"/>
  <c r="E42" i="93"/>
  <c r="J41" i="93"/>
  <c r="H41" i="93"/>
  <c r="E41" i="93"/>
  <c r="J40" i="93"/>
  <c r="H40" i="93"/>
  <c r="E40" i="93"/>
  <c r="J39" i="93"/>
  <c r="H39" i="93"/>
  <c r="E39" i="93"/>
  <c r="J36" i="93"/>
  <c r="H36" i="93"/>
  <c r="E36" i="93"/>
  <c r="J34" i="93"/>
  <c r="H34" i="93"/>
  <c r="E34" i="93"/>
  <c r="J33" i="93"/>
  <c r="H33" i="93"/>
  <c r="E33" i="93"/>
  <c r="J30" i="93"/>
  <c r="H30" i="93"/>
  <c r="E30" i="93"/>
  <c r="J29" i="93"/>
  <c r="H29" i="93"/>
  <c r="E29" i="93"/>
  <c r="J28" i="93"/>
  <c r="H28" i="93"/>
  <c r="E28" i="93"/>
  <c r="J26" i="93"/>
  <c r="H26" i="93"/>
  <c r="E26" i="93"/>
  <c r="J25" i="93"/>
  <c r="H25" i="93"/>
  <c r="E25" i="93"/>
  <c r="J24" i="93"/>
  <c r="H24" i="93"/>
  <c r="E24" i="93"/>
  <c r="J23" i="93"/>
  <c r="H23" i="93"/>
  <c r="E23" i="93"/>
  <c r="J22" i="93"/>
  <c r="H22" i="93"/>
  <c r="E22" i="93"/>
  <c r="J21" i="93"/>
  <c r="H21" i="93"/>
  <c r="E21" i="93"/>
  <c r="J20" i="93"/>
  <c r="H20" i="93"/>
  <c r="E20" i="93"/>
  <c r="J19" i="93"/>
  <c r="J31" i="93" s="1"/>
  <c r="H19" i="93"/>
  <c r="H31" i="93" s="1"/>
  <c r="E19" i="93"/>
  <c r="J16" i="93"/>
  <c r="H16" i="93"/>
  <c r="E16" i="93"/>
  <c r="J14" i="93"/>
  <c r="H14" i="93"/>
  <c r="E14" i="93"/>
  <c r="P14" i="93" s="1"/>
  <c r="J12" i="93"/>
  <c r="J17" i="93" s="1"/>
  <c r="H12" i="93"/>
  <c r="H17" i="93" s="1"/>
  <c r="E12" i="93"/>
  <c r="E17" i="93" s="1"/>
  <c r="J9" i="93"/>
  <c r="H9" i="93"/>
  <c r="E9" i="93"/>
  <c r="J8" i="93"/>
  <c r="H8" i="93"/>
  <c r="E8" i="93"/>
  <c r="J7" i="93"/>
  <c r="H7" i="93"/>
  <c r="E7" i="93"/>
  <c r="J6" i="93"/>
  <c r="H6" i="93"/>
  <c r="E6" i="93"/>
  <c r="O3" i="93"/>
  <c r="N3" i="93"/>
  <c r="L3" i="93"/>
  <c r="K3" i="93"/>
  <c r="I3" i="93"/>
  <c r="G3" i="93"/>
  <c r="F3" i="93"/>
  <c r="D3" i="93"/>
  <c r="C3" i="93"/>
  <c r="E31" i="93" l="1"/>
  <c r="H56" i="93"/>
  <c r="J56" i="93"/>
  <c r="E61" i="93"/>
  <c r="H93" i="93"/>
  <c r="J77" i="93"/>
  <c r="J93" i="93"/>
  <c r="E93" i="93"/>
  <c r="E77" i="93"/>
  <c r="H77" i="93"/>
  <c r="J37" i="93"/>
  <c r="E37" i="93"/>
  <c r="H37" i="93"/>
  <c r="P100" i="93"/>
  <c r="E102" i="93"/>
  <c r="H46" i="93"/>
  <c r="H102" i="93"/>
  <c r="J10" i="93"/>
  <c r="H70" i="93"/>
  <c r="J70" i="93"/>
  <c r="J102" i="93"/>
  <c r="E46" i="93"/>
  <c r="J46" i="93"/>
  <c r="E70" i="93"/>
  <c r="P63" i="93"/>
  <c r="P65" i="93"/>
  <c r="P67" i="93"/>
  <c r="P2" i="93"/>
  <c r="P33" i="93"/>
  <c r="P36" i="93"/>
  <c r="P49" i="93"/>
  <c r="P75" i="93"/>
  <c r="P76" i="93"/>
  <c r="P30" i="93"/>
  <c r="P53" i="93"/>
  <c r="P55" i="93"/>
  <c r="P25" i="93"/>
  <c r="P21" i="93"/>
  <c r="P48" i="93"/>
  <c r="P82" i="93"/>
  <c r="P83" i="93"/>
  <c r="P87" i="93"/>
  <c r="P88" i="93"/>
  <c r="P92" i="93"/>
  <c r="P12" i="93"/>
  <c r="P28" i="93"/>
  <c r="P42" i="93"/>
  <c r="P45" i="93"/>
  <c r="P52" i="93"/>
  <c r="P58" i="93"/>
  <c r="P95" i="93"/>
  <c r="P96" i="93"/>
  <c r="P98" i="93"/>
  <c r="P29" i="93"/>
  <c r="P79" i="93"/>
  <c r="P101" i="93"/>
  <c r="P89" i="93"/>
  <c r="P24" i="93"/>
  <c r="P26" i="93"/>
  <c r="P97" i="93"/>
  <c r="P6" i="93"/>
  <c r="P39" i="93"/>
  <c r="P73" i="93"/>
  <c r="P90" i="93"/>
  <c r="P43" i="93"/>
  <c r="P80" i="93"/>
  <c r="P86" i="93"/>
  <c r="P91" i="93"/>
  <c r="H3" i="93"/>
  <c r="P9" i="93"/>
  <c r="P8" i="93"/>
  <c r="P50" i="93"/>
  <c r="P66" i="93"/>
  <c r="P69" i="93"/>
  <c r="P7" i="93"/>
  <c r="P19" i="93"/>
  <c r="P41" i="93"/>
  <c r="P22" i="93"/>
  <c r="P16" i="93"/>
  <c r="P20" i="93"/>
  <c r="P23" i="93"/>
  <c r="P44" i="93"/>
  <c r="P51" i="93"/>
  <c r="P68" i="93"/>
  <c r="P74" i="93"/>
  <c r="P34" i="93"/>
  <c r="P40" i="93"/>
  <c r="P60" i="93"/>
  <c r="E3" i="93"/>
  <c r="J3" i="93"/>
  <c r="P64" i="93"/>
  <c r="H197" i="34"/>
  <c r="E197" i="34"/>
  <c r="E203" i="34"/>
  <c r="P31" i="93" l="1"/>
  <c r="P56" i="93"/>
  <c r="P17" i="93"/>
  <c r="P61" i="93"/>
  <c r="P77" i="93"/>
  <c r="P93" i="93"/>
  <c r="P37" i="93"/>
  <c r="P46" i="93"/>
  <c r="P102" i="93"/>
  <c r="P70" i="93"/>
  <c r="P3" i="93"/>
  <c r="H125" i="34" l="1"/>
  <c r="E125" i="34"/>
  <c r="H195" i="34"/>
  <c r="E195" i="34"/>
  <c r="P125" i="34" l="1"/>
  <c r="L54" i="91"/>
  <c r="J54" i="91"/>
  <c r="H54" i="91"/>
  <c r="E54" i="91"/>
  <c r="L53" i="91"/>
  <c r="J53" i="91"/>
  <c r="H53" i="91"/>
  <c r="E53" i="91"/>
  <c r="H220" i="34"/>
  <c r="E220" i="34"/>
  <c r="H27" i="34"/>
  <c r="E27" i="34"/>
  <c r="H228" i="34"/>
  <c r="E228" i="34"/>
  <c r="H97" i="34"/>
  <c r="E97" i="34"/>
  <c r="H33" i="34"/>
  <c r="E33" i="34"/>
  <c r="P33" i="34" l="1"/>
  <c r="P97" i="34"/>
  <c r="P27" i="34"/>
  <c r="H10" i="34"/>
  <c r="I28" i="89" l="1"/>
  <c r="I27" i="89"/>
  <c r="I26" i="89"/>
  <c r="I29" i="89" s="1"/>
  <c r="I25" i="89"/>
  <c r="I24" i="89"/>
  <c r="I23" i="89"/>
  <c r="I22" i="89"/>
  <c r="I21" i="89"/>
  <c r="I20" i="89"/>
  <c r="I19" i="89"/>
  <c r="I18" i="89"/>
  <c r="I17" i="89"/>
  <c r="H262" i="34" l="1"/>
  <c r="E262" i="34"/>
  <c r="H248" i="34"/>
  <c r="E248" i="34"/>
  <c r="H227" i="34"/>
  <c r="E227" i="34"/>
  <c r="H237" i="34"/>
  <c r="E237" i="34"/>
  <c r="H235" i="34"/>
  <c r="E235" i="34"/>
  <c r="H247" i="34"/>
  <c r="E247" i="34"/>
  <c r="H147" i="34"/>
  <c r="E147" i="34"/>
  <c r="H219" i="34"/>
  <c r="E219" i="34"/>
  <c r="H215" i="34"/>
  <c r="E215" i="34"/>
  <c r="H236" i="34"/>
  <c r="E236" i="34"/>
  <c r="H256" i="34"/>
  <c r="E256" i="34"/>
  <c r="H254" i="34"/>
  <c r="E254" i="34"/>
  <c r="H202" i="34"/>
  <c r="E202" i="34"/>
  <c r="P147" i="34" l="1"/>
  <c r="H218" i="34" l="1"/>
  <c r="E218" i="34"/>
  <c r="H232" i="34"/>
  <c r="E232" i="34"/>
  <c r="H265" i="34"/>
  <c r="E265" i="34"/>
  <c r="H136" i="34"/>
  <c r="E136" i="34"/>
  <c r="H231" i="34"/>
  <c r="E231" i="34"/>
  <c r="H264" i="34"/>
  <c r="E264" i="34"/>
  <c r="H266" i="34"/>
  <c r="E266" i="34"/>
  <c r="H255" i="34"/>
  <c r="E255" i="34"/>
  <c r="H241" i="34"/>
  <c r="E241" i="34"/>
  <c r="E246" i="34"/>
  <c r="H246" i="34"/>
  <c r="H261" i="34"/>
  <c r="E261" i="34"/>
  <c r="H253" i="34"/>
  <c r="E253" i="34"/>
  <c r="H252" i="34"/>
  <c r="E252" i="34"/>
  <c r="H192" i="34"/>
  <c r="E192" i="34"/>
  <c r="H258" i="34"/>
  <c r="E258" i="34"/>
  <c r="E259" i="34"/>
  <c r="H259" i="34"/>
  <c r="P136" i="34" l="1"/>
  <c r="H196" i="34"/>
  <c r="E196" i="34"/>
  <c r="H230" i="34"/>
  <c r="E230" i="34"/>
  <c r="H240" i="34"/>
  <c r="E240" i="34"/>
  <c r="H154" i="34" l="1"/>
  <c r="E154" i="34"/>
  <c r="H188" i="34"/>
  <c r="E188" i="34"/>
  <c r="H263" i="34"/>
  <c r="E263" i="34"/>
  <c r="H200" i="34"/>
  <c r="E200" i="34"/>
  <c r="H211" i="34"/>
  <c r="E211" i="34"/>
  <c r="H260" i="34"/>
  <c r="E260" i="34"/>
  <c r="H245" i="34"/>
  <c r="E245" i="34"/>
  <c r="H174" i="34"/>
  <c r="E174" i="34"/>
  <c r="H128" i="34"/>
  <c r="E128" i="34"/>
  <c r="H127" i="34"/>
  <c r="E127" i="34"/>
  <c r="H150" i="34"/>
  <c r="E150" i="34"/>
  <c r="H167" i="34"/>
  <c r="E167" i="34"/>
  <c r="H129" i="34"/>
  <c r="E129" i="34"/>
  <c r="H234" i="34"/>
  <c r="E234" i="34"/>
  <c r="H166" i="34"/>
  <c r="E166" i="34"/>
  <c r="H106" i="34"/>
  <c r="E106" i="34"/>
  <c r="H92" i="34"/>
  <c r="E92" i="34"/>
  <c r="H123" i="34"/>
  <c r="E123" i="34"/>
  <c r="H98" i="34"/>
  <c r="E98" i="34"/>
  <c r="H224" i="34"/>
  <c r="E224" i="34"/>
  <c r="H251" i="34"/>
  <c r="E251" i="34"/>
  <c r="H149" i="34"/>
  <c r="E149" i="34"/>
  <c r="H158" i="34"/>
  <c r="E158" i="34"/>
  <c r="H157" i="34"/>
  <c r="E157" i="34"/>
  <c r="H170" i="34"/>
  <c r="E170" i="34"/>
  <c r="H177" i="34"/>
  <c r="E177" i="34"/>
  <c r="H112" i="34"/>
  <c r="E112" i="34"/>
  <c r="H201" i="34"/>
  <c r="E201" i="34"/>
  <c r="P154" i="34" l="1"/>
  <c r="P150" i="34"/>
  <c r="P128" i="34"/>
  <c r="P127" i="34"/>
  <c r="P129" i="34"/>
  <c r="P106" i="34"/>
  <c r="P98" i="34"/>
  <c r="P92" i="34"/>
  <c r="P123" i="34"/>
  <c r="P149" i="34"/>
  <c r="P158" i="34"/>
  <c r="P157" i="34"/>
  <c r="P112" i="34"/>
  <c r="H34" i="34" l="1"/>
  <c r="E34" i="34"/>
  <c r="H99" i="34"/>
  <c r="E99" i="34"/>
  <c r="H50" i="34"/>
  <c r="E50" i="34"/>
  <c r="L26" i="91"/>
  <c r="J26" i="91"/>
  <c r="H26" i="91"/>
  <c r="E26" i="91"/>
  <c r="L44" i="91"/>
  <c r="J44" i="91"/>
  <c r="H44" i="91"/>
  <c r="E44" i="91"/>
  <c r="L43" i="91"/>
  <c r="J43" i="91"/>
  <c r="H43" i="91"/>
  <c r="E43" i="91"/>
  <c r="L51" i="91"/>
  <c r="J51" i="91"/>
  <c r="H51" i="91"/>
  <c r="E51" i="91"/>
  <c r="L50" i="91"/>
  <c r="J50" i="91"/>
  <c r="H50" i="91"/>
  <c r="E50" i="91"/>
  <c r="L38" i="91"/>
  <c r="J38" i="91"/>
  <c r="H38" i="91"/>
  <c r="E38" i="91"/>
  <c r="L27" i="91"/>
  <c r="J27" i="91"/>
  <c r="H27" i="91"/>
  <c r="E27" i="91"/>
  <c r="L5" i="91"/>
  <c r="J5" i="91"/>
  <c r="H5" i="91"/>
  <c r="E5" i="91"/>
  <c r="L21" i="91"/>
  <c r="J21" i="91"/>
  <c r="H21" i="91"/>
  <c r="E21" i="91"/>
  <c r="L10" i="91"/>
  <c r="J10" i="91"/>
  <c r="H10" i="91"/>
  <c r="E10" i="91"/>
  <c r="L23" i="91"/>
  <c r="J23" i="91"/>
  <c r="H23" i="91"/>
  <c r="E23" i="91"/>
  <c r="L19" i="91"/>
  <c r="J19" i="91"/>
  <c r="H19" i="91"/>
  <c r="E19" i="91"/>
  <c r="L18" i="91"/>
  <c r="J18" i="91"/>
  <c r="H18" i="91"/>
  <c r="E18" i="91"/>
  <c r="L17" i="91"/>
  <c r="J17" i="91"/>
  <c r="H17" i="91"/>
  <c r="E17" i="91"/>
  <c r="L16" i="91"/>
  <c r="J16" i="91"/>
  <c r="H16" i="91"/>
  <c r="E16" i="91"/>
  <c r="L15" i="91"/>
  <c r="J15" i="91"/>
  <c r="H15" i="91"/>
  <c r="E15" i="91"/>
  <c r="L14" i="91"/>
  <c r="J14" i="91"/>
  <c r="H14" i="91"/>
  <c r="E14" i="91"/>
  <c r="L13" i="91"/>
  <c r="J13" i="91"/>
  <c r="H13" i="91"/>
  <c r="E13" i="91"/>
  <c r="L28" i="91"/>
  <c r="J28" i="91"/>
  <c r="H28" i="91"/>
  <c r="E28" i="91"/>
  <c r="L29" i="91"/>
  <c r="J29" i="91"/>
  <c r="H29" i="91"/>
  <c r="E29" i="91"/>
  <c r="L30" i="91"/>
  <c r="J30" i="91"/>
  <c r="H30" i="91"/>
  <c r="E30" i="91"/>
  <c r="L31" i="91"/>
  <c r="J31" i="91"/>
  <c r="H31" i="91"/>
  <c r="E31" i="91"/>
  <c r="L33" i="91"/>
  <c r="J33" i="91"/>
  <c r="H33" i="91"/>
  <c r="E33" i="91"/>
  <c r="L35" i="91"/>
  <c r="J35" i="91"/>
  <c r="H35" i="91"/>
  <c r="E35" i="91"/>
  <c r="L36" i="91"/>
  <c r="J36" i="91"/>
  <c r="H36" i="91"/>
  <c r="E36" i="91"/>
  <c r="L37" i="91"/>
  <c r="J37" i="91"/>
  <c r="H37" i="91"/>
  <c r="E37" i="91"/>
  <c r="L39" i="91"/>
  <c r="J39" i="91"/>
  <c r="H39" i="91"/>
  <c r="E39" i="91"/>
  <c r="L40" i="91"/>
  <c r="J40" i="91"/>
  <c r="H40" i="91"/>
  <c r="E40" i="91"/>
  <c r="L12" i="91"/>
  <c r="J12" i="91"/>
  <c r="H12" i="91"/>
  <c r="E12" i="91"/>
  <c r="L11" i="91"/>
  <c r="J11" i="91"/>
  <c r="H11" i="91"/>
  <c r="E11" i="91"/>
  <c r="L9" i="91"/>
  <c r="J9" i="91"/>
  <c r="H9" i="91"/>
  <c r="E9" i="91"/>
  <c r="L7" i="91"/>
  <c r="J7" i="91"/>
  <c r="H7" i="91"/>
  <c r="E7" i="91"/>
  <c r="P99" i="34" l="1"/>
  <c r="P34" i="34"/>
  <c r="P50" i="34"/>
  <c r="H91" i="34"/>
  <c r="E91" i="34"/>
  <c r="H198" i="34"/>
  <c r="E198" i="34"/>
  <c r="J2" i="34"/>
  <c r="H2" i="34"/>
  <c r="E2" i="34"/>
  <c r="H191" i="34"/>
  <c r="E191" i="34"/>
  <c r="H68" i="34"/>
  <c r="E68" i="34"/>
  <c r="P68" i="34" s="1"/>
  <c r="P167" i="34" l="1"/>
  <c r="P166" i="34"/>
  <c r="P91" i="34"/>
  <c r="P2" i="34"/>
  <c r="L41" i="91"/>
  <c r="L42" i="91"/>
  <c r="L45" i="91"/>
  <c r="L46" i="91"/>
  <c r="L47" i="91"/>
  <c r="L48" i="91"/>
  <c r="L49" i="91"/>
  <c r="L52" i="91"/>
  <c r="L58" i="91"/>
  <c r="L59" i="91"/>
  <c r="L60" i="91"/>
  <c r="L61" i="91"/>
  <c r="L62" i="91"/>
  <c r="L63" i="91"/>
  <c r="L64" i="91"/>
  <c r="L65" i="91"/>
  <c r="L66" i="91"/>
  <c r="L67" i="91"/>
  <c r="J41" i="91"/>
  <c r="J42" i="91"/>
  <c r="J45" i="91"/>
  <c r="J46" i="91"/>
  <c r="J47" i="91"/>
  <c r="J48" i="91"/>
  <c r="J49" i="91"/>
  <c r="J52" i="91"/>
  <c r="J58" i="91"/>
  <c r="J59" i="91"/>
  <c r="J60" i="91"/>
  <c r="J61" i="91"/>
  <c r="J62" i="91"/>
  <c r="J63" i="91"/>
  <c r="J64" i="91"/>
  <c r="J65" i="91"/>
  <c r="H41" i="91"/>
  <c r="H42" i="91"/>
  <c r="H45" i="91"/>
  <c r="H46" i="91"/>
  <c r="H47" i="91"/>
  <c r="H48" i="91"/>
  <c r="H49" i="91"/>
  <c r="H52" i="91"/>
  <c r="H58" i="91"/>
  <c r="H59" i="91"/>
  <c r="H60" i="91"/>
  <c r="H61" i="91"/>
  <c r="H62" i="91"/>
  <c r="H63" i="91"/>
  <c r="H64" i="91"/>
  <c r="E41" i="91"/>
  <c r="E42" i="91"/>
  <c r="E45" i="91"/>
  <c r="E46" i="91"/>
  <c r="E47" i="91"/>
  <c r="E48" i="91"/>
  <c r="E49" i="91"/>
  <c r="E52" i="91"/>
  <c r="E58" i="91"/>
  <c r="E59" i="91"/>
  <c r="E60" i="91"/>
  <c r="E61" i="91"/>
  <c r="E62" i="91"/>
  <c r="E63" i="91"/>
  <c r="E64" i="91"/>
  <c r="J2" i="91"/>
  <c r="J3" i="91"/>
  <c r="J4" i="91"/>
  <c r="L2" i="91"/>
  <c r="L3" i="91"/>
  <c r="L4" i="91"/>
  <c r="H2" i="91"/>
  <c r="H3" i="91"/>
  <c r="H4" i="91"/>
  <c r="E2" i="91"/>
  <c r="E3" i="91"/>
  <c r="E4" i="91"/>
  <c r="P170" i="34" l="1"/>
  <c r="D28" i="89"/>
  <c r="D27" i="89"/>
  <c r="D26" i="89"/>
  <c r="D25" i="89"/>
  <c r="D24" i="89"/>
  <c r="D23" i="89"/>
  <c r="D22" i="89"/>
  <c r="D21" i="89"/>
  <c r="D20" i="89"/>
  <c r="D19" i="89"/>
  <c r="D18" i="89"/>
  <c r="D17" i="89"/>
  <c r="I12" i="89"/>
  <c r="I11" i="89"/>
  <c r="I10" i="89"/>
  <c r="I9" i="89"/>
  <c r="I8" i="89"/>
  <c r="I7" i="89"/>
  <c r="I6" i="89"/>
  <c r="I5" i="89"/>
  <c r="I4" i="89"/>
  <c r="I3" i="89"/>
  <c r="I2" i="89"/>
  <c r="D3" i="89"/>
  <c r="D4" i="89"/>
  <c r="D5" i="89"/>
  <c r="D6" i="89"/>
  <c r="D7" i="89"/>
  <c r="D8" i="89"/>
  <c r="D9" i="89"/>
  <c r="D10" i="89"/>
  <c r="D11" i="89"/>
  <c r="D12" i="89"/>
  <c r="D13" i="89"/>
  <c r="D2" i="89"/>
  <c r="D29" i="89" l="1"/>
  <c r="I13" i="89"/>
  <c r="D14" i="89"/>
  <c r="H102" i="34"/>
  <c r="E102" i="34"/>
  <c r="E199" i="34"/>
  <c r="H199" i="34"/>
  <c r="H94" i="34"/>
  <c r="E94" i="34"/>
  <c r="P174" i="34" l="1"/>
  <c r="P102" i="34"/>
  <c r="P94" i="34"/>
  <c r="E223" i="34" l="1"/>
  <c r="H22" i="34"/>
  <c r="E22" i="34"/>
  <c r="H124" i="34"/>
  <c r="E124" i="34"/>
  <c r="P177" i="34" l="1"/>
  <c r="P22" i="34"/>
  <c r="P124" i="34"/>
  <c r="H48" i="34"/>
  <c r="E48" i="34"/>
  <c r="P48" i="34" l="1"/>
  <c r="P182" i="34" l="1"/>
  <c r="P181" i="34"/>
  <c r="H82" i="34"/>
  <c r="E82" i="34"/>
  <c r="P82" i="34" l="1"/>
  <c r="H148" i="34"/>
  <c r="E148" i="34"/>
  <c r="H163" i="34"/>
  <c r="E163" i="34"/>
  <c r="H145" i="34"/>
  <c r="E145" i="34"/>
  <c r="H87" i="34"/>
  <c r="E87" i="34"/>
  <c r="H49" i="34"/>
  <c r="E49" i="34"/>
  <c r="H53" i="34"/>
  <c r="E53" i="34"/>
  <c r="P188" i="34" l="1"/>
  <c r="P53" i="34"/>
  <c r="P163" i="34"/>
  <c r="P148" i="34"/>
  <c r="P145" i="34"/>
  <c r="P87" i="34"/>
  <c r="P49" i="34"/>
  <c r="H141" i="34"/>
  <c r="E141" i="34"/>
  <c r="P191" i="34" l="1"/>
  <c r="P141" i="34"/>
  <c r="H85" i="34"/>
  <c r="E85" i="34"/>
  <c r="H155" i="34"/>
  <c r="E155" i="34"/>
  <c r="H118" i="34"/>
  <c r="E118" i="34"/>
  <c r="H137" i="34"/>
  <c r="E137" i="34"/>
  <c r="H46" i="34"/>
  <c r="E46" i="34"/>
  <c r="H62" i="34"/>
  <c r="E62" i="34"/>
  <c r="H51" i="34"/>
  <c r="E51" i="34"/>
  <c r="H189" i="34"/>
  <c r="E189" i="34"/>
  <c r="H160" i="34"/>
  <c r="E160" i="34"/>
  <c r="H257" i="34"/>
  <c r="E257" i="34"/>
  <c r="H164" i="34"/>
  <c r="E164" i="34"/>
  <c r="H239" i="34"/>
  <c r="E239" i="34"/>
  <c r="E77" i="34"/>
  <c r="H77" i="34"/>
  <c r="H89" i="34" s="1"/>
  <c r="E89" i="34" l="1"/>
  <c r="P192" i="34"/>
  <c r="P46" i="34"/>
  <c r="P85" i="34"/>
  <c r="P155" i="34"/>
  <c r="P118" i="34"/>
  <c r="P137" i="34"/>
  <c r="P62" i="34"/>
  <c r="P160" i="34"/>
  <c r="P189" i="34"/>
  <c r="P51" i="34"/>
  <c r="P164" i="34"/>
  <c r="P77" i="34"/>
  <c r="P89" i="34" l="1"/>
  <c r="H69" i="34"/>
  <c r="E69" i="34"/>
  <c r="P69" i="34" s="1"/>
  <c r="H29" i="34"/>
  <c r="E29" i="34"/>
  <c r="H250" i="34"/>
  <c r="E250" i="34"/>
  <c r="P195" i="34" l="1"/>
  <c r="P29" i="34"/>
  <c r="P196" i="34" l="1"/>
  <c r="H120" i="34"/>
  <c r="E120" i="34"/>
  <c r="H115" i="34"/>
  <c r="H159" i="34"/>
  <c r="E159" i="34"/>
  <c r="H156" i="34"/>
  <c r="E156" i="34"/>
  <c r="P197" i="34" l="1"/>
  <c r="P156" i="34"/>
  <c r="P159" i="34"/>
  <c r="P120" i="34"/>
  <c r="P199" i="34" l="1"/>
  <c r="P198" i="34"/>
  <c r="J6" i="34"/>
  <c r="H6" i="34"/>
  <c r="E6" i="34"/>
  <c r="P200" i="34" l="1"/>
  <c r="P6" i="34"/>
  <c r="H63" i="34"/>
  <c r="E63" i="34"/>
  <c r="H28" i="34"/>
  <c r="E28" i="34"/>
  <c r="H100" i="34"/>
  <c r="E100" i="34"/>
  <c r="H107" i="34"/>
  <c r="E107" i="34"/>
  <c r="H39" i="34"/>
  <c r="E39" i="34"/>
  <c r="H19" i="34"/>
  <c r="E119" i="34"/>
  <c r="P202" i="34" l="1"/>
  <c r="P201" i="34"/>
  <c r="P100" i="34"/>
  <c r="P63" i="34"/>
  <c r="P119" i="34"/>
  <c r="P107" i="34"/>
  <c r="P39" i="34"/>
  <c r="P19" i="34"/>
  <c r="P28" i="34"/>
  <c r="H162" i="34"/>
  <c r="E162" i="34"/>
  <c r="H212" i="34"/>
  <c r="E212" i="34"/>
  <c r="H116" i="34"/>
  <c r="E116" i="34"/>
  <c r="H55" i="34"/>
  <c r="E55" i="34"/>
  <c r="H146" i="34"/>
  <c r="E146" i="34"/>
  <c r="H187" i="34"/>
  <c r="E187" i="34"/>
  <c r="H172" i="34"/>
  <c r="E172" i="34"/>
  <c r="E173" i="34"/>
  <c r="H173" i="34"/>
  <c r="H131" i="34"/>
  <c r="E131" i="34"/>
  <c r="H58" i="34"/>
  <c r="E58" i="34"/>
  <c r="H135" i="34"/>
  <c r="E135" i="34"/>
  <c r="H213" i="34"/>
  <c r="E213" i="34"/>
  <c r="H117" i="34"/>
  <c r="E117" i="34"/>
  <c r="E132" i="34"/>
  <c r="H132" i="34"/>
  <c r="H103" i="34"/>
  <c r="E103" i="34"/>
  <c r="H194" i="34"/>
  <c r="E194" i="34"/>
  <c r="H214" i="34"/>
  <c r="E214" i="34"/>
  <c r="H73" i="34"/>
  <c r="E73" i="34"/>
  <c r="E10" i="34"/>
  <c r="H176" i="34"/>
  <c r="E176" i="34"/>
  <c r="H113" i="34"/>
  <c r="E113" i="34"/>
  <c r="J3" i="34"/>
  <c r="H3" i="34"/>
  <c r="E3" i="34"/>
  <c r="H36" i="34"/>
  <c r="E36" i="34"/>
  <c r="H171" i="34"/>
  <c r="E171" i="34"/>
  <c r="P203" i="34" l="1"/>
  <c r="P113" i="34"/>
  <c r="P73" i="34"/>
  <c r="P172" i="34"/>
  <c r="P162" i="34"/>
  <c r="P194" i="34"/>
  <c r="P171" i="34"/>
  <c r="P55" i="34"/>
  <c r="P132" i="34"/>
  <c r="P10" i="34"/>
  <c r="P146" i="34"/>
  <c r="P3" i="34"/>
  <c r="P176" i="34"/>
  <c r="P103" i="34"/>
  <c r="P58" i="34"/>
  <c r="P173" i="34"/>
  <c r="P116" i="34"/>
  <c r="P187" i="34"/>
  <c r="P36" i="34"/>
  <c r="P117" i="34"/>
  <c r="P135" i="34"/>
  <c r="P131" i="34"/>
  <c r="H217" i="34"/>
  <c r="E217" i="34"/>
  <c r="H105" i="34"/>
  <c r="E105" i="34"/>
  <c r="H193" i="34"/>
  <c r="H57" i="34"/>
  <c r="E57" i="34"/>
  <c r="H134" i="34"/>
  <c r="E134" i="34"/>
  <c r="E193" i="34"/>
  <c r="H161" i="34"/>
  <c r="H179" i="34" s="1"/>
  <c r="E161" i="34"/>
  <c r="E179" i="34" s="1"/>
  <c r="E54" i="34"/>
  <c r="H54" i="34"/>
  <c r="P134" i="34" l="1"/>
  <c r="P105" i="34"/>
  <c r="P193" i="34"/>
  <c r="P57" i="34"/>
  <c r="P54" i="34"/>
  <c r="P161" i="34"/>
  <c r="P179" i="34" s="1"/>
  <c r="H38" i="34"/>
  <c r="H60" i="34" s="1"/>
  <c r="E38" i="34"/>
  <c r="E60" i="34" s="1"/>
  <c r="E115" i="34"/>
  <c r="H20" i="34"/>
  <c r="E20" i="34"/>
  <c r="H21" i="34"/>
  <c r="E21" i="34"/>
  <c r="H23" i="34"/>
  <c r="E23" i="34"/>
  <c r="H13" i="34"/>
  <c r="E13" i="34"/>
  <c r="P212" i="34" l="1"/>
  <c r="P211" i="34"/>
  <c r="P21" i="34"/>
  <c r="P23" i="34"/>
  <c r="P20" i="34"/>
  <c r="P115" i="34"/>
  <c r="P38" i="34"/>
  <c r="P60" i="34" s="1"/>
  <c r="P13" i="34"/>
  <c r="H64" i="34"/>
  <c r="E64" i="34"/>
  <c r="E75" i="34" s="1"/>
  <c r="H24" i="34"/>
  <c r="E24" i="34"/>
  <c r="H11" i="34"/>
  <c r="H17" i="34" s="1"/>
  <c r="E11" i="34"/>
  <c r="E17" i="34" s="1"/>
  <c r="H108" i="34"/>
  <c r="E108" i="34"/>
  <c r="H210" i="34"/>
  <c r="E210" i="34"/>
  <c r="H208" i="34"/>
  <c r="E208" i="34"/>
  <c r="P213" i="34" l="1"/>
  <c r="P64" i="34"/>
  <c r="P75" i="34" s="1"/>
  <c r="P11" i="34"/>
  <c r="P17" i="34" s="1"/>
  <c r="P24" i="34"/>
  <c r="P108" i="34"/>
  <c r="P121" i="34" s="1"/>
  <c r="P210" i="34"/>
  <c r="P208" i="34"/>
  <c r="P215" i="34" l="1"/>
  <c r="P214" i="34"/>
  <c r="H70" i="34"/>
  <c r="H75" i="34" s="1"/>
  <c r="H30" i="34"/>
  <c r="E30" i="34"/>
  <c r="H26" i="34"/>
  <c r="H31" i="34" s="1"/>
  <c r="E26" i="34"/>
  <c r="E31" i="34" l="1"/>
  <c r="P218" i="34"/>
  <c r="P217" i="34"/>
  <c r="P26" i="34"/>
  <c r="P30" i="34"/>
  <c r="H93" i="34"/>
  <c r="H95" i="34" s="1"/>
  <c r="E93" i="34"/>
  <c r="E95" i="34" s="1"/>
  <c r="J4" i="34"/>
  <c r="J7" i="34" s="1"/>
  <c r="H4" i="34"/>
  <c r="H7" i="34" s="1"/>
  <c r="E4" i="34"/>
  <c r="E7" i="34" s="1"/>
  <c r="H139" i="34"/>
  <c r="H152" i="34" s="1"/>
  <c r="E139" i="34"/>
  <c r="E152" i="34" s="1"/>
  <c r="P31" i="34" l="1"/>
  <c r="P219" i="34"/>
  <c r="P139" i="34"/>
  <c r="P152" i="34" s="1"/>
  <c r="P93" i="34"/>
  <c r="P95" i="34" s="1"/>
  <c r="P4" i="34"/>
  <c r="P7" i="34" s="1"/>
  <c r="P223" i="34" l="1"/>
  <c r="P220" i="34"/>
  <c r="H55" i="6"/>
  <c r="H66" i="6"/>
  <c r="H58" i="6"/>
  <c r="H62" i="6" s="1"/>
  <c r="B31" i="6" s="1"/>
  <c r="H61" i="6"/>
  <c r="F52" i="6"/>
  <c r="F49" i="6"/>
  <c r="F44" i="6"/>
  <c r="F36" i="6"/>
  <c r="B32" i="6" s="1"/>
  <c r="F40" i="6"/>
  <c r="F32" i="6"/>
  <c r="H70" i="6"/>
  <c r="F30" i="6"/>
  <c r="H79" i="6"/>
  <c r="H81" i="6"/>
  <c r="H83" i="6"/>
  <c r="F31" i="6"/>
  <c r="F29" i="6"/>
  <c r="G6" i="58"/>
  <c r="E6" i="58"/>
  <c r="C6" i="58"/>
  <c r="C29" i="58"/>
  <c r="D24" i="58"/>
  <c r="C24" i="58" s="1"/>
  <c r="E18" i="58"/>
  <c r="C18" i="58" s="1"/>
  <c r="G5" i="58"/>
  <c r="E5" i="58"/>
  <c r="C5" i="58"/>
  <c r="G11" i="58"/>
  <c r="C11" i="58"/>
  <c r="G8" i="58"/>
  <c r="G9" i="58"/>
  <c r="G10" i="58"/>
  <c r="E8" i="58"/>
  <c r="E9" i="58"/>
  <c r="E10" i="58"/>
  <c r="E11" i="58"/>
  <c r="C8" i="58"/>
  <c r="C9" i="58"/>
  <c r="C10" i="58"/>
  <c r="G7" i="58"/>
  <c r="E7" i="58"/>
  <c r="C7" i="58"/>
  <c r="H94" i="6"/>
  <c r="I24" i="6"/>
  <c r="I23" i="6"/>
  <c r="I25" i="6"/>
  <c r="I26" i="6"/>
  <c r="I27" i="6"/>
  <c r="H88" i="6"/>
  <c r="H96" i="6"/>
  <c r="H90" i="6"/>
  <c r="H92" i="6"/>
  <c r="F27" i="6"/>
  <c r="H101" i="6"/>
  <c r="H103" i="6"/>
  <c r="H105" i="6"/>
  <c r="H107" i="6"/>
  <c r="H109" i="6"/>
  <c r="F26" i="6"/>
  <c r="B4" i="6"/>
  <c r="B5" i="6"/>
  <c r="B6" i="6"/>
  <c r="B7" i="6"/>
  <c r="B8" i="6"/>
  <c r="B9" i="6"/>
  <c r="B10" i="6"/>
  <c r="B11" i="6"/>
  <c r="B12" i="6"/>
  <c r="B13" i="6"/>
  <c r="B14" i="6"/>
  <c r="B15" i="6"/>
  <c r="B16" i="6"/>
  <c r="B17" i="6"/>
  <c r="B22" i="6"/>
  <c r="H139" i="6"/>
  <c r="H131" i="6"/>
  <c r="H133" i="6"/>
  <c r="H135" i="6"/>
  <c r="H140" i="6" s="1"/>
  <c r="H137" i="6"/>
  <c r="M25" i="6"/>
  <c r="F25" i="6"/>
  <c r="E148" i="6"/>
  <c r="M24" i="6"/>
  <c r="F24" i="6"/>
  <c r="H122" i="6"/>
  <c r="H120" i="6"/>
  <c r="H124" i="6"/>
  <c r="H128" i="6" s="1"/>
  <c r="H126" i="6"/>
  <c r="E143" i="6"/>
  <c r="M23" i="6"/>
  <c r="F23" i="6"/>
  <c r="I22" i="6"/>
  <c r="F22" i="6"/>
  <c r="H21" i="6"/>
  <c r="I21" i="6" s="1"/>
  <c r="F21" i="6"/>
  <c r="H20" i="6"/>
  <c r="H19" i="6"/>
  <c r="I19" i="6" s="1"/>
  <c r="I20" i="6"/>
  <c r="F20" i="6"/>
  <c r="F19" i="6"/>
  <c r="I18" i="6"/>
  <c r="F18" i="6"/>
  <c r="I6" i="6"/>
  <c r="I7" i="6"/>
  <c r="I8" i="6"/>
  <c r="I9" i="6"/>
  <c r="I10" i="6"/>
  <c r="I11" i="6"/>
  <c r="I12" i="6"/>
  <c r="I13" i="6"/>
  <c r="I14" i="6"/>
  <c r="I15" i="6"/>
  <c r="I16" i="6"/>
  <c r="F16" i="6"/>
  <c r="I17" i="6"/>
  <c r="F17" i="6"/>
  <c r="F15" i="6"/>
  <c r="F14" i="6"/>
  <c r="I4" i="6"/>
  <c r="I5" i="6"/>
  <c r="F13" i="6"/>
  <c r="F4" i="6"/>
  <c r="F5" i="6"/>
  <c r="F6" i="6"/>
  <c r="F7" i="6"/>
  <c r="F8" i="6"/>
  <c r="F9" i="6"/>
  <c r="F11" i="6"/>
  <c r="F10" i="6"/>
  <c r="F12" i="6"/>
  <c r="H118" i="6"/>
  <c r="Q173" i="11"/>
  <c r="I173" i="11"/>
  <c r="J173" i="11"/>
  <c r="G173" i="11"/>
  <c r="E173" i="11"/>
  <c r="I100" i="12"/>
  <c r="G100" i="12"/>
  <c r="E100" i="12"/>
  <c r="Q172" i="11"/>
  <c r="Q171" i="11"/>
  <c r="I99" i="12"/>
  <c r="G99" i="12"/>
  <c r="E99" i="12"/>
  <c r="J172" i="11"/>
  <c r="I172" i="11"/>
  <c r="G172" i="11"/>
  <c r="E172" i="11"/>
  <c r="I171" i="11"/>
  <c r="J171" i="11"/>
  <c r="G171" i="11"/>
  <c r="E171" i="11"/>
  <c r="Q170" i="11"/>
  <c r="Q169" i="11"/>
  <c r="Q168" i="11"/>
  <c r="Q167" i="11"/>
  <c r="I170" i="11"/>
  <c r="J170" i="11"/>
  <c r="G170" i="11"/>
  <c r="E170" i="11"/>
  <c r="I169" i="11"/>
  <c r="J169" i="11"/>
  <c r="G169" i="11"/>
  <c r="E169" i="11"/>
  <c r="I168" i="11"/>
  <c r="J168" i="11"/>
  <c r="G168" i="11"/>
  <c r="E168" i="11"/>
  <c r="I167" i="11"/>
  <c r="J167" i="11"/>
  <c r="G167" i="11"/>
  <c r="E167" i="11"/>
  <c r="I98" i="12"/>
  <c r="G98" i="12"/>
  <c r="E98" i="12"/>
  <c r="Q166" i="11"/>
  <c r="Q165" i="11"/>
  <c r="I166" i="11"/>
  <c r="J166" i="11"/>
  <c r="G166" i="11"/>
  <c r="E166" i="11"/>
  <c r="I165" i="11"/>
  <c r="J165" i="11"/>
  <c r="G165" i="11"/>
  <c r="E165" i="11"/>
  <c r="I97" i="12"/>
  <c r="G97" i="12"/>
  <c r="E97" i="12"/>
  <c r="Q164" i="11"/>
  <c r="Q163" i="11"/>
  <c r="I96" i="12"/>
  <c r="G96" i="12"/>
  <c r="E96" i="12"/>
  <c r="I164" i="11"/>
  <c r="J164" i="11"/>
  <c r="G164" i="11"/>
  <c r="E164" i="11"/>
  <c r="I163" i="11"/>
  <c r="J163" i="11"/>
  <c r="G163" i="11"/>
  <c r="E163" i="11"/>
  <c r="I95" i="12"/>
  <c r="G95" i="12"/>
  <c r="E95" i="12"/>
  <c r="Q162" i="11"/>
  <c r="Q161" i="11"/>
  <c r="I162" i="11"/>
  <c r="J162" i="11"/>
  <c r="G162" i="11"/>
  <c r="E162" i="11"/>
  <c r="I161" i="11"/>
  <c r="J161" i="11"/>
  <c r="G161" i="11"/>
  <c r="E161" i="11"/>
  <c r="I37" i="16"/>
  <c r="G37" i="16"/>
  <c r="E37" i="16"/>
  <c r="Q160" i="11"/>
  <c r="Q159" i="11"/>
  <c r="I160" i="11"/>
  <c r="J160" i="11"/>
  <c r="G160" i="11"/>
  <c r="E160" i="11"/>
  <c r="I94" i="12"/>
  <c r="G94" i="12"/>
  <c r="E94" i="12"/>
  <c r="I159" i="11"/>
  <c r="J159" i="11"/>
  <c r="G159" i="11"/>
  <c r="E159" i="11"/>
  <c r="Q158" i="11"/>
  <c r="I36" i="16"/>
  <c r="G36" i="16"/>
  <c r="E36" i="16"/>
  <c r="I35" i="16"/>
  <c r="G35" i="16"/>
  <c r="E35" i="16"/>
  <c r="I158" i="11"/>
  <c r="J158" i="11"/>
  <c r="G158" i="11"/>
  <c r="E158" i="11"/>
  <c r="I34" i="16"/>
  <c r="G34" i="16"/>
  <c r="E34" i="16"/>
  <c r="Q157" i="11"/>
  <c r="Q156" i="11"/>
  <c r="I157" i="11"/>
  <c r="J157" i="11"/>
  <c r="G157" i="11"/>
  <c r="E157" i="11"/>
  <c r="I156" i="11"/>
  <c r="J156" i="11"/>
  <c r="G156" i="11"/>
  <c r="E156" i="11"/>
  <c r="Q155" i="11"/>
  <c r="I155" i="11"/>
  <c r="J155" i="11"/>
  <c r="G155" i="11"/>
  <c r="E155" i="11"/>
  <c r="Q154" i="11"/>
  <c r="Q153" i="11"/>
  <c r="Q152" i="11"/>
  <c r="Q151" i="11"/>
  <c r="Q150" i="11"/>
  <c r="I93" i="12"/>
  <c r="G93" i="12"/>
  <c r="E93" i="12"/>
  <c r="I92" i="12"/>
  <c r="G92" i="12"/>
  <c r="E92" i="12"/>
  <c r="I154" i="11"/>
  <c r="J154" i="11"/>
  <c r="G154" i="11"/>
  <c r="E154" i="11"/>
  <c r="I153" i="11"/>
  <c r="J153" i="11"/>
  <c r="G153" i="11"/>
  <c r="E153" i="11"/>
  <c r="I152" i="11"/>
  <c r="J152" i="11"/>
  <c r="G152" i="11"/>
  <c r="E152" i="11"/>
  <c r="I151" i="11"/>
  <c r="J151" i="11"/>
  <c r="G151" i="11"/>
  <c r="E151" i="11"/>
  <c r="I150" i="11"/>
  <c r="J150" i="11"/>
  <c r="G150" i="11"/>
  <c r="E150" i="11"/>
  <c r="Q149" i="11"/>
  <c r="Q148" i="11"/>
  <c r="Q147" i="11"/>
  <c r="I91" i="12"/>
  <c r="G91" i="12"/>
  <c r="E91" i="12"/>
  <c r="I149" i="11"/>
  <c r="J149" i="11"/>
  <c r="G149" i="11"/>
  <c r="E149" i="11"/>
  <c r="I90" i="12"/>
  <c r="G90" i="12"/>
  <c r="E90" i="12"/>
  <c r="E148" i="11"/>
  <c r="G148" i="11"/>
  <c r="I148" i="11"/>
  <c r="J148" i="11"/>
  <c r="I147" i="11"/>
  <c r="J147" i="11"/>
  <c r="G147" i="11"/>
  <c r="E147" i="11"/>
  <c r="Q146" i="11"/>
  <c r="Q145" i="11"/>
  <c r="I146" i="11"/>
  <c r="J146" i="11"/>
  <c r="G146" i="11"/>
  <c r="E146" i="11"/>
  <c r="I145" i="11"/>
  <c r="J145" i="11"/>
  <c r="G145" i="11"/>
  <c r="E145" i="11"/>
  <c r="Q144" i="11"/>
  <c r="Q143" i="11"/>
  <c r="I89" i="12"/>
  <c r="G89" i="12"/>
  <c r="E89" i="12"/>
  <c r="I144" i="11"/>
  <c r="J144" i="11"/>
  <c r="G144" i="11"/>
  <c r="E144" i="11"/>
  <c r="I88" i="12"/>
  <c r="G88" i="12"/>
  <c r="E88" i="12"/>
  <c r="I87" i="12"/>
  <c r="G87" i="12"/>
  <c r="E87" i="12"/>
  <c r="I143" i="11"/>
  <c r="J143" i="11"/>
  <c r="G143" i="11"/>
  <c r="E143" i="11"/>
  <c r="I33" i="16"/>
  <c r="G33" i="16"/>
  <c r="E33" i="16"/>
  <c r="Q142" i="11"/>
  <c r="Q141" i="11"/>
  <c r="Q140" i="11"/>
  <c r="Q139" i="11"/>
  <c r="Q138" i="11"/>
  <c r="Q137" i="11"/>
  <c r="I142" i="11"/>
  <c r="J142" i="11"/>
  <c r="G142" i="11"/>
  <c r="E142" i="11"/>
  <c r="I141" i="11"/>
  <c r="J141" i="11"/>
  <c r="G141" i="11"/>
  <c r="E141" i="11"/>
  <c r="I140" i="11"/>
  <c r="J140" i="11"/>
  <c r="G140" i="11"/>
  <c r="E140" i="11"/>
  <c r="I139" i="11"/>
  <c r="J139" i="11"/>
  <c r="G139" i="11"/>
  <c r="E139" i="11"/>
  <c r="I32" i="16"/>
  <c r="G32" i="16"/>
  <c r="E32" i="16"/>
  <c r="I138" i="11"/>
  <c r="J138" i="11"/>
  <c r="G138" i="11"/>
  <c r="E138" i="11"/>
  <c r="I137" i="11"/>
  <c r="J137" i="11"/>
  <c r="G137" i="11"/>
  <c r="E137" i="11"/>
  <c r="Q136" i="11"/>
  <c r="Q135" i="11"/>
  <c r="I86" i="12"/>
  <c r="G86" i="12"/>
  <c r="E86" i="12"/>
  <c r="I136" i="11"/>
  <c r="J136" i="11"/>
  <c r="G136" i="11"/>
  <c r="E136" i="11"/>
  <c r="I135" i="11"/>
  <c r="J135" i="11"/>
  <c r="G135" i="11"/>
  <c r="E135" i="11"/>
  <c r="I85" i="12"/>
  <c r="G85" i="12"/>
  <c r="E85" i="12"/>
  <c r="I31" i="16"/>
  <c r="G31" i="16"/>
  <c r="E31" i="16"/>
  <c r="Q133" i="11"/>
  <c r="Q134" i="11"/>
  <c r="I134" i="11"/>
  <c r="J134" i="11"/>
  <c r="G134" i="11"/>
  <c r="E134" i="11"/>
  <c r="I133" i="11"/>
  <c r="J133" i="11"/>
  <c r="G133" i="11"/>
  <c r="E133" i="11"/>
  <c r="I30" i="16"/>
  <c r="G30" i="16"/>
  <c r="E30" i="16"/>
  <c r="Q132" i="11"/>
  <c r="I132" i="11"/>
  <c r="J132" i="11"/>
  <c r="G132" i="11"/>
  <c r="E132" i="11"/>
  <c r="Q131" i="11"/>
  <c r="Q130" i="11"/>
  <c r="Q129" i="11"/>
  <c r="I131" i="11"/>
  <c r="J131" i="11"/>
  <c r="G131" i="11"/>
  <c r="E131" i="11"/>
  <c r="I130" i="11"/>
  <c r="J130" i="11"/>
  <c r="G130" i="11"/>
  <c r="E130" i="11"/>
  <c r="I84" i="12"/>
  <c r="G84" i="12"/>
  <c r="E84" i="12"/>
  <c r="I129" i="11"/>
  <c r="J129" i="11"/>
  <c r="G129" i="11"/>
  <c r="E129" i="11"/>
  <c r="Q128" i="11"/>
  <c r="Q127" i="11"/>
  <c r="Q126" i="11"/>
  <c r="Q125" i="11"/>
  <c r="I128" i="11"/>
  <c r="J128" i="11"/>
  <c r="G128" i="11"/>
  <c r="E128" i="11"/>
  <c r="I127" i="11"/>
  <c r="J127" i="11"/>
  <c r="G127" i="11"/>
  <c r="E127" i="11"/>
  <c r="I126" i="11"/>
  <c r="J126" i="11"/>
  <c r="G126" i="11"/>
  <c r="E126" i="11"/>
  <c r="I125" i="11"/>
  <c r="J125" i="11"/>
  <c r="G125" i="11"/>
  <c r="I83" i="12"/>
  <c r="G83" i="12"/>
  <c r="E83" i="12"/>
  <c r="Q124" i="11"/>
  <c r="Q123" i="11"/>
  <c r="Q122" i="11"/>
  <c r="I124" i="11"/>
  <c r="J124" i="11"/>
  <c r="G124" i="11"/>
  <c r="I123" i="11"/>
  <c r="J123" i="11"/>
  <c r="G123" i="11"/>
  <c r="I122" i="11"/>
  <c r="J122" i="11"/>
  <c r="G122" i="11"/>
  <c r="Q121" i="11"/>
  <c r="Q120" i="11"/>
  <c r="Q119" i="11"/>
  <c r="Q118" i="11"/>
  <c r="I121" i="11"/>
  <c r="J121" i="11"/>
  <c r="G121" i="11"/>
  <c r="I120" i="11"/>
  <c r="J120" i="11"/>
  <c r="G120" i="11"/>
  <c r="I119" i="11"/>
  <c r="J119" i="11"/>
  <c r="I118" i="11"/>
  <c r="J118" i="11"/>
  <c r="Q117" i="11"/>
  <c r="Q116" i="11"/>
  <c r="Q115" i="11"/>
  <c r="I82" i="12"/>
  <c r="G82" i="12"/>
  <c r="E82" i="12"/>
  <c r="I81" i="12"/>
  <c r="G81" i="12"/>
  <c r="E81" i="12"/>
  <c r="I80" i="12"/>
  <c r="G80" i="12"/>
  <c r="E80" i="12"/>
  <c r="I117" i="11"/>
  <c r="J117" i="11"/>
  <c r="I79" i="12"/>
  <c r="G79" i="12"/>
  <c r="E79" i="12"/>
  <c r="I78" i="12"/>
  <c r="E78" i="12"/>
  <c r="E77" i="12"/>
  <c r="I116" i="11"/>
  <c r="J116" i="11"/>
  <c r="E115" i="11"/>
  <c r="E116" i="11"/>
  <c r="E117" i="11"/>
  <c r="E118" i="11"/>
  <c r="E119" i="11"/>
  <c r="E120" i="11"/>
  <c r="E121" i="11"/>
  <c r="E122" i="11"/>
  <c r="E123" i="11"/>
  <c r="E124" i="11"/>
  <c r="E125" i="11"/>
  <c r="E76" i="12"/>
  <c r="I75" i="12"/>
  <c r="I76" i="12"/>
  <c r="I77" i="12"/>
  <c r="G72" i="12"/>
  <c r="G73" i="12"/>
  <c r="G74" i="12"/>
  <c r="G75" i="12"/>
  <c r="G76" i="12"/>
  <c r="G77" i="12"/>
  <c r="G78" i="12"/>
  <c r="E75" i="12"/>
  <c r="I74" i="12"/>
  <c r="E74" i="12"/>
  <c r="I115" i="11"/>
  <c r="J115" i="11"/>
  <c r="Q114" i="11"/>
  <c r="Q113" i="11"/>
  <c r="I114" i="11"/>
  <c r="J114" i="11"/>
  <c r="E114" i="11"/>
  <c r="I113" i="11"/>
  <c r="J113" i="11"/>
  <c r="G113" i="11"/>
  <c r="G114" i="11"/>
  <c r="G115" i="11"/>
  <c r="G116" i="11"/>
  <c r="G117" i="11"/>
  <c r="G118" i="11"/>
  <c r="G119" i="11"/>
  <c r="E113" i="11"/>
  <c r="Q112" i="11"/>
  <c r="Q111" i="11"/>
  <c r="Q110" i="11"/>
  <c r="Q109" i="11"/>
  <c r="I29" i="16"/>
  <c r="G29" i="16"/>
  <c r="E29" i="16"/>
  <c r="I28" i="16"/>
  <c r="G28" i="16"/>
  <c r="E28" i="16"/>
  <c r="I112" i="11"/>
  <c r="J112" i="11"/>
  <c r="G112" i="11"/>
  <c r="E112" i="11"/>
  <c r="I111" i="11"/>
  <c r="J111" i="11"/>
  <c r="G111" i="11"/>
  <c r="E111" i="11"/>
  <c r="I110" i="11"/>
  <c r="J110" i="11"/>
  <c r="G110" i="11"/>
  <c r="E110" i="11"/>
  <c r="I109" i="11"/>
  <c r="J109" i="11"/>
  <c r="G109" i="11"/>
  <c r="E109" i="11"/>
  <c r="I27" i="16"/>
  <c r="G27" i="16"/>
  <c r="E27" i="16"/>
  <c r="Q108" i="11"/>
  <c r="Q107" i="11"/>
  <c r="Q106" i="11"/>
  <c r="Q105" i="11"/>
  <c r="Q104" i="11"/>
  <c r="Q103" i="11"/>
  <c r="Q102" i="11"/>
  <c r="I108" i="11"/>
  <c r="J108" i="11"/>
  <c r="G108" i="11"/>
  <c r="E108" i="11"/>
  <c r="I107" i="11"/>
  <c r="J107" i="11"/>
  <c r="G107" i="11"/>
  <c r="E107" i="11"/>
  <c r="I26" i="16"/>
  <c r="G26" i="16"/>
  <c r="E26" i="16"/>
  <c r="I106" i="11"/>
  <c r="J106" i="11"/>
  <c r="G106" i="11"/>
  <c r="E106" i="11"/>
  <c r="I105" i="11"/>
  <c r="J105" i="11"/>
  <c r="G105" i="11"/>
  <c r="E105" i="11"/>
  <c r="I104" i="11"/>
  <c r="J104" i="11"/>
  <c r="G104" i="11"/>
  <c r="E104" i="11"/>
  <c r="I103" i="11"/>
  <c r="J103" i="11"/>
  <c r="G103" i="11"/>
  <c r="E103" i="11"/>
  <c r="I102" i="11"/>
  <c r="J102" i="11"/>
  <c r="G102" i="11"/>
  <c r="E102" i="11"/>
  <c r="I25" i="16"/>
  <c r="G25" i="16"/>
  <c r="E25" i="16"/>
  <c r="Q101" i="11"/>
  <c r="Q100" i="11"/>
  <c r="Q99" i="11"/>
  <c r="Q98" i="11"/>
  <c r="Q97" i="11"/>
  <c r="Q96" i="11"/>
  <c r="Q95" i="11"/>
  <c r="Q94" i="11"/>
  <c r="I101" i="11"/>
  <c r="J101" i="11"/>
  <c r="G101" i="11"/>
  <c r="E101" i="11"/>
  <c r="I100" i="11"/>
  <c r="J100" i="11"/>
  <c r="G100" i="11"/>
  <c r="E100" i="11"/>
  <c r="J98" i="11"/>
  <c r="J99" i="11"/>
  <c r="I99" i="11"/>
  <c r="G99" i="11"/>
  <c r="E99" i="11"/>
  <c r="I98" i="11"/>
  <c r="G98" i="11"/>
  <c r="E98" i="11"/>
  <c r="I97" i="11"/>
  <c r="J97" i="11"/>
  <c r="G97" i="11"/>
  <c r="E97" i="11"/>
  <c r="I96" i="11"/>
  <c r="J96" i="11"/>
  <c r="G96" i="11"/>
  <c r="E96" i="11"/>
  <c r="I95" i="11"/>
  <c r="J95" i="11"/>
  <c r="G95" i="11"/>
  <c r="E95" i="11"/>
  <c r="I94" i="11"/>
  <c r="J94" i="11"/>
  <c r="G94" i="11"/>
  <c r="E94" i="11"/>
  <c r="Q93" i="11"/>
  <c r="Q92" i="11"/>
  <c r="Q91" i="11"/>
  <c r="I73" i="12"/>
  <c r="E73" i="12"/>
  <c r="I72" i="12"/>
  <c r="E72" i="12"/>
  <c r="I71" i="12"/>
  <c r="G71" i="12"/>
  <c r="E71" i="12"/>
  <c r="I93" i="11"/>
  <c r="J93" i="11"/>
  <c r="G93" i="11"/>
  <c r="E93" i="11"/>
  <c r="I92" i="11"/>
  <c r="J92" i="11"/>
  <c r="G92" i="11"/>
  <c r="E92" i="11"/>
  <c r="I91" i="11"/>
  <c r="J91" i="11"/>
  <c r="G91" i="11"/>
  <c r="E91" i="11"/>
  <c r="I24" i="16"/>
  <c r="G24" i="16"/>
  <c r="E24" i="16"/>
  <c r="Q90" i="11"/>
  <c r="Q89" i="11"/>
  <c r="I90" i="11"/>
  <c r="J90" i="11"/>
  <c r="G90" i="11"/>
  <c r="E90" i="11"/>
  <c r="J89" i="11"/>
  <c r="I89" i="11"/>
  <c r="G89" i="11"/>
  <c r="E89" i="11"/>
  <c r="Q88" i="11"/>
  <c r="Q87" i="11"/>
  <c r="C38" i="18"/>
  <c r="E38" i="18"/>
  <c r="F34" i="18"/>
  <c r="E34" i="18"/>
  <c r="D34" i="18"/>
  <c r="C34" i="18"/>
  <c r="I88" i="11"/>
  <c r="J88" i="11"/>
  <c r="G88" i="11"/>
  <c r="E88" i="11"/>
  <c r="I23" i="16"/>
  <c r="G23" i="16"/>
  <c r="E23" i="16"/>
  <c r="I22" i="16"/>
  <c r="G22" i="16"/>
  <c r="E22" i="16"/>
  <c r="I87" i="11"/>
  <c r="J87" i="11"/>
  <c r="G87" i="11"/>
  <c r="E87" i="11"/>
  <c r="I21" i="16"/>
  <c r="G21" i="16"/>
  <c r="E21" i="16"/>
  <c r="Q86" i="11"/>
  <c r="Q85" i="11"/>
  <c r="I86" i="11"/>
  <c r="J86" i="11"/>
  <c r="G86" i="11"/>
  <c r="E86" i="11"/>
  <c r="I85" i="11"/>
  <c r="J85" i="11"/>
  <c r="G85" i="11"/>
  <c r="E85" i="11"/>
  <c r="Q84" i="11"/>
  <c r="Q83" i="11"/>
  <c r="Q82" i="11"/>
  <c r="Q81" i="11"/>
  <c r="D13" i="18"/>
  <c r="F13" i="18" s="1"/>
  <c r="D14" i="18"/>
  <c r="F14" i="18" s="1"/>
  <c r="D15" i="18"/>
  <c r="F15" i="18" s="1"/>
  <c r="D16" i="18"/>
  <c r="F16" i="18" s="1"/>
  <c r="D17" i="18"/>
  <c r="F17" i="18" s="1"/>
  <c r="D18" i="18"/>
  <c r="F18" i="18" s="1"/>
  <c r="D19" i="18"/>
  <c r="F19" i="18" s="1"/>
  <c r="D20" i="18"/>
  <c r="F20" i="18" s="1"/>
  <c r="D21" i="18"/>
  <c r="F21" i="18" s="1"/>
  <c r="D22" i="18"/>
  <c r="F22" i="18" s="1"/>
  <c r="E6" i="18"/>
  <c r="C6" i="18"/>
  <c r="I84" i="11"/>
  <c r="J84" i="11"/>
  <c r="G84" i="11"/>
  <c r="E84" i="11"/>
  <c r="I70" i="12"/>
  <c r="G70" i="12"/>
  <c r="E70" i="12"/>
  <c r="I69" i="12"/>
  <c r="G69" i="12"/>
  <c r="E69" i="12"/>
  <c r="I83" i="11"/>
  <c r="J83" i="11"/>
  <c r="G83" i="11"/>
  <c r="E83" i="11"/>
  <c r="I68" i="12"/>
  <c r="G68" i="12"/>
  <c r="E68" i="12"/>
  <c r="I67" i="12"/>
  <c r="G67" i="12"/>
  <c r="E67" i="12"/>
  <c r="I82" i="11"/>
  <c r="J82" i="11"/>
  <c r="G82" i="11"/>
  <c r="E82" i="11"/>
  <c r="I66" i="12"/>
  <c r="G66" i="12"/>
  <c r="E66" i="12"/>
  <c r="I65" i="12"/>
  <c r="G65" i="12"/>
  <c r="E65" i="12"/>
  <c r="I81" i="11"/>
  <c r="J81" i="11"/>
  <c r="G81" i="11"/>
  <c r="E81" i="11"/>
  <c r="Q80" i="11"/>
  <c r="Q79" i="11"/>
  <c r="I64" i="12"/>
  <c r="G64" i="12"/>
  <c r="E64" i="12"/>
  <c r="I80" i="11"/>
  <c r="J80" i="11"/>
  <c r="G80" i="11"/>
  <c r="E80" i="11"/>
  <c r="I63" i="12"/>
  <c r="G63" i="12"/>
  <c r="E63" i="12"/>
  <c r="I20" i="16"/>
  <c r="G20" i="16"/>
  <c r="E20" i="16"/>
  <c r="I62" i="12"/>
  <c r="G62" i="12"/>
  <c r="E62" i="12"/>
  <c r="I79" i="11"/>
  <c r="J79" i="11"/>
  <c r="G79" i="11"/>
  <c r="E79" i="11"/>
  <c r="I19" i="16"/>
  <c r="G19" i="16"/>
  <c r="E19" i="16"/>
  <c r="I61" i="12"/>
  <c r="G61" i="12"/>
  <c r="E61" i="12"/>
  <c r="I60" i="12"/>
  <c r="G60" i="12"/>
  <c r="E60" i="12"/>
  <c r="Q78" i="11"/>
  <c r="Q77" i="11"/>
  <c r="I59" i="12"/>
  <c r="G59" i="12"/>
  <c r="E59" i="12"/>
  <c r="I58" i="12"/>
  <c r="G58" i="12"/>
  <c r="E58" i="12"/>
  <c r="I57" i="12"/>
  <c r="G57" i="12"/>
  <c r="E57" i="12"/>
  <c r="I56" i="12"/>
  <c r="G56" i="12"/>
  <c r="E56" i="12"/>
  <c r="I18" i="16"/>
  <c r="G18" i="16"/>
  <c r="E18" i="16"/>
  <c r="I78" i="11"/>
  <c r="J78" i="11"/>
  <c r="G78" i="11"/>
  <c r="E78" i="11"/>
  <c r="I77" i="11"/>
  <c r="J77" i="11"/>
  <c r="G77" i="11"/>
  <c r="E77" i="11"/>
  <c r="I55" i="12"/>
  <c r="G55" i="12"/>
  <c r="E55" i="12"/>
  <c r="Q76" i="11"/>
  <c r="Q75" i="11"/>
  <c r="I54" i="12"/>
  <c r="G54" i="12"/>
  <c r="E54" i="12"/>
  <c r="I76" i="11"/>
  <c r="J76" i="11"/>
  <c r="G76" i="11"/>
  <c r="E75" i="11"/>
  <c r="E76" i="11"/>
  <c r="I53" i="12"/>
  <c r="G53" i="12"/>
  <c r="E53" i="12"/>
  <c r="I75" i="11"/>
  <c r="J75" i="11"/>
  <c r="G75" i="11"/>
  <c r="I52" i="12"/>
  <c r="G52" i="12"/>
  <c r="E52" i="12"/>
  <c r="I17" i="16"/>
  <c r="G17" i="16"/>
  <c r="E17" i="16"/>
  <c r="Q74" i="11"/>
  <c r="I51" i="12"/>
  <c r="G51" i="12"/>
  <c r="E51" i="12"/>
  <c r="I74" i="11"/>
  <c r="J74" i="11"/>
  <c r="G74" i="11"/>
  <c r="E74" i="11"/>
  <c r="I73" i="11"/>
  <c r="J73" i="11"/>
  <c r="G73" i="11"/>
  <c r="E73" i="11"/>
  <c r="I72" i="11"/>
  <c r="J72" i="11"/>
  <c r="G72" i="11"/>
  <c r="Q69" i="11"/>
  <c r="Q70" i="11"/>
  <c r="Q71" i="11"/>
  <c r="Q72" i="11"/>
  <c r="Q73" i="11"/>
  <c r="Q68" i="11"/>
  <c r="Q67" i="11"/>
  <c r="I71" i="11"/>
  <c r="J71" i="11"/>
  <c r="G71" i="11"/>
  <c r="E71" i="11"/>
  <c r="E72" i="11"/>
  <c r="I50" i="12"/>
  <c r="G50" i="12"/>
  <c r="E50" i="12"/>
  <c r="I16" i="16"/>
  <c r="G16" i="16"/>
  <c r="E16" i="16"/>
  <c r="I15" i="16"/>
  <c r="G15" i="16"/>
  <c r="E15" i="16"/>
  <c r="I49" i="12"/>
  <c r="G49" i="12"/>
  <c r="E49" i="12"/>
  <c r="I70" i="11"/>
  <c r="J70" i="11"/>
  <c r="G70" i="11"/>
  <c r="E70" i="11"/>
  <c r="I69" i="11"/>
  <c r="J69" i="11"/>
  <c r="G69" i="11"/>
  <c r="E69" i="11"/>
  <c r="I68" i="11"/>
  <c r="J68" i="11"/>
  <c r="G68" i="11"/>
  <c r="E68" i="11"/>
  <c r="I67" i="11"/>
  <c r="J67" i="11"/>
  <c r="G67" i="11"/>
  <c r="E67" i="11"/>
  <c r="Q66" i="11"/>
  <c r="Q65" i="11"/>
  <c r="Q64" i="11"/>
  <c r="Q63" i="11"/>
  <c r="Q62" i="11"/>
  <c r="Q61" i="11"/>
  <c r="I66" i="11"/>
  <c r="J66" i="11"/>
  <c r="G66" i="11"/>
  <c r="E66" i="11"/>
  <c r="I65" i="11"/>
  <c r="J65" i="11"/>
  <c r="G65" i="11"/>
  <c r="E65" i="11"/>
  <c r="I64" i="11"/>
  <c r="J64" i="11"/>
  <c r="G64" i="11"/>
  <c r="E64" i="11"/>
  <c r="I63" i="11"/>
  <c r="I14" i="16"/>
  <c r="G14" i="16"/>
  <c r="E14" i="16"/>
  <c r="I48" i="12"/>
  <c r="G48" i="12"/>
  <c r="E48" i="12"/>
  <c r="J63" i="11"/>
  <c r="G63" i="11"/>
  <c r="E63" i="11"/>
  <c r="I62" i="11"/>
  <c r="J62" i="11"/>
  <c r="G62" i="11"/>
  <c r="E62" i="11"/>
  <c r="Q60" i="11"/>
  <c r="Q59" i="11"/>
  <c r="Q58" i="11"/>
  <c r="I47" i="12"/>
  <c r="G47" i="12"/>
  <c r="E47" i="12"/>
  <c r="I46" i="12"/>
  <c r="G46" i="12"/>
  <c r="E46" i="12"/>
  <c r="E61" i="11"/>
  <c r="G61" i="11"/>
  <c r="I61" i="11"/>
  <c r="J61" i="11"/>
  <c r="I60" i="11"/>
  <c r="J60" i="11"/>
  <c r="G60" i="11"/>
  <c r="E60" i="11"/>
  <c r="I45" i="12"/>
  <c r="G45" i="12"/>
  <c r="E45" i="12"/>
  <c r="I59" i="11"/>
  <c r="J59" i="11"/>
  <c r="G59" i="11"/>
  <c r="E59" i="11"/>
  <c r="I44" i="12"/>
  <c r="G44" i="12"/>
  <c r="E44" i="12"/>
  <c r="I58" i="11"/>
  <c r="J58" i="11"/>
  <c r="G58" i="11"/>
  <c r="E58" i="11"/>
  <c r="I43" i="12"/>
  <c r="G43" i="12"/>
  <c r="E43" i="12"/>
  <c r="I13" i="16"/>
  <c r="G13" i="16"/>
  <c r="E13" i="16"/>
  <c r="Q57" i="11"/>
  <c r="I12" i="16"/>
  <c r="G12" i="16"/>
  <c r="E12" i="16"/>
  <c r="I57" i="11"/>
  <c r="J57" i="11"/>
  <c r="G57" i="11"/>
  <c r="E57" i="11"/>
  <c r="I42" i="12"/>
  <c r="G42" i="12"/>
  <c r="E42" i="12"/>
  <c r="I41" i="12"/>
  <c r="G41" i="12"/>
  <c r="E41" i="12"/>
  <c r="I11" i="16"/>
  <c r="G11" i="16"/>
  <c r="E11" i="16"/>
  <c r="I40" i="12"/>
  <c r="G40" i="12"/>
  <c r="E40" i="12"/>
  <c r="Q56" i="11"/>
  <c r="Q55" i="11"/>
  <c r="Q54" i="11"/>
  <c r="Q53" i="11"/>
  <c r="Q52" i="11"/>
  <c r="Q50" i="11"/>
  <c r="Q51" i="11"/>
  <c r="I39" i="12"/>
  <c r="G39" i="12"/>
  <c r="E39" i="12"/>
  <c r="I56" i="11"/>
  <c r="J56" i="11"/>
  <c r="G56" i="11"/>
  <c r="E56" i="11"/>
  <c r="I38" i="12"/>
  <c r="G38" i="12"/>
  <c r="E38" i="12"/>
  <c r="I55" i="11"/>
  <c r="J55" i="11"/>
  <c r="G55" i="11"/>
  <c r="E55" i="11"/>
  <c r="I54" i="11"/>
  <c r="J54" i="11"/>
  <c r="G54" i="11"/>
  <c r="E54" i="11"/>
  <c r="I53" i="11"/>
  <c r="J53" i="11"/>
  <c r="G53" i="11"/>
  <c r="E53" i="11"/>
  <c r="I52" i="11"/>
  <c r="J52" i="11"/>
  <c r="G52" i="11"/>
  <c r="E52" i="11"/>
  <c r="I37" i="12"/>
  <c r="G37" i="12"/>
  <c r="E37" i="12"/>
  <c r="I51" i="11"/>
  <c r="J51" i="11"/>
  <c r="G51" i="11"/>
  <c r="E51" i="11"/>
  <c r="I10" i="16"/>
  <c r="G10" i="16"/>
  <c r="E10" i="16"/>
  <c r="I36" i="12"/>
  <c r="G36" i="12"/>
  <c r="E36" i="12"/>
  <c r="I35" i="12"/>
  <c r="G35" i="12"/>
  <c r="E35" i="12"/>
  <c r="I50" i="11"/>
  <c r="J50" i="11"/>
  <c r="G50" i="11"/>
  <c r="E50" i="11"/>
  <c r="Q49" i="11"/>
  <c r="I49" i="11"/>
  <c r="J49" i="11"/>
  <c r="G49" i="11"/>
  <c r="E49" i="11"/>
  <c r="I34" i="12"/>
  <c r="G34" i="12"/>
  <c r="E34" i="12"/>
  <c r="I33" i="12"/>
  <c r="G33" i="12"/>
  <c r="E33" i="12"/>
  <c r="I32" i="12"/>
  <c r="G32" i="12"/>
  <c r="E32" i="12"/>
  <c r="Q48" i="11"/>
  <c r="Q47" i="11"/>
  <c r="Q46" i="11"/>
  <c r="Q45" i="11"/>
  <c r="I48" i="11"/>
  <c r="J48" i="11"/>
  <c r="G48" i="11"/>
  <c r="E48" i="11"/>
  <c r="I31" i="12"/>
  <c r="G31" i="12"/>
  <c r="E31" i="12"/>
  <c r="I30" i="12"/>
  <c r="G30" i="12"/>
  <c r="E30" i="12"/>
  <c r="I47" i="11"/>
  <c r="J47" i="11"/>
  <c r="G47" i="11"/>
  <c r="E47" i="11"/>
  <c r="I29" i="12"/>
  <c r="G29" i="12"/>
  <c r="E29" i="12"/>
  <c r="I46" i="11"/>
  <c r="J46" i="11"/>
  <c r="G46" i="11"/>
  <c r="E46" i="11"/>
  <c r="I45" i="11"/>
  <c r="J45" i="11"/>
  <c r="G45" i="11"/>
  <c r="E45" i="11"/>
  <c r="G9" i="16"/>
  <c r="E9" i="16"/>
  <c r="I9" i="16"/>
  <c r="Q44" i="11"/>
  <c r="Q43" i="11"/>
  <c r="Q42" i="11"/>
  <c r="Q41" i="11"/>
  <c r="Q40" i="11"/>
  <c r="Q39" i="11"/>
  <c r="Q38" i="11"/>
  <c r="I28" i="12"/>
  <c r="G28" i="12"/>
  <c r="E28" i="12"/>
  <c r="I8" i="16"/>
  <c r="G8" i="16"/>
  <c r="E8" i="16"/>
  <c r="I44" i="11"/>
  <c r="J44" i="11"/>
  <c r="G44" i="11"/>
  <c r="E44" i="11"/>
  <c r="I27" i="12"/>
  <c r="G27" i="12"/>
  <c r="E27" i="12"/>
  <c r="I26" i="12"/>
  <c r="G26" i="12"/>
  <c r="E26" i="12"/>
  <c r="I43" i="11"/>
  <c r="J43" i="11"/>
  <c r="G43" i="11"/>
  <c r="E43" i="11"/>
  <c r="I42" i="11"/>
  <c r="J42" i="11"/>
  <c r="G42" i="11"/>
  <c r="E42" i="11"/>
  <c r="I41" i="11"/>
  <c r="J41" i="11"/>
  <c r="G41" i="11"/>
  <c r="E41" i="11"/>
  <c r="I40" i="11"/>
  <c r="J40" i="11"/>
  <c r="G40" i="11"/>
  <c r="E40" i="11"/>
  <c r="I39" i="11"/>
  <c r="J39" i="11"/>
  <c r="G39" i="11"/>
  <c r="E39" i="11"/>
  <c r="I38" i="11"/>
  <c r="J38" i="11"/>
  <c r="G38" i="11"/>
  <c r="E38" i="11"/>
  <c r="Q37" i="11"/>
  <c r="Q36" i="11"/>
  <c r="I7" i="16"/>
  <c r="G7" i="16"/>
  <c r="E7" i="16"/>
  <c r="I5" i="16"/>
  <c r="I6" i="16"/>
  <c r="G6" i="16"/>
  <c r="E6" i="16"/>
  <c r="I25" i="12"/>
  <c r="G25" i="12"/>
  <c r="E25" i="12"/>
  <c r="I24" i="12"/>
  <c r="G24" i="12"/>
  <c r="E24" i="12"/>
  <c r="I23" i="12"/>
  <c r="G23" i="12"/>
  <c r="E23" i="12"/>
  <c r="I22" i="12"/>
  <c r="G22" i="12"/>
  <c r="E22" i="12"/>
  <c r="G5" i="16"/>
  <c r="E5" i="16"/>
  <c r="I21" i="12"/>
  <c r="G21" i="12"/>
  <c r="E21" i="12"/>
  <c r="E37" i="11"/>
  <c r="I37" i="11"/>
  <c r="J37" i="11"/>
  <c r="G37" i="11"/>
  <c r="I36" i="11"/>
  <c r="J36" i="11"/>
  <c r="G36" i="11"/>
  <c r="E36" i="11"/>
  <c r="Q35" i="11"/>
  <c r="Q34" i="11"/>
  <c r="I35" i="11"/>
  <c r="J35" i="11"/>
  <c r="G35" i="11"/>
  <c r="E35" i="11"/>
  <c r="I34" i="11"/>
  <c r="J34" i="11"/>
  <c r="G34" i="11"/>
  <c r="E34" i="11"/>
  <c r="I20" i="12"/>
  <c r="G20" i="12"/>
  <c r="E20" i="12"/>
  <c r="I19" i="12"/>
  <c r="G19" i="12"/>
  <c r="E19" i="12"/>
  <c r="I18" i="12"/>
  <c r="G18" i="12"/>
  <c r="E18" i="12"/>
  <c r="I17" i="12"/>
  <c r="G17" i="12"/>
  <c r="E17" i="12"/>
  <c r="I4" i="16"/>
  <c r="G4" i="16"/>
  <c r="E4" i="16"/>
  <c r="Q33" i="11"/>
  <c r="I33" i="11"/>
  <c r="J33" i="11"/>
  <c r="G33" i="11"/>
  <c r="E33" i="11"/>
  <c r="I32" i="11"/>
  <c r="J32" i="11"/>
  <c r="G32" i="11"/>
  <c r="E32" i="11"/>
  <c r="I16" i="12"/>
  <c r="G16" i="12"/>
  <c r="E16" i="12"/>
  <c r="I15" i="12"/>
  <c r="G15" i="12"/>
  <c r="E15" i="12"/>
  <c r="I31" i="11"/>
  <c r="J31" i="11"/>
  <c r="G31" i="11"/>
  <c r="E31" i="11"/>
  <c r="I14" i="12"/>
  <c r="G14" i="12"/>
  <c r="E14" i="12"/>
  <c r="I13" i="12"/>
  <c r="G13" i="12"/>
  <c r="E13" i="12"/>
  <c r="I12" i="12"/>
  <c r="G12" i="12"/>
  <c r="E12" i="12"/>
  <c r="I30" i="11"/>
  <c r="J30" i="11"/>
  <c r="G30" i="11"/>
  <c r="E30" i="11"/>
  <c r="Q28" i="11"/>
  <c r="Q29" i="11"/>
  <c r="Q30" i="11"/>
  <c r="Q31" i="11"/>
  <c r="Q32" i="11"/>
  <c r="I29" i="11"/>
  <c r="J29" i="11"/>
  <c r="G29" i="11"/>
  <c r="E29" i="11"/>
  <c r="I28" i="11"/>
  <c r="J28" i="11"/>
  <c r="G28" i="11"/>
  <c r="E28" i="11"/>
  <c r="I11" i="12"/>
  <c r="G11" i="12"/>
  <c r="E11" i="12"/>
  <c r="I10" i="12"/>
  <c r="G10" i="12"/>
  <c r="E10" i="12"/>
  <c r="Q27" i="11"/>
  <c r="Q26" i="11"/>
  <c r="Q25" i="11"/>
  <c r="Q23" i="11"/>
  <c r="Q24" i="11"/>
  <c r="I27" i="11"/>
  <c r="J27" i="11"/>
  <c r="G27" i="11"/>
  <c r="E27" i="11"/>
  <c r="G4" i="12"/>
  <c r="G5" i="12"/>
  <c r="G6" i="12"/>
  <c r="G7" i="12"/>
  <c r="G8" i="12"/>
  <c r="G9" i="12"/>
  <c r="E4" i="12"/>
  <c r="E5" i="12"/>
  <c r="E6" i="12"/>
  <c r="E7" i="12"/>
  <c r="E8" i="12"/>
  <c r="E9" i="12"/>
  <c r="I4" i="11"/>
  <c r="I5" i="11"/>
  <c r="I6" i="11"/>
  <c r="I7" i="11"/>
  <c r="I8" i="11"/>
  <c r="I9" i="11"/>
  <c r="I10" i="11"/>
  <c r="I11" i="11"/>
  <c r="I12" i="11"/>
  <c r="I13" i="11"/>
  <c r="I14" i="11"/>
  <c r="I15" i="11"/>
  <c r="I16" i="11"/>
  <c r="I17" i="11"/>
  <c r="I18" i="11"/>
  <c r="I19" i="11"/>
  <c r="I20" i="11"/>
  <c r="I21" i="11"/>
  <c r="I22" i="11"/>
  <c r="I23" i="11"/>
  <c r="I24" i="11"/>
  <c r="I25" i="11"/>
  <c r="I26" i="11"/>
  <c r="G4" i="11"/>
  <c r="G5" i="11"/>
  <c r="G6" i="11"/>
  <c r="G7" i="11"/>
  <c r="G8" i="11"/>
  <c r="G9" i="11"/>
  <c r="G10" i="11"/>
  <c r="G11" i="11"/>
  <c r="G12" i="11"/>
  <c r="G13" i="11"/>
  <c r="G14" i="11"/>
  <c r="G15" i="11"/>
  <c r="G16" i="11"/>
  <c r="G17" i="11"/>
  <c r="G18" i="11"/>
  <c r="G19" i="11"/>
  <c r="G20" i="11"/>
  <c r="G21" i="11"/>
  <c r="G22" i="11"/>
  <c r="G23" i="11"/>
  <c r="G24" i="11"/>
  <c r="G25" i="11"/>
  <c r="G26" i="11"/>
  <c r="E4" i="11"/>
  <c r="E5" i="11"/>
  <c r="E6" i="11"/>
  <c r="E7" i="11"/>
  <c r="E8" i="11"/>
  <c r="E9" i="11"/>
  <c r="E10" i="11"/>
  <c r="E11" i="11"/>
  <c r="E12" i="11"/>
  <c r="E13" i="11"/>
  <c r="E14" i="11"/>
  <c r="E15" i="11"/>
  <c r="E16" i="11"/>
  <c r="E17" i="11"/>
  <c r="E18" i="11"/>
  <c r="E19" i="11"/>
  <c r="E20" i="11"/>
  <c r="E21" i="11"/>
  <c r="E22" i="11"/>
  <c r="E23" i="11"/>
  <c r="E24" i="11"/>
  <c r="E25" i="11"/>
  <c r="E26" i="11"/>
  <c r="J26" i="11"/>
  <c r="J25" i="11"/>
  <c r="J24" i="11"/>
  <c r="J5" i="11"/>
  <c r="J6" i="11"/>
  <c r="J7" i="11"/>
  <c r="J8" i="11"/>
  <c r="J9" i="11"/>
  <c r="J10" i="11"/>
  <c r="J11" i="11"/>
  <c r="J12" i="11"/>
  <c r="J13" i="11"/>
  <c r="J14" i="11"/>
  <c r="J15" i="11"/>
  <c r="J16" i="11"/>
  <c r="J17" i="11"/>
  <c r="J18" i="11"/>
  <c r="J19" i="11"/>
  <c r="J20" i="11"/>
  <c r="J21" i="11"/>
  <c r="J22" i="11"/>
  <c r="J23" i="11"/>
  <c r="J4" i="11"/>
  <c r="Q22" i="11"/>
  <c r="Q21" i="11"/>
  <c r="Q20" i="11"/>
  <c r="I9" i="12"/>
  <c r="Q19" i="11"/>
  <c r="I8" i="12"/>
  <c r="I7" i="12"/>
  <c r="I6" i="12"/>
  <c r="Q18" i="11"/>
  <c r="I5" i="12"/>
  <c r="Q17" i="11"/>
  <c r="Q16" i="11"/>
  <c r="Q15" i="11"/>
  <c r="Q14" i="11"/>
  <c r="Q13" i="11"/>
  <c r="Q12" i="11"/>
  <c r="K4" i="10"/>
  <c r="I4" i="12"/>
  <c r="Q11" i="11"/>
  <c r="Q10" i="11"/>
  <c r="Q9" i="11"/>
  <c r="Q8" i="11"/>
  <c r="Q5" i="11"/>
  <c r="Q6" i="11"/>
  <c r="Q7" i="11"/>
  <c r="Q4" i="11"/>
  <c r="J5" i="10"/>
  <c r="E4" i="10"/>
  <c r="I4" i="13"/>
  <c r="G4" i="13"/>
  <c r="E4" i="13"/>
  <c r="K46" i="10"/>
  <c r="L46" i="10" s="1"/>
  <c r="K47" i="10"/>
  <c r="K48" i="10"/>
  <c r="L48" i="10" s="1"/>
  <c r="K49" i="10"/>
  <c r="K50" i="10"/>
  <c r="L50" i="10" s="1"/>
  <c r="K51" i="10"/>
  <c r="K52" i="10"/>
  <c r="K53" i="10"/>
  <c r="L53" i="10" s="1"/>
  <c r="K54" i="10"/>
  <c r="K55" i="10"/>
  <c r="K56" i="10"/>
  <c r="K57" i="10"/>
  <c r="K58" i="10"/>
  <c r="L58" i="10" s="1"/>
  <c r="K59" i="10"/>
  <c r="K60" i="10"/>
  <c r="K61" i="10"/>
  <c r="L61" i="10" s="1"/>
  <c r="K62" i="10"/>
  <c r="K63" i="10"/>
  <c r="K64" i="10"/>
  <c r="K65" i="10"/>
  <c r="K66" i="10"/>
  <c r="K67" i="10"/>
  <c r="K68" i="10"/>
  <c r="L68" i="10" s="1"/>
  <c r="K69" i="10"/>
  <c r="K70" i="10"/>
  <c r="L70" i="10" s="1"/>
  <c r="K71" i="10"/>
  <c r="K72" i="10"/>
  <c r="K27" i="10"/>
  <c r="K28" i="10"/>
  <c r="L28" i="10" s="1"/>
  <c r="K29" i="10"/>
  <c r="K30" i="10"/>
  <c r="K31" i="10"/>
  <c r="K32" i="10"/>
  <c r="L32" i="10" s="1"/>
  <c r="K33" i="10"/>
  <c r="L33" i="10" s="1"/>
  <c r="K34" i="10"/>
  <c r="L34" i="10" s="1"/>
  <c r="K35" i="10"/>
  <c r="K36" i="10"/>
  <c r="L36" i="10" s="1"/>
  <c r="K37" i="10"/>
  <c r="L37" i="10" s="1"/>
  <c r="K38" i="10"/>
  <c r="L38" i="10" s="1"/>
  <c r="K39" i="10"/>
  <c r="K40" i="10"/>
  <c r="L40" i="10" s="1"/>
  <c r="K41" i="10"/>
  <c r="L41" i="10" s="1"/>
  <c r="K42" i="10"/>
  <c r="K43" i="10"/>
  <c r="K44" i="10"/>
  <c r="L44" i="10" s="1"/>
  <c r="K45" i="10"/>
  <c r="L45" i="10" s="1"/>
  <c r="K5" i="10"/>
  <c r="K6" i="10"/>
  <c r="K7" i="10"/>
  <c r="L7" i="10" s="1"/>
  <c r="K8" i="10"/>
  <c r="L8" i="10" s="1"/>
  <c r="K9" i="10"/>
  <c r="L9" i="10" s="1"/>
  <c r="K10" i="10"/>
  <c r="K11" i="10"/>
  <c r="L11" i="10" s="1"/>
  <c r="K12" i="10"/>
  <c r="L12" i="10" s="1"/>
  <c r="K13" i="10"/>
  <c r="K14" i="10"/>
  <c r="L14" i="10" s="1"/>
  <c r="K15" i="10"/>
  <c r="L15" i="10" s="1"/>
  <c r="K16" i="10"/>
  <c r="L16" i="10" s="1"/>
  <c r="K17" i="10"/>
  <c r="K18" i="10"/>
  <c r="K19" i="10"/>
  <c r="L19" i="10" s="1"/>
  <c r="K20" i="10"/>
  <c r="L20" i="10" s="1"/>
  <c r="K21" i="10"/>
  <c r="K22" i="10"/>
  <c r="L22" i="10" s="1"/>
  <c r="K23" i="10"/>
  <c r="L23" i="10" s="1"/>
  <c r="K24" i="10"/>
  <c r="L24" i="10" s="1"/>
  <c r="K25" i="10"/>
  <c r="K26" i="10"/>
  <c r="L26" i="10" s="1"/>
  <c r="L59" i="10"/>
  <c r="L60" i="10"/>
  <c r="L62" i="10"/>
  <c r="L63" i="10"/>
  <c r="L64" i="10"/>
  <c r="L65" i="10"/>
  <c r="L66" i="10"/>
  <c r="L67" i="10"/>
  <c r="L69" i="10"/>
  <c r="L71" i="10"/>
  <c r="L72" i="10"/>
  <c r="L35" i="10"/>
  <c r="L39" i="10"/>
  <c r="L42" i="10"/>
  <c r="L43" i="10"/>
  <c r="L47" i="10"/>
  <c r="L49" i="10"/>
  <c r="L51" i="10"/>
  <c r="L52" i="10"/>
  <c r="L54" i="10"/>
  <c r="L55" i="10"/>
  <c r="L56" i="10"/>
  <c r="L57" i="10"/>
  <c r="L5" i="10"/>
  <c r="L6" i="10"/>
  <c r="L10" i="10"/>
  <c r="L13" i="10"/>
  <c r="L17" i="10"/>
  <c r="L18" i="10"/>
  <c r="L21" i="10"/>
  <c r="L25" i="10"/>
  <c r="L27" i="10"/>
  <c r="L29" i="10"/>
  <c r="L30" i="10"/>
  <c r="L31" i="10"/>
  <c r="L4" i="10"/>
  <c r="H66" i="10"/>
  <c r="H67" i="10"/>
  <c r="H68" i="10"/>
  <c r="H69" i="10"/>
  <c r="H70" i="10"/>
  <c r="H71" i="10"/>
  <c r="H72" i="10"/>
  <c r="H50" i="10"/>
  <c r="H51" i="10"/>
  <c r="H52" i="10"/>
  <c r="H53" i="10"/>
  <c r="H54" i="10"/>
  <c r="H55" i="10"/>
  <c r="H56" i="10"/>
  <c r="H57" i="10"/>
  <c r="H58" i="10"/>
  <c r="H59" i="10"/>
  <c r="H60" i="10"/>
  <c r="H61" i="10"/>
  <c r="H62" i="10"/>
  <c r="H63" i="10"/>
  <c r="H64" i="10"/>
  <c r="H65" i="10"/>
  <c r="H35" i="10"/>
  <c r="H36" i="10"/>
  <c r="H37" i="10"/>
  <c r="H38" i="10"/>
  <c r="H39" i="10"/>
  <c r="H40" i="10"/>
  <c r="H41" i="10"/>
  <c r="H42" i="10"/>
  <c r="H43" i="10"/>
  <c r="H44" i="10"/>
  <c r="H45" i="10"/>
  <c r="H46" i="10"/>
  <c r="H47" i="10"/>
  <c r="H48" i="10"/>
  <c r="H49" i="10"/>
  <c r="H21" i="10"/>
  <c r="H22" i="10"/>
  <c r="H23" i="10"/>
  <c r="H24" i="10"/>
  <c r="H25" i="10"/>
  <c r="H26" i="10"/>
  <c r="H27" i="10"/>
  <c r="H28" i="10"/>
  <c r="H29" i="10"/>
  <c r="H30" i="10"/>
  <c r="H31" i="10"/>
  <c r="H32" i="10"/>
  <c r="H33" i="10"/>
  <c r="H34" i="10"/>
  <c r="H5" i="10"/>
  <c r="H6" i="10"/>
  <c r="H7" i="10"/>
  <c r="H8" i="10"/>
  <c r="H9" i="10"/>
  <c r="H10" i="10"/>
  <c r="H11" i="10"/>
  <c r="H12" i="10"/>
  <c r="H13" i="10"/>
  <c r="H14" i="10"/>
  <c r="H15" i="10"/>
  <c r="H16" i="10"/>
  <c r="H17" i="10"/>
  <c r="H18" i="10"/>
  <c r="H19" i="10"/>
  <c r="H20" i="10"/>
  <c r="H4" i="10"/>
  <c r="E54" i="10"/>
  <c r="E55" i="10"/>
  <c r="E56" i="10"/>
  <c r="E57" i="10"/>
  <c r="E58" i="10"/>
  <c r="E59" i="10"/>
  <c r="E60" i="10"/>
  <c r="E61" i="10"/>
  <c r="E62" i="10"/>
  <c r="E63" i="10"/>
  <c r="E64" i="10"/>
  <c r="E65" i="10"/>
  <c r="E66" i="10"/>
  <c r="E67" i="10"/>
  <c r="E68" i="10"/>
  <c r="E69" i="10"/>
  <c r="E70" i="10"/>
  <c r="E71" i="10"/>
  <c r="E72" i="10"/>
  <c r="E37" i="10"/>
  <c r="E38" i="10"/>
  <c r="E39" i="10"/>
  <c r="E40" i="10"/>
  <c r="E41" i="10"/>
  <c r="E42" i="10"/>
  <c r="E43" i="10"/>
  <c r="E44" i="10"/>
  <c r="E45" i="10"/>
  <c r="E46" i="10"/>
  <c r="E47" i="10"/>
  <c r="E48" i="10"/>
  <c r="E49" i="10"/>
  <c r="E50" i="10"/>
  <c r="E51" i="10"/>
  <c r="E52" i="10"/>
  <c r="E53" i="10"/>
  <c r="E5" i="10"/>
  <c r="E6" i="10"/>
  <c r="E7" i="10"/>
  <c r="E8" i="10"/>
  <c r="E9" i="10"/>
  <c r="E10"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P224" i="34" l="1"/>
  <c r="H110" i="6"/>
  <c r="H97" i="6"/>
  <c r="H84" i="6"/>
  <c r="H85" i="6" s="1"/>
  <c r="B24" i="18"/>
  <c r="B26" i="18" s="1"/>
  <c r="B27" i="18" s="1"/>
  <c r="D18" i="58"/>
  <c r="P227" i="34" l="1"/>
  <c r="P231" i="34" l="1"/>
  <c r="P232" i="34" l="1"/>
  <c r="P235" i="34" l="1"/>
  <c r="P234" i="34"/>
  <c r="P236" i="34" l="1"/>
  <c r="P239" i="34" l="1"/>
  <c r="P237" i="34"/>
  <c r="P240" i="34" l="1"/>
  <c r="P241" i="34" l="1"/>
  <c r="P242" i="34" l="1"/>
  <c r="P246" i="34" l="1"/>
  <c r="P245" i="34"/>
  <c r="P248" i="34" l="1"/>
  <c r="P247" i="34"/>
  <c r="P250" i="34" l="1"/>
  <c r="P251" i="34" l="1"/>
  <c r="P253" i="34" l="1"/>
  <c r="P252" i="34"/>
  <c r="P254" i="34" l="1"/>
  <c r="P257" i="34" l="1"/>
  <c r="P256" i="34"/>
  <c r="P255" i="34"/>
  <c r="P258" i="34" l="1"/>
  <c r="P260" i="34" l="1"/>
  <c r="P259" i="34"/>
  <c r="P261" i="34" l="1"/>
  <c r="P262" i="34" l="1"/>
  <c r="P263" i="34" l="1"/>
  <c r="P264" i="34" l="1"/>
  <c r="P265" i="34" l="1"/>
  <c r="P266" i="3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1" authorId="0" shapeId="0" xr:uid="{00000000-0006-0000-0800-000001000000}">
      <text>
        <r>
          <rPr>
            <b/>
            <sz val="10"/>
            <color indexed="81"/>
            <rFont val="Calibri"/>
            <family val="2"/>
          </rPr>
          <t>The stocks highest price the day before.</t>
        </r>
      </text>
    </comment>
    <comment ref="F1" authorId="0" shapeId="0" xr:uid="{00000000-0006-0000-0800-000002000000}">
      <text>
        <r>
          <rPr>
            <b/>
            <sz val="10"/>
            <color indexed="81"/>
            <rFont val="Calibri"/>
            <family val="2"/>
          </rPr>
          <t>The stocks total decline at open from its highest point pre-market</t>
        </r>
      </text>
    </comment>
    <comment ref="H1" authorId="0" shapeId="0" xr:uid="{00000000-0006-0000-0800-000003000000}">
      <text>
        <r>
          <rPr>
            <b/>
            <sz val="10"/>
            <color indexed="81"/>
            <rFont val="Calibri"/>
            <family val="2"/>
          </rPr>
          <t>Most sig move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79" authorId="0" shapeId="0" xr:uid="{00000000-0006-0000-0D00-000001000000}">
      <text>
        <r>
          <rPr>
            <b/>
            <sz val="10"/>
            <color indexed="81"/>
            <rFont val="Calibri"/>
            <family val="2"/>
          </rPr>
          <t>Microsoft Office User:</t>
        </r>
        <r>
          <rPr>
            <sz val="10"/>
            <color indexed="81"/>
            <rFont val="Calibri"/>
            <family val="2"/>
          </rPr>
          <t xml:space="preserve">
Will it fade coz of long-term chart?</t>
        </r>
      </text>
    </comment>
    <comment ref="B87" authorId="0" shapeId="0" xr:uid="{00000000-0006-0000-0D00-000002000000}">
      <text>
        <r>
          <rPr>
            <b/>
            <sz val="10"/>
            <color indexed="81"/>
            <rFont val="Calibri"/>
            <family val="2"/>
          </rPr>
          <t>Fade?</t>
        </r>
      </text>
    </comment>
    <comment ref="B93" authorId="0" shapeId="0" xr:uid="{00000000-0006-0000-0D00-000003000000}">
      <text>
        <r>
          <rPr>
            <b/>
            <sz val="10"/>
            <color indexed="81"/>
            <rFont val="Calibri"/>
            <family val="2"/>
          </rPr>
          <t>not sustainable?</t>
        </r>
      </text>
    </comment>
    <comment ref="B109" authorId="0" shapeId="0" xr:uid="{00000000-0006-0000-0D00-000004000000}">
      <text>
        <r>
          <rPr>
            <b/>
            <sz val="10"/>
            <color indexed="81"/>
            <rFont val="Calibri"/>
            <family val="2"/>
          </rPr>
          <t xml:space="preserve">Future Spiker for watchlist
</t>
        </r>
      </text>
    </comment>
    <comment ref="B110" authorId="0" shapeId="0" xr:uid="{00000000-0006-0000-0D00-000005000000}">
      <text>
        <r>
          <rPr>
            <b/>
            <sz val="10"/>
            <color indexed="81"/>
            <rFont val="Calibri"/>
            <family val="2"/>
          </rPr>
          <t xml:space="preserve">Watchlist
</t>
        </r>
      </text>
    </comment>
    <comment ref="B111" authorId="0" shapeId="0" xr:uid="{00000000-0006-0000-0D00-000006000000}">
      <text>
        <r>
          <rPr>
            <b/>
            <sz val="10"/>
            <color indexed="81"/>
            <rFont val="Calibri"/>
            <family val="2"/>
          </rPr>
          <t xml:space="preserve">watchlist
</t>
        </r>
      </text>
    </comment>
    <comment ref="B112" authorId="0" shapeId="0" xr:uid="{00000000-0006-0000-0D00-000007000000}">
      <text>
        <r>
          <rPr>
            <b/>
            <sz val="10"/>
            <color indexed="81"/>
            <rFont val="Calibri"/>
            <family val="2"/>
          </rPr>
          <t>Gap up?</t>
        </r>
      </text>
    </comment>
    <comment ref="B131" authorId="0" shapeId="0" xr:uid="{00000000-0006-0000-0D00-000008000000}">
      <text>
        <r>
          <rPr>
            <b/>
            <sz val="10"/>
            <color indexed="81"/>
            <rFont val="Calibri"/>
            <family val="2"/>
          </rPr>
          <t>Spike again longterm chart?</t>
        </r>
      </text>
    </comment>
    <comment ref="B148" authorId="0" shapeId="0" xr:uid="{00000000-0006-0000-0D00-000009000000}">
      <text>
        <r>
          <rPr>
            <b/>
            <sz val="10"/>
            <color indexed="81"/>
            <rFont val="Calibri"/>
            <family val="2"/>
          </rPr>
          <t xml:space="preserve">Morning Shiort?
</t>
        </r>
      </text>
    </comment>
    <comment ref="B149" authorId="0" shapeId="0" xr:uid="{00000000-0006-0000-0D00-00000A000000}">
      <text>
        <r>
          <rPr>
            <b/>
            <sz val="10"/>
            <color indexed="81"/>
            <rFont val="Calibri"/>
            <family val="2"/>
          </rPr>
          <t xml:space="preserve">watch
</t>
        </r>
      </text>
    </comment>
    <comment ref="B155" authorId="0" shapeId="0" xr:uid="{00000000-0006-0000-0D00-00000B000000}">
      <text>
        <r>
          <rPr>
            <b/>
            <sz val="10"/>
            <color indexed="81"/>
            <rFont val="Calibri"/>
            <family val="2"/>
          </rPr>
          <t>Coming back down</t>
        </r>
      </text>
    </comment>
    <comment ref="B160" authorId="0" shapeId="0" xr:uid="{00000000-0006-0000-0D00-00000C000000}">
      <text>
        <r>
          <rPr>
            <b/>
            <sz val="10"/>
            <color indexed="81"/>
            <rFont val="Calibri"/>
            <family val="2"/>
          </rPr>
          <t>Spike or Short?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69" authorId="0" shapeId="0" xr:uid="{00000000-0006-0000-0E00-000001000000}">
      <text>
        <r>
          <rPr>
            <b/>
            <sz val="10"/>
            <color indexed="81"/>
            <rFont val="Calibri"/>
            <family val="2"/>
          </rPr>
          <t>consolidation?</t>
        </r>
      </text>
    </comment>
    <comment ref="B70" authorId="0" shapeId="0" xr:uid="{00000000-0006-0000-0E00-000002000000}">
      <text>
        <r>
          <rPr>
            <b/>
            <sz val="10"/>
            <color indexed="81"/>
            <rFont val="Calibri"/>
            <family val="2"/>
          </rPr>
          <t>Consolitation?</t>
        </r>
      </text>
    </comment>
    <comment ref="B71" authorId="0" shapeId="0" xr:uid="{00000000-0006-0000-0E00-000003000000}">
      <text>
        <r>
          <rPr>
            <b/>
            <sz val="10"/>
            <color indexed="81"/>
            <rFont val="Calibri"/>
            <family val="2"/>
          </rPr>
          <t xml:space="preserve">watch
</t>
        </r>
      </text>
    </comment>
    <comment ref="B83" authorId="0" shapeId="0" xr:uid="{00000000-0006-0000-0E00-000004000000}">
      <text>
        <r>
          <rPr>
            <b/>
            <sz val="10"/>
            <color indexed="81"/>
            <rFont val="Calibri"/>
            <family val="2"/>
          </rPr>
          <t xml:space="preserve">Continue washout to morning
</t>
        </r>
      </text>
    </comment>
    <comment ref="A96" authorId="0" shapeId="0" xr:uid="{00000000-0006-0000-0E00-000005000000}">
      <text>
        <r>
          <rPr>
            <b/>
            <sz val="10"/>
            <color indexed="81"/>
            <rFont val="Calibri"/>
            <family val="2"/>
          </rPr>
          <t>Make previous day high?</t>
        </r>
      </text>
    </comment>
  </commentList>
</comments>
</file>

<file path=xl/sharedStrings.xml><?xml version="1.0" encoding="utf-8"?>
<sst xmlns="http://schemas.openxmlformats.org/spreadsheetml/2006/main" count="4145" uniqueCount="911">
  <si>
    <t>DISCIPLINE</t>
  </si>
  <si>
    <t>IF YOU CAN NOT COMPLY TO THIS FINAL HURDLE YOU WILL FAIL. NO ONE TRADE MATTERS IT IS THE ABILITY TO CONSISTENLY FOLLOW THIS PROCESS. THIS IS YOUR BARRIER BEFORE TOTAL SUCCESS.</t>
  </si>
  <si>
    <t>DATE</t>
  </si>
  <si>
    <t>MAX Loss</t>
  </si>
  <si>
    <t>Duration</t>
  </si>
  <si>
    <t>Success/Fail</t>
  </si>
  <si>
    <t>Analysis</t>
  </si>
  <si>
    <t>BIRTH</t>
  </si>
  <si>
    <t>ONE WEEK</t>
  </si>
  <si>
    <t>GAMES RULES</t>
  </si>
  <si>
    <t>CHILD</t>
  </si>
  <si>
    <t>$500</t>
  </si>
  <si>
    <t>1.) One rule break puts you back one stage</t>
  </si>
  <si>
    <t>TEENAGER</t>
  </si>
  <si>
    <t>$1,300</t>
  </si>
  <si>
    <t>TWO WEEKS</t>
  </si>
  <si>
    <t>2) If you lose more than double your max loss you go back to Birth</t>
  </si>
  <si>
    <t>YOUNG ADULT</t>
  </si>
  <si>
    <t>$2,600</t>
  </si>
  <si>
    <t>ONE MONTH</t>
  </si>
  <si>
    <t>YOUNG PRO</t>
  </si>
  <si>
    <t>N/A</t>
  </si>
  <si>
    <t>PRO</t>
  </si>
  <si>
    <t>The Black Zone</t>
  </si>
  <si>
    <t>$3,000</t>
  </si>
  <si>
    <t>YOU WIN</t>
  </si>
  <si>
    <t>Profit/Loss</t>
  </si>
  <si>
    <t>Month</t>
  </si>
  <si>
    <t>Trades</t>
  </si>
  <si>
    <t>Winning</t>
  </si>
  <si>
    <t>Losing</t>
  </si>
  <si>
    <t>% Winning</t>
  </si>
  <si>
    <t>Account st</t>
  </si>
  <si>
    <t>Account E</t>
  </si>
  <si>
    <t>Acc %</t>
  </si>
  <si>
    <t>Biggest win</t>
  </si>
  <si>
    <t>Biggest loss</t>
  </si>
  <si>
    <t>Acc Ad in</t>
  </si>
  <si>
    <t>Best lesson</t>
  </si>
  <si>
    <t>DVD</t>
  </si>
  <si>
    <t>June</t>
  </si>
  <si>
    <t>July</t>
  </si>
  <si>
    <t>August</t>
  </si>
  <si>
    <t>September</t>
  </si>
  <si>
    <t>October</t>
  </si>
  <si>
    <t>November</t>
  </si>
  <si>
    <t>December</t>
  </si>
  <si>
    <t>January</t>
  </si>
  <si>
    <t>February</t>
  </si>
  <si>
    <t>March</t>
  </si>
  <si>
    <t>April</t>
  </si>
  <si>
    <t>May</t>
  </si>
  <si>
    <t xml:space="preserve">May </t>
  </si>
  <si>
    <t>JUNE</t>
  </si>
  <si>
    <t xml:space="preserve">August </t>
  </si>
  <si>
    <t>Total/Notes</t>
  </si>
  <si>
    <t>$PTIE</t>
  </si>
  <si>
    <t>$AMPE</t>
  </si>
  <si>
    <t>Gap Crap okay set up but didn’t cut HOD for 80 loss. 1M trraded pre.</t>
  </si>
  <si>
    <t>Nice AMD short this day but got cocky with FB</t>
  </si>
  <si>
    <t>History of fails b4 downtrending no news and warrants and 500k vol - woohoo</t>
  </si>
  <si>
    <t>ç</t>
  </si>
  <si>
    <t>FB AMD</t>
  </si>
  <si>
    <t>$AGRX</t>
  </si>
  <si>
    <t>$AGRX $MBRX</t>
  </si>
  <si>
    <t>$MU $AAPL</t>
  </si>
  <si>
    <t>$ROKU</t>
  </si>
  <si>
    <t>Choppy unclear market lost on FB</t>
  </si>
  <si>
    <t>shorting lower high</t>
  </si>
  <si>
    <t>right but stop too tight</t>
  </si>
  <si>
    <t>$SQ</t>
  </si>
  <si>
    <t>AMD</t>
  </si>
  <si>
    <t>OGEN</t>
  </si>
  <si>
    <t>PTI</t>
  </si>
  <si>
    <t>Short resistance short vwap fail</t>
  </si>
  <si>
    <t>Gap Crap</t>
  </si>
  <si>
    <t>DLTR, ROKU</t>
  </si>
  <si>
    <t>SQ</t>
  </si>
  <si>
    <t>LW</t>
  </si>
  <si>
    <t>W/E</t>
  </si>
  <si>
    <t>BAD CCI</t>
  </si>
  <si>
    <t>AAPL</t>
  </si>
  <si>
    <t>MCD</t>
  </si>
  <si>
    <t>WMT TWTR bad AMD</t>
  </si>
  <si>
    <t>TWTR</t>
  </si>
  <si>
    <t>aapl</t>
  </si>
  <si>
    <t>fb Nvda</t>
  </si>
  <si>
    <t>syn</t>
  </si>
  <si>
    <t>Went stupid higher pricesd made bunch of errors</t>
  </si>
  <si>
    <t>Improvement</t>
  </si>
  <si>
    <t>Slighty early o entry be careful pre.</t>
  </si>
  <si>
    <t>`</t>
  </si>
  <si>
    <t>!9 Aug</t>
  </si>
  <si>
    <t>500 LOSS = YOUR DONE FOR THE DAY</t>
  </si>
  <si>
    <t>TOTAL</t>
  </si>
  <si>
    <t>NO LONGS REST OF MONTH</t>
  </si>
  <si>
    <t xml:space="preserve"> </t>
  </si>
  <si>
    <t>TRADE 2 PATTERNS UNTIL GREEN ON MONTH</t>
  </si>
  <si>
    <t>ONLY TRADE FIRST 2 HOURS</t>
  </si>
  <si>
    <t>Gap and Crap 28% first entry AT LEAST</t>
  </si>
  <si>
    <t>NO LONGS THIS WEEK!</t>
  </si>
  <si>
    <t>NO SHORTINGG STOCKS OVER $50 EXCEPTION FB</t>
  </si>
  <si>
    <t>Short first bounce or nothing n gap craps or risk shortin a squeeze</t>
  </si>
  <si>
    <t>ONLY TRADE THREE PATTERNS REST OF MONTH YOU FUCKED UP</t>
  </si>
  <si>
    <t>ONLY TRADE FIRST TWO HOURS</t>
  </si>
  <si>
    <t>https://zoom.us/webinar/register/WN_wXgin2EtTgmgdB_ygkbGWw</t>
  </si>
  <si>
    <t>FST7BY</t>
  </si>
  <si>
    <t>Date</t>
  </si>
  <si>
    <t>Ticker</t>
  </si>
  <si>
    <t>Fee</t>
  </si>
  <si>
    <t>Profit/loss</t>
  </si>
  <si>
    <t>Gain</t>
  </si>
  <si>
    <t>DARE</t>
  </si>
  <si>
    <t>AQMS</t>
  </si>
  <si>
    <t>IB Trade</t>
  </si>
  <si>
    <t>ZSAN</t>
  </si>
  <si>
    <t>DCAR</t>
  </si>
  <si>
    <t>CVRS</t>
  </si>
  <si>
    <t>IB</t>
  </si>
  <si>
    <t>AMAG</t>
  </si>
  <si>
    <t>AGEN</t>
  </si>
  <si>
    <t>agen</t>
  </si>
  <si>
    <t>AKER</t>
  </si>
  <si>
    <t>NIHD</t>
  </si>
  <si>
    <t>VOLUME SCALE</t>
  </si>
  <si>
    <t>TICKER</t>
  </si>
  <si>
    <t xml:space="preserve">PRE </t>
  </si>
  <si>
    <t>% of Total</t>
  </si>
  <si>
    <t>First min</t>
  </si>
  <si>
    <t>First 5 min</t>
  </si>
  <si>
    <t>EOD</t>
  </si>
  <si>
    <t>AVGR</t>
  </si>
  <si>
    <t>ADOM</t>
  </si>
  <si>
    <t>SBOT</t>
  </si>
  <si>
    <t>VTVT</t>
  </si>
  <si>
    <t>MDGL</t>
  </si>
  <si>
    <t>CLWT</t>
  </si>
  <si>
    <t>Times 12</t>
  </si>
  <si>
    <t>Times 25</t>
  </si>
  <si>
    <t>TIMES 9</t>
  </si>
  <si>
    <t>VOL CALC PRE</t>
  </si>
  <si>
    <t>B4 Taking TRADE</t>
  </si>
  <si>
    <t>Cash</t>
  </si>
  <si>
    <t>Profit</t>
  </si>
  <si>
    <t>S3 or 424B</t>
  </si>
  <si>
    <t xml:space="preserve">warrants on common stock </t>
  </si>
  <si>
    <t>shares</t>
  </si>
  <si>
    <t>avg entry</t>
  </si>
  <si>
    <t>Avg exit</t>
  </si>
  <si>
    <t>Loss</t>
  </si>
  <si>
    <t>Errors Made</t>
  </si>
  <si>
    <t>Explanation</t>
  </si>
  <si>
    <t>Previous Day</t>
  </si>
  <si>
    <t>Open</t>
  </si>
  <si>
    <t>%up</t>
  </si>
  <si>
    <t>Vol</t>
  </si>
  <si>
    <t>5 min high</t>
  </si>
  <si>
    <t>%</t>
  </si>
  <si>
    <t>HOD</t>
  </si>
  <si>
    <t>%high</t>
  </si>
  <si>
    <t>Time</t>
  </si>
  <si>
    <t>Close</t>
  </si>
  <si>
    <t>Close %</t>
  </si>
  <si>
    <t>Float</t>
  </si>
  <si>
    <t>Pattern</t>
  </si>
  <si>
    <t>Total % Day</t>
  </si>
  <si>
    <t>HTZ</t>
  </si>
  <si>
    <t>Low vol res</t>
  </si>
  <si>
    <t>SRNE</t>
  </si>
  <si>
    <t>SPI</t>
  </si>
  <si>
    <t>52s</t>
  </si>
  <si>
    <t>AGE</t>
  </si>
  <si>
    <t>PPSI</t>
  </si>
  <si>
    <t>300+</t>
  </si>
  <si>
    <t>Total %</t>
  </si>
  <si>
    <t>KODK</t>
  </si>
  <si>
    <t>VIVE</t>
  </si>
  <si>
    <t>TNXP</t>
  </si>
  <si>
    <t>AYRO</t>
  </si>
  <si>
    <t>LODE</t>
  </si>
  <si>
    <t>MIST</t>
  </si>
  <si>
    <t>ITRM</t>
  </si>
  <si>
    <t>Low Vol res</t>
  </si>
  <si>
    <t>200+</t>
  </si>
  <si>
    <t>CAPR</t>
  </si>
  <si>
    <t>low vol res</t>
  </si>
  <si>
    <t>VBIV</t>
  </si>
  <si>
    <t>SLDB</t>
  </si>
  <si>
    <t>CETX</t>
  </si>
  <si>
    <t>MDGS</t>
  </si>
  <si>
    <t>High vol res</t>
  </si>
  <si>
    <t>ADT</t>
  </si>
  <si>
    <t>SAVA</t>
  </si>
  <si>
    <t>BYFC</t>
  </si>
  <si>
    <t>LUB</t>
  </si>
  <si>
    <t>AREC</t>
  </si>
  <si>
    <t>STAF</t>
  </si>
  <si>
    <t>WIMI</t>
  </si>
  <si>
    <t>100+</t>
  </si>
  <si>
    <t>SINT</t>
  </si>
  <si>
    <t>OXBR</t>
  </si>
  <si>
    <t>AESE</t>
  </si>
  <si>
    <t>MDRR</t>
  </si>
  <si>
    <t>PIXY</t>
  </si>
  <si>
    <t>GRNQ</t>
  </si>
  <si>
    <t>SNCA</t>
  </si>
  <si>
    <t>AIHS</t>
  </si>
  <si>
    <t>BKYI</t>
  </si>
  <si>
    <t>SNMP</t>
  </si>
  <si>
    <t>CNDT</t>
  </si>
  <si>
    <t>LIZI</t>
  </si>
  <si>
    <t>VVPR</t>
  </si>
  <si>
    <t>NOVN</t>
  </si>
  <si>
    <t>TRVN</t>
  </si>
  <si>
    <t>XTNT</t>
  </si>
  <si>
    <t>TAOP</t>
  </si>
  <si>
    <t>Low Vol Res</t>
  </si>
  <si>
    <t>ATHe</t>
  </si>
  <si>
    <t>CTIC</t>
  </si>
  <si>
    <t>OPGN</t>
  </si>
  <si>
    <t>PED</t>
  </si>
  <si>
    <t>NBRV</t>
  </si>
  <si>
    <t>IBIO</t>
  </si>
  <si>
    <t>CRVS</t>
  </si>
  <si>
    <t>AIM</t>
  </si>
  <si>
    <t>VRNA</t>
  </si>
  <si>
    <t>MCRB</t>
  </si>
  <si>
    <t>BIMI</t>
  </si>
  <si>
    <t>SUNW</t>
  </si>
  <si>
    <t>KCAC</t>
  </si>
  <si>
    <t>WPRT</t>
  </si>
  <si>
    <t>MARA</t>
  </si>
  <si>
    <t>CTXR</t>
  </si>
  <si>
    <t>RAVE</t>
  </si>
  <si>
    <t>MDLY</t>
  </si>
  <si>
    <t>PRTY</t>
  </si>
  <si>
    <t>WAFU</t>
  </si>
  <si>
    <t>SPCB</t>
  </si>
  <si>
    <t>DPW</t>
  </si>
  <si>
    <t>MXC</t>
  </si>
  <si>
    <t>XRF</t>
  </si>
  <si>
    <t>TTPH</t>
  </si>
  <si>
    <t>CTEK</t>
  </si>
  <si>
    <t>EARS</t>
  </si>
  <si>
    <t>IDXG</t>
  </si>
  <si>
    <t>USWS</t>
  </si>
  <si>
    <t>MYO</t>
  </si>
  <si>
    <t>NAK</t>
  </si>
  <si>
    <t>KOS</t>
  </si>
  <si>
    <t>ENLV</t>
  </si>
  <si>
    <t>NETE</t>
  </si>
  <si>
    <t>GNW</t>
  </si>
  <si>
    <t>BLIN</t>
  </si>
  <si>
    <t>MNK</t>
  </si>
  <si>
    <t>40 - 50 mill</t>
  </si>
  <si>
    <t>SSNT</t>
  </si>
  <si>
    <t>CODX</t>
  </si>
  <si>
    <t>HUSN</t>
  </si>
  <si>
    <t>YTEN</t>
  </si>
  <si>
    <t>FAT</t>
  </si>
  <si>
    <t>PSHG</t>
  </si>
  <si>
    <t>SYPR</t>
  </si>
  <si>
    <t>BFRA</t>
  </si>
  <si>
    <t>SFET</t>
  </si>
  <si>
    <t>ALNA</t>
  </si>
  <si>
    <t>VVUS</t>
  </si>
  <si>
    <t>SPPI</t>
  </si>
  <si>
    <t>GENE</t>
  </si>
  <si>
    <t>30 - 40 mll</t>
  </si>
  <si>
    <t>MITO</t>
  </si>
  <si>
    <t>AMC</t>
  </si>
  <si>
    <t>SECO</t>
  </si>
  <si>
    <t>CREG</t>
  </si>
  <si>
    <t>MESO</t>
  </si>
  <si>
    <t>NNOX</t>
  </si>
  <si>
    <t>WWR</t>
  </si>
  <si>
    <t>CMRX</t>
  </si>
  <si>
    <t>PECK</t>
  </si>
  <si>
    <t>PHAS</t>
  </si>
  <si>
    <t>APDN</t>
  </si>
  <si>
    <t>KZIA</t>
  </si>
  <si>
    <t>CSCW</t>
  </si>
  <si>
    <t>EBON</t>
  </si>
  <si>
    <t>20 - 30 mill</t>
  </si>
  <si>
    <t>Gap %</t>
  </si>
  <si>
    <t>5 min %</t>
  </si>
  <si>
    <t>UONE</t>
  </si>
  <si>
    <t>MNOV</t>
  </si>
  <si>
    <t>OMER</t>
  </si>
  <si>
    <t>MTP</t>
  </si>
  <si>
    <t>SES</t>
  </si>
  <si>
    <t>NNVC</t>
  </si>
  <si>
    <t>RWLK</t>
  </si>
  <si>
    <t>MDRX</t>
  </si>
  <si>
    <t>SDPI</t>
  </si>
  <si>
    <t>GSUM</t>
  </si>
  <si>
    <t>ADES</t>
  </si>
  <si>
    <t>TLC</t>
  </si>
  <si>
    <t>HEPA</t>
  </si>
  <si>
    <t>SOS</t>
  </si>
  <si>
    <t>10 - 20 mill</t>
  </si>
  <si>
    <t>AMCIW</t>
  </si>
  <si>
    <t>9:£2</t>
  </si>
  <si>
    <t>CPSS</t>
  </si>
  <si>
    <t>MYT</t>
  </si>
  <si>
    <t>EDSA</t>
  </si>
  <si>
    <t>ALL Patterns</t>
  </si>
  <si>
    <t>Within 10%</t>
  </si>
  <si>
    <t>Outside 10%</t>
  </si>
  <si>
    <t>Avg Win %</t>
  </si>
  <si>
    <t>Low vol</t>
  </si>
  <si>
    <t>150 - 200</t>
  </si>
  <si>
    <t>100 -150</t>
  </si>
  <si>
    <t>80 - 100</t>
  </si>
  <si>
    <t>60 - 80</t>
  </si>
  <si>
    <t>50 - 60</t>
  </si>
  <si>
    <t>40 - 50</t>
  </si>
  <si>
    <t>30 - 40</t>
  </si>
  <si>
    <t>20 - 30</t>
  </si>
  <si>
    <t>10  -- 20</t>
  </si>
  <si>
    <t>10 or less</t>
  </si>
  <si>
    <t>High Vol</t>
  </si>
  <si>
    <t>1% out on 3</t>
  </si>
  <si>
    <t>Move start</t>
  </si>
  <si>
    <t>PDC</t>
  </si>
  <si>
    <t>NDO</t>
  </si>
  <si>
    <t>%Gap down</t>
  </si>
  <si>
    <t>Day low</t>
  </si>
  <si>
    <t>Low %</t>
  </si>
  <si>
    <t>R/G test</t>
  </si>
  <si>
    <t>Succes</t>
  </si>
  <si>
    <t>No</t>
  </si>
  <si>
    <t>OAS</t>
  </si>
  <si>
    <t>Yes</t>
  </si>
  <si>
    <t>NTN</t>
  </si>
  <si>
    <t>Tested</t>
  </si>
  <si>
    <t>PLL</t>
  </si>
  <si>
    <t>PRCP</t>
  </si>
  <si>
    <t>NAOV</t>
  </si>
  <si>
    <t>After failure</t>
  </si>
  <si>
    <t>INO</t>
  </si>
  <si>
    <t>JNCE</t>
  </si>
  <si>
    <t>REDU</t>
  </si>
  <si>
    <t>BOXL</t>
  </si>
  <si>
    <t>PRPO</t>
  </si>
  <si>
    <t>yes</t>
  </si>
  <si>
    <t>Broke</t>
  </si>
  <si>
    <t>OPTT</t>
  </si>
  <si>
    <t>WKHS</t>
  </si>
  <si>
    <t>KXIN</t>
  </si>
  <si>
    <t>LAC</t>
  </si>
  <si>
    <t>SOLO</t>
  </si>
  <si>
    <t>CLSK</t>
  </si>
  <si>
    <t>AMBO</t>
  </si>
  <si>
    <t>NIO</t>
  </si>
  <si>
    <t>MSN</t>
  </si>
  <si>
    <t>OBLG</t>
  </si>
  <si>
    <t>Total</t>
  </si>
  <si>
    <t xml:space="preserve">Spikers </t>
  </si>
  <si>
    <t>Prev Close</t>
  </si>
  <si>
    <t>Close to Open%</t>
  </si>
  <si>
    <t>Open to HOD%</t>
  </si>
  <si>
    <t>HOD - Close%</t>
  </si>
  <si>
    <t>Close to close</t>
  </si>
  <si>
    <t>Last 30 min</t>
  </si>
  <si>
    <t>Next Day Open</t>
  </si>
  <si>
    <t>Up or Down from close</t>
  </si>
  <si>
    <t>Nxt Day Spike</t>
  </si>
  <si>
    <t>Nxt Day Washout</t>
  </si>
  <si>
    <t>Bounce/Grind</t>
  </si>
  <si>
    <t>Third Day Spike</t>
  </si>
  <si>
    <t>Findings</t>
  </si>
  <si>
    <t>YRCW</t>
  </si>
  <si>
    <t>Strong</t>
  </si>
  <si>
    <t>July 30th</t>
  </si>
  <si>
    <t>Down</t>
  </si>
  <si>
    <t>Neither</t>
  </si>
  <si>
    <t>CLD</t>
  </si>
  <si>
    <t>Medium</t>
  </si>
  <si>
    <t>Grind</t>
  </si>
  <si>
    <t>TSRI</t>
  </si>
  <si>
    <t>Bounce</t>
  </si>
  <si>
    <t>NFEC</t>
  </si>
  <si>
    <t>If it spikes really big  - like double - it can run next day in this case it faded the previous afternoon to where it opened almost.</t>
  </si>
  <si>
    <t>SHIP</t>
  </si>
  <si>
    <t>Normal</t>
  </si>
  <si>
    <t>August 3rd</t>
  </si>
  <si>
    <t>Fade</t>
  </si>
  <si>
    <t>OMEX</t>
  </si>
  <si>
    <t>Sino</t>
  </si>
  <si>
    <t>Weak</t>
  </si>
  <si>
    <t>GLBS</t>
  </si>
  <si>
    <t>SAEX</t>
  </si>
  <si>
    <t>August 8th</t>
  </si>
  <si>
    <t>Up</t>
  </si>
  <si>
    <t>Way over extended and collapsed</t>
  </si>
  <si>
    <t>CHEK</t>
  </si>
  <si>
    <t>TOPS</t>
  </si>
  <si>
    <t>LNTH</t>
  </si>
  <si>
    <t>SINO</t>
  </si>
  <si>
    <t>up</t>
  </si>
  <si>
    <t>SENS</t>
  </si>
  <si>
    <t>August 11th</t>
  </si>
  <si>
    <t>HWAY</t>
  </si>
  <si>
    <t>Small grind</t>
  </si>
  <si>
    <t>HLIT</t>
  </si>
  <si>
    <t>small grind</t>
  </si>
  <si>
    <t>CRMD</t>
  </si>
  <si>
    <t>August 12th</t>
  </si>
  <si>
    <t>Same</t>
  </si>
  <si>
    <t>AEMD</t>
  </si>
  <si>
    <t>tiny grind</t>
  </si>
  <si>
    <t>LEDS</t>
  </si>
  <si>
    <t>NBY</t>
  </si>
  <si>
    <t>August 15th</t>
  </si>
  <si>
    <t>AVXL</t>
  </si>
  <si>
    <t>CYCC</t>
  </si>
  <si>
    <t>GBR</t>
  </si>
  <si>
    <t>no</t>
  </si>
  <si>
    <t>FUEL</t>
  </si>
  <si>
    <t>SITO</t>
  </si>
  <si>
    <t>August 16th</t>
  </si>
  <si>
    <t>THLD</t>
  </si>
  <si>
    <t>August 18th</t>
  </si>
  <si>
    <t>BCEI</t>
  </si>
  <si>
    <t>down</t>
  </si>
  <si>
    <t>SKYS</t>
  </si>
  <si>
    <t>weak</t>
  </si>
  <si>
    <t>NVIV</t>
  </si>
  <si>
    <t>Spike</t>
  </si>
  <si>
    <t>UNXL</t>
  </si>
  <si>
    <t>August 20th</t>
  </si>
  <si>
    <t>LPTN</t>
  </si>
  <si>
    <t>strong</t>
  </si>
  <si>
    <t>August 22nd</t>
  </si>
  <si>
    <t>spike</t>
  </si>
  <si>
    <t>WINT</t>
  </si>
  <si>
    <t>medium</t>
  </si>
  <si>
    <t>small rebound</t>
  </si>
  <si>
    <t>AMDA</t>
  </si>
  <si>
    <t>August 23rd</t>
  </si>
  <si>
    <t>n/a</t>
  </si>
  <si>
    <t>SSY</t>
  </si>
  <si>
    <t>RLJE</t>
  </si>
  <si>
    <t>STEM</t>
  </si>
  <si>
    <t>fade</t>
  </si>
  <si>
    <t>LTRX</t>
  </si>
  <si>
    <t>bounce</t>
  </si>
  <si>
    <t>ISIL</t>
  </si>
  <si>
    <t>same</t>
  </si>
  <si>
    <t>DAKT</t>
  </si>
  <si>
    <t>August 24th</t>
  </si>
  <si>
    <t>MOMO</t>
  </si>
  <si>
    <t>FNBC</t>
  </si>
  <si>
    <t>CLVS</t>
  </si>
  <si>
    <t>BREW</t>
  </si>
  <si>
    <t>August 25th</t>
  </si>
  <si>
    <t>grind</t>
  </si>
  <si>
    <t>AEHR</t>
  </si>
  <si>
    <t>August 26th</t>
  </si>
  <si>
    <t>VNDA</t>
  </si>
  <si>
    <t>HZN</t>
  </si>
  <si>
    <t>CEMI</t>
  </si>
  <si>
    <t>n.a</t>
  </si>
  <si>
    <t>NYMX</t>
  </si>
  <si>
    <t>n./a</t>
  </si>
  <si>
    <t>ATRS</t>
  </si>
  <si>
    <t>August 29th</t>
  </si>
  <si>
    <t>XGTI</t>
  </si>
  <si>
    <t>August 30th</t>
  </si>
  <si>
    <t>KONE</t>
  </si>
  <si>
    <t>dowm</t>
  </si>
  <si>
    <t>RIGL</t>
  </si>
  <si>
    <t>August 31st</t>
  </si>
  <si>
    <t>KPTI</t>
  </si>
  <si>
    <t>rebound</t>
  </si>
  <si>
    <t>GSAT</t>
  </si>
  <si>
    <t>PAHC</t>
  </si>
  <si>
    <t>POT</t>
  </si>
  <si>
    <t>IPI</t>
  </si>
  <si>
    <t>SPU</t>
  </si>
  <si>
    <t>Augus</t>
  </si>
  <si>
    <t>NL</t>
  </si>
  <si>
    <t>ROKA</t>
  </si>
  <si>
    <t>FSAM</t>
  </si>
  <si>
    <t>CHS</t>
  </si>
  <si>
    <t>XCOM</t>
  </si>
  <si>
    <t>HPJ</t>
  </si>
  <si>
    <t>JAGX</t>
  </si>
  <si>
    <t>VSR</t>
  </si>
  <si>
    <t>NVFY</t>
  </si>
  <si>
    <t>NAV</t>
  </si>
  <si>
    <t>SGMS</t>
  </si>
  <si>
    <t>BCRX</t>
  </si>
  <si>
    <t>GTXI</t>
  </si>
  <si>
    <t>CLRB</t>
  </si>
  <si>
    <t>CLMT</t>
  </si>
  <si>
    <t>BV</t>
  </si>
  <si>
    <t>APVO</t>
  </si>
  <si>
    <t>TAT</t>
  </si>
  <si>
    <t>ACST</t>
  </si>
  <si>
    <t>MHGC</t>
  </si>
  <si>
    <t>ITEK</t>
  </si>
  <si>
    <t>TKAI</t>
  </si>
  <si>
    <t>AIRG</t>
  </si>
  <si>
    <t>CPRX</t>
  </si>
  <si>
    <t>DEPO</t>
  </si>
  <si>
    <t>VIV</t>
  </si>
  <si>
    <t>SGYP</t>
  </si>
  <si>
    <t>ZIOP</t>
  </si>
  <si>
    <t>ESNC</t>
  </si>
  <si>
    <t>GNMK</t>
  </si>
  <si>
    <t>RVNC</t>
  </si>
  <si>
    <t>NAVB</t>
  </si>
  <si>
    <t>CYH</t>
  </si>
  <si>
    <t>CFMS</t>
  </si>
  <si>
    <t>CDOR</t>
  </si>
  <si>
    <t>PTCT</t>
  </si>
  <si>
    <t>SORL</t>
  </si>
  <si>
    <t>IDRA</t>
  </si>
  <si>
    <t>BSPM</t>
  </si>
  <si>
    <t>yrs</t>
  </si>
  <si>
    <t>AMCN</t>
  </si>
  <si>
    <t>IPCI</t>
  </si>
  <si>
    <t>n</t>
  </si>
  <si>
    <t>TTOO</t>
  </si>
  <si>
    <t>BLRX</t>
  </si>
  <si>
    <t>MRNS</t>
  </si>
  <si>
    <t>BDSI</t>
  </si>
  <si>
    <t>RGSE</t>
  </si>
  <si>
    <t>ACTA</t>
  </si>
  <si>
    <t>LPCN</t>
  </si>
  <si>
    <t>DRRX</t>
  </si>
  <si>
    <t>KTOV</t>
  </si>
  <si>
    <t>CARA</t>
  </si>
  <si>
    <t>INVT</t>
  </si>
  <si>
    <t>CCCL</t>
  </si>
  <si>
    <t>CATB</t>
  </si>
  <si>
    <t>AUPH</t>
  </si>
  <si>
    <t>DRNA</t>
  </si>
  <si>
    <t xml:space="preserve"> no</t>
  </si>
  <si>
    <t>RELV</t>
  </si>
  <si>
    <t>DVAX</t>
  </si>
  <si>
    <t>PYDS</t>
  </si>
  <si>
    <t>SCYX</t>
  </si>
  <si>
    <t>PETX</t>
  </si>
  <si>
    <t>AXGN</t>
  </si>
  <si>
    <t>HDP</t>
  </si>
  <si>
    <t>PRMW</t>
  </si>
  <si>
    <t>MGT</t>
  </si>
  <si>
    <t>VOXX</t>
  </si>
  <si>
    <t>NSPR</t>
  </si>
  <si>
    <t>TRXC</t>
  </si>
  <si>
    <t>SPEX</t>
  </si>
  <si>
    <t>RTTR</t>
  </si>
  <si>
    <t>EVDY</t>
  </si>
  <si>
    <t>KOOL</t>
  </si>
  <si>
    <t>ACCO</t>
  </si>
  <si>
    <t>Oc 25</t>
  </si>
  <si>
    <t>BGI</t>
  </si>
  <si>
    <t>ORIG</t>
  </si>
  <si>
    <t>XXII</t>
  </si>
  <si>
    <t>CTRV</t>
  </si>
  <si>
    <t>LGCY</t>
  </si>
  <si>
    <t>HTBX</t>
  </si>
  <si>
    <t>MB</t>
  </si>
  <si>
    <t>Validation</t>
  </si>
  <si>
    <t>Stocks that gap up and spike and close near their highs gap up again</t>
  </si>
  <si>
    <t>Stocks that grind a small percentage (approx 6%) spike big next day</t>
  </si>
  <si>
    <t>Dip buy into close of stocks up on the day with good past history</t>
  </si>
  <si>
    <t xml:space="preserve">Small green day means big green day on </t>
  </si>
  <si>
    <t>RGSE 0 sadi missed it I tracked it and it was up 30% day before not much of an excuse.</t>
  </si>
  <si>
    <t>Grinders mid/low</t>
  </si>
  <si>
    <t>Move after washout</t>
  </si>
  <si>
    <t>NEWS</t>
  </si>
  <si>
    <t>August 5th</t>
  </si>
  <si>
    <t>Small</t>
  </si>
  <si>
    <t>Earning</t>
  </si>
  <si>
    <t>GSV</t>
  </si>
  <si>
    <t>Strong Grind</t>
  </si>
  <si>
    <t>MPET</t>
  </si>
  <si>
    <t>Big spike</t>
  </si>
  <si>
    <t>WAC</t>
  </si>
  <si>
    <t>REN</t>
  </si>
  <si>
    <t>big grind (no wash)</t>
  </si>
  <si>
    <t>PXLW</t>
  </si>
  <si>
    <t>Small late grind</t>
  </si>
  <si>
    <t>August 17th</t>
  </si>
  <si>
    <t>CRK</t>
  </si>
  <si>
    <t>Consolidation</t>
  </si>
  <si>
    <t>MBII</t>
  </si>
  <si>
    <t>Small Spike</t>
  </si>
  <si>
    <t>smallg grind</t>
  </si>
  <si>
    <t>TEDU</t>
  </si>
  <si>
    <t>CIE</t>
  </si>
  <si>
    <t>August 19th</t>
  </si>
  <si>
    <t>August 19tth</t>
  </si>
  <si>
    <t>PTX</t>
  </si>
  <si>
    <t>small bounce</t>
  </si>
  <si>
    <t>SGY</t>
  </si>
  <si>
    <t>August 22th</t>
  </si>
  <si>
    <t>BVX</t>
  </si>
  <si>
    <t>August 23th</t>
  </si>
  <si>
    <t>HDSN</t>
  </si>
  <si>
    <t>ADMP</t>
  </si>
  <si>
    <t>LEI</t>
  </si>
  <si>
    <t>OSUR</t>
  </si>
  <si>
    <t>AAOI</t>
  </si>
  <si>
    <t>EPAY</t>
  </si>
  <si>
    <t>ONVO</t>
  </si>
  <si>
    <t>PSG</t>
  </si>
  <si>
    <t>August 27th</t>
  </si>
  <si>
    <t>Big washout</t>
  </si>
  <si>
    <t>EGLE</t>
  </si>
  <si>
    <t>NEOT</t>
  </si>
  <si>
    <t>TPIC</t>
  </si>
  <si>
    <t>PQ</t>
  </si>
  <si>
    <t>MNKD</t>
  </si>
  <si>
    <t xml:space="preserve">no </t>
  </si>
  <si>
    <t>VRA</t>
  </si>
  <si>
    <t>PES</t>
  </si>
  <si>
    <t>CDTI</t>
  </si>
  <si>
    <t>Grind up</t>
  </si>
  <si>
    <t>PGNX</t>
  </si>
  <si>
    <t>CGNT</t>
  </si>
  <si>
    <t>TLRD</t>
  </si>
  <si>
    <t>EPZM</t>
  </si>
  <si>
    <t>AST</t>
  </si>
  <si>
    <t>BTX</t>
  </si>
  <si>
    <t>SNOW</t>
  </si>
  <si>
    <t>CONN</t>
  </si>
  <si>
    <t>TDW</t>
  </si>
  <si>
    <t>CRBP</t>
  </si>
  <si>
    <t>GBT</t>
  </si>
  <si>
    <t>CZR</t>
  </si>
  <si>
    <t>COLL</t>
  </si>
  <si>
    <t>NM</t>
  </si>
  <si>
    <t>AEGR</t>
  </si>
  <si>
    <t>DSX</t>
  </si>
  <si>
    <t>FORM</t>
  </si>
  <si>
    <t>UEPS</t>
  </si>
  <si>
    <t>BRS</t>
  </si>
  <si>
    <t>AREX</t>
  </si>
  <si>
    <t>UVXY</t>
  </si>
  <si>
    <t>DRWI</t>
  </si>
  <si>
    <t>ABEO</t>
  </si>
  <si>
    <t>UNIS</t>
  </si>
  <si>
    <t>TWER</t>
  </si>
  <si>
    <t>VG</t>
  </si>
  <si>
    <t>OCN</t>
  </si>
  <si>
    <t>Trend</t>
  </si>
  <si>
    <t>Stocks that gap up large pre-market wash out and grind back up.</t>
  </si>
  <si>
    <t>Depends if stock over extended</t>
  </si>
  <si>
    <t>Charts that will grind up a little can grind up big the next day</t>
  </si>
  <si>
    <t>Look out for stocks up more than 10% pre-market to wash out and grind</t>
  </si>
  <si>
    <t>depends long term chart</t>
  </si>
  <si>
    <t>Agugust 23</t>
  </si>
  <si>
    <t>Stocks capping up 15/20% are spiking - look for grinding tho</t>
  </si>
  <si>
    <t>stocks big first day could gap up</t>
  </si>
  <si>
    <t>stocks the gain and hold their highs washout and bounce off former support the previous day</t>
  </si>
  <si>
    <t>Note: Start analyising if stocks that rise big and hold their highs have a second green day most of the time</t>
  </si>
  <si>
    <t>Notable Charts</t>
  </si>
  <si>
    <t>(First Day grinder which DIPS)</t>
  </si>
  <si>
    <t>Wait for a significant dip early on a first day spiking chart which is very volatile and no history $PSG stocks must be trading 5k plus shares by morning. The chart should have support for the dip in the past. Random a dip at a random place could be start of down trend - maybe wait for it to regain control.</t>
  </si>
  <si>
    <t>Buy the break out - it's not just a random rising chart</t>
  </si>
  <si>
    <t>WAHSOUT AFTER STRONG FIRST DAY</t>
  </si>
  <si>
    <t>Gappers</t>
  </si>
  <si>
    <t>SEMI</t>
  </si>
  <si>
    <t>Storng</t>
  </si>
  <si>
    <t>GEO</t>
  </si>
  <si>
    <t>NWY</t>
  </si>
  <si>
    <t>normal</t>
  </si>
  <si>
    <t>DGAZ</t>
  </si>
  <si>
    <t>BPMX</t>
  </si>
  <si>
    <t>washout</t>
  </si>
  <si>
    <t>GES</t>
  </si>
  <si>
    <t>MCUR</t>
  </si>
  <si>
    <t>MTRX</t>
  </si>
  <si>
    <t>ACW</t>
  </si>
  <si>
    <t>EVOK</t>
  </si>
  <si>
    <t>HK</t>
  </si>
  <si>
    <t>RPTP</t>
  </si>
  <si>
    <t>AFCO</t>
  </si>
  <si>
    <t>VTAE</t>
  </si>
  <si>
    <t>GBSN</t>
  </si>
  <si>
    <t>na</t>
  </si>
  <si>
    <t>ISLE</t>
  </si>
  <si>
    <t>EVBG</t>
  </si>
  <si>
    <t>PICO</t>
  </si>
  <si>
    <t>MIME</t>
  </si>
  <si>
    <t>FVE</t>
  </si>
  <si>
    <t>SDRL</t>
  </si>
  <si>
    <t>OCUL</t>
  </si>
  <si>
    <t>AMRS</t>
  </si>
  <si>
    <t>BANC</t>
  </si>
  <si>
    <t>stocks that gap up large gap up the nxt day</t>
  </si>
  <si>
    <t>Mid day news and spike will generate gap up next day</t>
  </si>
  <si>
    <t>52 week Movers</t>
  </si>
  <si>
    <t>Official 52 high</t>
  </si>
  <si>
    <t>Close to open %</t>
  </si>
  <si>
    <t>Next day grind</t>
  </si>
  <si>
    <t xml:space="preserve">Close </t>
  </si>
  <si>
    <t>Close to Close%</t>
  </si>
  <si>
    <t>Ju</t>
  </si>
  <si>
    <t>STATS Compiled</t>
  </si>
  <si>
    <t>Grinders</t>
  </si>
  <si>
    <t>Stocks</t>
  </si>
  <si>
    <t>Washout</t>
  </si>
  <si>
    <t>Percentage washout</t>
  </si>
  <si>
    <t>Bounce/Grind back</t>
  </si>
  <si>
    <t>Percentage Bounce</t>
  </si>
  <si>
    <t>Price</t>
  </si>
  <si>
    <t>In</t>
  </si>
  <si>
    <t>Out</t>
  </si>
  <si>
    <t>Investment</t>
  </si>
  <si>
    <t>PROFIT</t>
  </si>
  <si>
    <t>Millionaire:</t>
  </si>
  <si>
    <t>Days Trading</t>
  </si>
  <si>
    <t>Years</t>
  </si>
  <si>
    <t>Reaching their highs</t>
  </si>
  <si>
    <t>First Day Green</t>
  </si>
  <si>
    <t>First Day Red</t>
  </si>
  <si>
    <t xml:space="preserve">Second Day Green </t>
  </si>
  <si>
    <t>Second Day Red</t>
  </si>
  <si>
    <t>Percentage</t>
  </si>
  <si>
    <t>Green to red</t>
  </si>
  <si>
    <t>Single Red</t>
  </si>
  <si>
    <t>Red to red</t>
  </si>
  <si>
    <t>Fitness</t>
  </si>
  <si>
    <t>Remaining Days</t>
  </si>
  <si>
    <t>Weight Target</t>
  </si>
  <si>
    <t>Weight</t>
  </si>
  <si>
    <t>Target</t>
  </si>
  <si>
    <t>R Target</t>
  </si>
  <si>
    <t>Results</t>
  </si>
  <si>
    <t>On Target</t>
  </si>
  <si>
    <t>KM Ran</t>
  </si>
  <si>
    <t>Total KM Ran</t>
  </si>
  <si>
    <t>Total Weight Loss</t>
  </si>
  <si>
    <t>Weight loss per KM Ran (KG)</t>
  </si>
  <si>
    <t>Punishments</t>
  </si>
  <si>
    <t>FAIL</t>
  </si>
  <si>
    <t>45:00 or under</t>
  </si>
  <si>
    <t>broke</t>
  </si>
  <si>
    <t>ITP</t>
  </si>
  <si>
    <t>RENN</t>
  </si>
  <si>
    <t>DOGZ</t>
  </si>
  <si>
    <t>DXF</t>
  </si>
  <si>
    <t>MARPS</t>
  </si>
  <si>
    <t>LYL</t>
  </si>
  <si>
    <t>GTEC</t>
  </si>
  <si>
    <t>ACOR</t>
  </si>
  <si>
    <t>APTX</t>
  </si>
  <si>
    <t>CBLI</t>
  </si>
  <si>
    <t>WEI</t>
  </si>
  <si>
    <t>ADXS</t>
  </si>
  <si>
    <t>CPAH</t>
  </si>
  <si>
    <t>BMRA</t>
  </si>
  <si>
    <t>HUGE</t>
  </si>
  <si>
    <t>KBSF</t>
  </si>
  <si>
    <t>INPX</t>
  </si>
  <si>
    <t>JE</t>
  </si>
  <si>
    <t>IMMP</t>
  </si>
  <si>
    <t>EYPT</t>
  </si>
  <si>
    <t>MGEN</t>
  </si>
  <si>
    <t>WISA</t>
  </si>
  <si>
    <t>FORD</t>
  </si>
  <si>
    <t>PTE</t>
  </si>
  <si>
    <t>ARPO</t>
  </si>
  <si>
    <t>FAMI</t>
  </si>
  <si>
    <t>MDCA</t>
  </si>
  <si>
    <t>ATHE</t>
  </si>
  <si>
    <t>SLS</t>
  </si>
  <si>
    <t>OSS</t>
  </si>
  <si>
    <t>LMPX</t>
  </si>
  <si>
    <t>ABUS</t>
  </si>
  <si>
    <t>FLNT</t>
  </si>
  <si>
    <t>GNFT</t>
  </si>
  <si>
    <t>NNDM</t>
  </si>
  <si>
    <t>OEG</t>
  </si>
  <si>
    <t>PLIN</t>
  </si>
  <si>
    <t>CHNR</t>
  </si>
  <si>
    <t>JILL</t>
  </si>
  <si>
    <t>TGC</t>
  </si>
  <si>
    <t>VOC</t>
  </si>
  <si>
    <t>MKD</t>
  </si>
  <si>
    <t>MRIN</t>
  </si>
  <si>
    <t>LIFE</t>
  </si>
  <si>
    <t>BHAT</t>
  </si>
  <si>
    <t>PT</t>
  </si>
  <si>
    <t>RNWK</t>
  </si>
  <si>
    <t>CEI</t>
  </si>
  <si>
    <t>PTN</t>
  </si>
  <si>
    <t>TLGT</t>
  </si>
  <si>
    <t>MYOS</t>
  </si>
  <si>
    <t>OBCI</t>
  </si>
  <si>
    <t>SXTC</t>
  </si>
  <si>
    <t>APT</t>
  </si>
  <si>
    <t>MBRX</t>
  </si>
  <si>
    <t>DGLY</t>
  </si>
  <si>
    <t>EYEG</t>
  </si>
  <si>
    <t>HOTH</t>
  </si>
  <si>
    <t>CTRM</t>
  </si>
  <si>
    <t>ATOS</t>
  </si>
  <si>
    <t>CNSP</t>
  </si>
  <si>
    <t>ESEA</t>
  </si>
  <si>
    <t>DRAD</t>
  </si>
  <si>
    <t>SONM</t>
  </si>
  <si>
    <t>ASRT</t>
  </si>
  <si>
    <t>POAI</t>
  </si>
  <si>
    <t>ANTE</t>
  </si>
  <si>
    <t>ROSE</t>
  </si>
  <si>
    <t>SBPH</t>
  </si>
  <si>
    <t>SNDL</t>
  </si>
  <si>
    <t>TBLT</t>
  </si>
  <si>
    <t>OPHC</t>
  </si>
  <si>
    <t>LITB</t>
  </si>
  <si>
    <t>BHTG</t>
  </si>
  <si>
    <t>MTSL</t>
  </si>
  <si>
    <t>THTX</t>
  </si>
  <si>
    <t>SNGX</t>
  </si>
  <si>
    <t>EVK</t>
  </si>
  <si>
    <t>BPTH</t>
  </si>
  <si>
    <t>Avg</t>
  </si>
  <si>
    <t>AVG</t>
  </si>
  <si>
    <t>Exception</t>
  </si>
  <si>
    <t>Huge range gap. Accepted.</t>
  </si>
  <si>
    <t>9AM pre Don't Trade. Removed.</t>
  </si>
  <si>
    <t>SCKT</t>
  </si>
  <si>
    <t>DSS</t>
  </si>
  <si>
    <t>YVR</t>
  </si>
  <si>
    <t>LLIT</t>
  </si>
  <si>
    <t>Outlier. Accepted.</t>
  </si>
  <si>
    <t>Exceptions</t>
  </si>
  <si>
    <t>ISIG</t>
  </si>
  <si>
    <t>AUVI</t>
  </si>
  <si>
    <t>APOP</t>
  </si>
  <si>
    <t>UUU</t>
  </si>
  <si>
    <t>AIRI</t>
  </si>
  <si>
    <t>EQ</t>
  </si>
  <si>
    <t>ANPC</t>
  </si>
  <si>
    <t>DBVT</t>
  </si>
  <si>
    <t>SUP</t>
  </si>
  <si>
    <t>BBGI</t>
  </si>
  <si>
    <t>JAKK</t>
  </si>
  <si>
    <t>13:00pm</t>
  </si>
  <si>
    <t>ALTM</t>
  </si>
  <si>
    <t>HOFV</t>
  </si>
  <si>
    <t>UPWK</t>
  </si>
  <si>
    <t>MOGO</t>
  </si>
  <si>
    <t>ONCT</t>
  </si>
  <si>
    <t>PHIO</t>
  </si>
  <si>
    <t>SOHO</t>
  </si>
  <si>
    <t>FTEK</t>
  </si>
  <si>
    <t>ZMCD</t>
  </si>
  <si>
    <t>EDRY</t>
  </si>
  <si>
    <t>IMAC</t>
  </si>
  <si>
    <t>PXS</t>
  </si>
  <si>
    <t>FPRX</t>
  </si>
  <si>
    <t>Athe</t>
  </si>
  <si>
    <t>HPR</t>
  </si>
  <si>
    <t>IDEX</t>
  </si>
  <si>
    <t>LXRX</t>
  </si>
  <si>
    <t>FENG</t>
  </si>
  <si>
    <t>DNK</t>
  </si>
  <si>
    <t>300 mill</t>
  </si>
  <si>
    <t>pre vol</t>
  </si>
  <si>
    <t>1 min</t>
  </si>
  <si>
    <t>5 min</t>
  </si>
  <si>
    <t>15 min</t>
  </si>
  <si>
    <t>30 min</t>
  </si>
  <si>
    <t>60 min</t>
  </si>
  <si>
    <t>Daily vol</t>
  </si>
  <si>
    <t>Average</t>
  </si>
  <si>
    <t>Pre vol</t>
  </si>
  <si>
    <t>100 - 150</t>
  </si>
  <si>
    <t>60 - 80 mill</t>
  </si>
  <si>
    <t>50 - 60 mill</t>
  </si>
  <si>
    <t>0 - 10 mill</t>
  </si>
  <si>
    <t>90 - 100</t>
  </si>
  <si>
    <t>0 - 10 mil</t>
  </si>
  <si>
    <t>MTC</t>
  </si>
  <si>
    <t>Caas</t>
  </si>
  <si>
    <t>RAIL</t>
  </si>
  <si>
    <t>SNSS</t>
  </si>
  <si>
    <t>WORX</t>
  </si>
  <si>
    <t>Mack</t>
  </si>
  <si>
    <t>HGSH</t>
  </si>
  <si>
    <t>CBAT</t>
  </si>
  <si>
    <t>NSCO</t>
  </si>
  <si>
    <t>OBLN</t>
  </si>
  <si>
    <t>HCAC</t>
  </si>
  <si>
    <t>CGIX</t>
  </si>
  <si>
    <t>CRIS</t>
  </si>
  <si>
    <t>NURO</t>
  </si>
  <si>
    <t>52 week high</t>
  </si>
  <si>
    <t>SFIX</t>
  </si>
  <si>
    <t>Xbio</t>
  </si>
  <si>
    <t>Ntec</t>
  </si>
  <si>
    <t>Fran</t>
  </si>
  <si>
    <t>RCON</t>
  </si>
  <si>
    <t>SSPK</t>
  </si>
  <si>
    <t>ENTX</t>
  </si>
  <si>
    <t>ZKIN</t>
  </si>
  <si>
    <t>CLRO</t>
  </si>
  <si>
    <t>SNOA</t>
  </si>
  <si>
    <t>11:00am</t>
  </si>
  <si>
    <t>SYBX</t>
  </si>
  <si>
    <t>ARVN</t>
  </si>
  <si>
    <t>ANCN</t>
  </si>
  <si>
    <t>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</si>
</sst>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F400]h:mm:ss\ AM/PM"/>
  </numFmts>
  <fonts count="61" x14ac:knownFonts="1">
    <font>
      <sz val="12"/>
      <color theme="1"/>
      <name val="Calibri"/>
      <family val="2"/>
      <scheme val="minor"/>
    </font>
    <font>
      <sz val="30"/>
      <color theme="1"/>
      <name val="Calibri"/>
      <family val="2"/>
      <scheme val="minor"/>
    </font>
    <font>
      <u/>
      <sz val="12"/>
      <color theme="10"/>
      <name val="Calibri"/>
      <family val="2"/>
      <scheme val="minor"/>
    </font>
    <font>
      <u/>
      <sz val="12"/>
      <color theme="11"/>
      <name val="Calibri"/>
      <family val="2"/>
      <scheme val="minor"/>
    </font>
    <font>
      <sz val="16"/>
      <color theme="1"/>
      <name val="Calibri"/>
      <family val="2"/>
      <scheme val="minor"/>
    </font>
    <font>
      <b/>
      <sz val="12"/>
      <color theme="1"/>
      <name val="Calibri"/>
      <family val="2"/>
      <scheme val="minor"/>
    </font>
    <font>
      <sz val="14"/>
      <color theme="1"/>
      <name val="Calibri"/>
      <family val="2"/>
      <scheme val="minor"/>
    </font>
    <font>
      <sz val="14"/>
      <color rgb="FFFF0000"/>
      <name val="Calibri"/>
      <family val="2"/>
      <scheme val="minor"/>
    </font>
    <font>
      <sz val="14"/>
      <color rgb="FF008000"/>
      <name val="Calibri"/>
      <family val="2"/>
      <scheme val="minor"/>
    </font>
    <font>
      <b/>
      <sz val="14"/>
      <color theme="1"/>
      <name val="Calibri"/>
      <family val="2"/>
      <scheme val="minor"/>
    </font>
    <font>
      <b/>
      <sz val="12"/>
      <color rgb="FFFF0000"/>
      <name val="Calibri"/>
      <family val="2"/>
      <scheme val="minor"/>
    </font>
    <font>
      <sz val="18"/>
      <color theme="1"/>
      <name val="Calibri"/>
      <family val="2"/>
      <scheme val="minor"/>
    </font>
    <font>
      <b/>
      <sz val="16"/>
      <color theme="1"/>
      <name val="Calibri"/>
      <family val="2"/>
      <scheme val="minor"/>
    </font>
    <font>
      <sz val="20"/>
      <color theme="1"/>
      <name val="Calibri"/>
      <family val="2"/>
      <scheme val="minor"/>
    </font>
    <font>
      <sz val="12"/>
      <color rgb="FFFF0000"/>
      <name val="Calibri"/>
      <family val="2"/>
      <scheme val="minor"/>
    </font>
    <font>
      <sz val="12"/>
      <color rgb="FF00B050"/>
      <name val="Calibri"/>
      <family val="2"/>
      <scheme val="minor"/>
    </font>
    <font>
      <sz val="14"/>
      <color rgb="FF00B050"/>
      <name val="Calibri"/>
      <family val="2"/>
      <scheme val="minor"/>
    </font>
    <font>
      <sz val="10"/>
      <color indexed="81"/>
      <name val="Calibri"/>
      <family val="2"/>
    </font>
    <font>
      <b/>
      <sz val="10"/>
      <color indexed="81"/>
      <name val="Calibri"/>
      <family val="2"/>
    </font>
    <font>
      <sz val="8"/>
      <name val="Calibri"/>
      <family val="2"/>
      <scheme val="minor"/>
    </font>
    <font>
      <sz val="30"/>
      <color rgb="FF00B050"/>
      <name val="Calibri"/>
      <family val="2"/>
      <scheme val="minor"/>
    </font>
    <font>
      <sz val="30"/>
      <color rgb="FFFF0000"/>
      <name val="Calibri"/>
      <family val="2"/>
      <scheme val="minor"/>
    </font>
    <font>
      <b/>
      <sz val="14"/>
      <color rgb="FFFF0000"/>
      <name val="Calibri"/>
      <family val="2"/>
      <scheme val="minor"/>
    </font>
    <font>
      <b/>
      <sz val="14"/>
      <color rgb="FF000000"/>
      <name val="Calibri"/>
      <family val="2"/>
      <scheme val="minor"/>
    </font>
    <font>
      <b/>
      <sz val="16"/>
      <color rgb="FF000000"/>
      <name val="Calibri"/>
      <family val="2"/>
      <scheme val="minor"/>
    </font>
    <font>
      <sz val="16"/>
      <color rgb="FF000000"/>
      <name val="Calibri"/>
      <family val="2"/>
      <scheme val="minor"/>
    </font>
    <font>
      <sz val="28"/>
      <color rgb="FF00B050"/>
      <name val="Calibri"/>
      <family val="2"/>
      <scheme val="minor"/>
    </font>
    <font>
      <sz val="28"/>
      <color theme="1"/>
      <name val="Calibri"/>
      <family val="2"/>
      <scheme val="minor"/>
    </font>
    <font>
      <b/>
      <sz val="12"/>
      <color rgb="FF00B050"/>
      <name val="Calibri"/>
      <family val="2"/>
      <scheme val="minor"/>
    </font>
    <font>
      <i/>
      <sz val="30"/>
      <color rgb="FF00B050"/>
      <name val="Calibri"/>
      <family val="2"/>
      <scheme val="minor"/>
    </font>
    <font>
      <b/>
      <sz val="30"/>
      <color rgb="FF00B050"/>
      <name val="Calibri"/>
      <family val="2"/>
      <scheme val="minor"/>
    </font>
    <font>
      <b/>
      <sz val="30"/>
      <color rgb="FFFF0000"/>
      <name val="Calibri"/>
      <family val="2"/>
      <scheme val="minor"/>
    </font>
    <font>
      <b/>
      <sz val="30"/>
      <color theme="1"/>
      <name val="Calibri"/>
      <family val="2"/>
      <scheme val="minor"/>
    </font>
    <font>
      <b/>
      <i/>
      <sz val="30"/>
      <color rgb="FF00B050"/>
      <name val="Calibri"/>
      <family val="2"/>
      <scheme val="minor"/>
    </font>
    <font>
      <b/>
      <sz val="20"/>
      <color theme="1"/>
      <name val="Calibri"/>
      <family val="2"/>
      <scheme val="minor"/>
    </font>
    <font>
      <b/>
      <sz val="28"/>
      <color rgb="FFFF0000"/>
      <name val="Calibri"/>
      <family val="2"/>
      <scheme val="minor"/>
    </font>
    <font>
      <sz val="30"/>
      <color theme="4"/>
      <name val="Calibri"/>
      <family val="2"/>
      <scheme val="minor"/>
    </font>
    <font>
      <sz val="12"/>
      <color theme="4"/>
      <name val="Calibri"/>
      <family val="2"/>
      <scheme val="minor"/>
    </font>
    <font>
      <sz val="40"/>
      <color theme="1"/>
      <name val="Calibri"/>
      <family val="2"/>
      <scheme val="minor"/>
    </font>
    <font>
      <sz val="12"/>
      <color theme="0"/>
      <name val="Calibri"/>
      <family val="2"/>
      <scheme val="minor"/>
    </font>
    <font>
      <b/>
      <sz val="22"/>
      <color theme="1"/>
      <name val="Calibri"/>
      <family val="2"/>
      <scheme val="minor"/>
    </font>
    <font>
      <b/>
      <sz val="20"/>
      <color theme="0"/>
      <name val="Calibri"/>
      <family val="2"/>
      <scheme val="minor"/>
    </font>
    <font>
      <sz val="16"/>
      <color theme="0"/>
      <name val="Calibri"/>
      <family val="2"/>
      <scheme val="minor"/>
    </font>
    <font>
      <sz val="20"/>
      <color theme="0"/>
      <name val="Calibri"/>
      <family val="2"/>
      <scheme val="minor"/>
    </font>
    <font>
      <sz val="24"/>
      <color theme="0"/>
      <name val="Abadi MT Condensed Light"/>
      <family val="2"/>
    </font>
    <font>
      <u/>
      <sz val="24"/>
      <color theme="0"/>
      <name val="Abadi MT Condensed Light"/>
      <family val="2"/>
    </font>
    <font>
      <sz val="24"/>
      <color rgb="FFFFFFFF"/>
      <name val="Abadi MT Condensed Light"/>
      <family val="2"/>
    </font>
    <font>
      <b/>
      <sz val="20"/>
      <color rgb="FF00B050"/>
      <name val="Calibri"/>
      <family val="2"/>
      <scheme val="minor"/>
    </font>
    <font>
      <b/>
      <sz val="22"/>
      <color theme="1"/>
      <name val="Calibri (Body)"/>
    </font>
    <font>
      <b/>
      <sz val="20"/>
      <color rgb="FFFF0000"/>
      <name val="Calibri"/>
      <family val="2"/>
      <scheme val="minor"/>
    </font>
    <font>
      <b/>
      <sz val="15"/>
      <color theme="1"/>
      <name val="Calibri (Body)"/>
    </font>
    <font>
      <b/>
      <sz val="15"/>
      <color rgb="FFFF0000"/>
      <name val="Calibri"/>
      <family val="2"/>
      <scheme val="minor"/>
    </font>
    <font>
      <b/>
      <sz val="15"/>
      <color rgb="FF00B050"/>
      <name val="Calibri"/>
      <family val="2"/>
      <scheme val="minor"/>
    </font>
    <font>
      <b/>
      <sz val="22"/>
      <color rgb="FFFF0000"/>
      <name val="Calibri"/>
      <family val="2"/>
      <scheme val="minor"/>
    </font>
    <font>
      <b/>
      <sz val="22"/>
      <color rgb="FF00B050"/>
      <name val="Calibri"/>
      <family val="2"/>
      <scheme val="minor"/>
    </font>
    <font>
      <b/>
      <sz val="14"/>
      <color rgb="FF00B0F0"/>
      <name val="Calibri"/>
      <family val="2"/>
      <scheme val="minor"/>
    </font>
    <font>
      <b/>
      <sz val="14"/>
      <color rgb="FF00B050"/>
      <name val="Calibri"/>
      <family val="2"/>
      <scheme val="minor"/>
    </font>
    <font>
      <b/>
      <sz val="14"/>
      <name val="Calibri"/>
      <family val="2"/>
      <scheme val="minor"/>
    </font>
    <font>
      <b/>
      <sz val="18"/>
      <color rgb="FF000000"/>
      <name val="Calibri"/>
      <family val="2"/>
      <scheme val="minor"/>
    </font>
    <font>
      <b/>
      <sz val="16"/>
      <color theme="0"/>
      <name val="Calibri"/>
      <family val="2"/>
      <scheme val="minor"/>
    </font>
    <font>
      <b/>
      <sz val="14"/>
      <color theme="0"/>
      <name val="Calibri"/>
      <family val="2"/>
      <scheme val="minor"/>
    </font>
  </fonts>
  <fills count="21">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rgb="FFFF0000"/>
        <bgColor indexed="64"/>
      </patternFill>
    </fill>
    <fill>
      <patternFill patternType="solid">
        <fgColor rgb="FF00B050"/>
        <bgColor indexed="64"/>
      </patternFill>
    </fill>
    <fill>
      <patternFill patternType="solid">
        <fgColor theme="2"/>
        <bgColor indexed="64"/>
      </patternFill>
    </fill>
    <fill>
      <patternFill patternType="solid">
        <fgColor theme="2" tint="-0.249977111117893"/>
        <bgColor indexed="64"/>
      </patternFill>
    </fill>
    <fill>
      <patternFill patternType="solid">
        <fgColor theme="1"/>
        <bgColor indexed="64"/>
      </patternFill>
    </fill>
    <fill>
      <patternFill patternType="solid">
        <fgColor rgb="FFC4BD97"/>
        <bgColor rgb="FF000000"/>
      </patternFill>
    </fill>
    <fill>
      <patternFill patternType="solid">
        <fgColor theme="8" tint="0.79998168889431442"/>
        <bgColor indexed="64"/>
      </patternFill>
    </fill>
    <fill>
      <patternFill patternType="solid">
        <fgColor theme="3" tint="0.79998168889431442"/>
        <bgColor indexed="64"/>
      </patternFill>
    </fill>
    <fill>
      <patternFill patternType="solid">
        <fgColor theme="2" tint="-0.249977111117893"/>
        <bgColor rgb="FF000000"/>
      </patternFill>
    </fill>
    <fill>
      <patternFill patternType="solid">
        <fgColor rgb="FF000000"/>
        <bgColor rgb="FF000000"/>
      </patternFill>
    </fill>
    <fill>
      <patternFill patternType="solid">
        <fgColor theme="9" tint="0.39997558519241921"/>
        <bgColor indexed="64"/>
      </patternFill>
    </fill>
    <fill>
      <patternFill patternType="solid">
        <fgColor theme="5" tint="0.7999816888943144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s>
  <cellStyleXfs count="16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26">
    <xf numFmtId="0" fontId="0" fillId="0" borderId="0" xfId="0"/>
    <xf numFmtId="0" fontId="1" fillId="0" borderId="0" xfId="0" applyFont="1"/>
    <xf numFmtId="0" fontId="4" fillId="2" borderId="1" xfId="0" applyFont="1" applyFill="1" applyBorder="1" applyAlignment="1">
      <alignment horizontal="center"/>
    </xf>
    <xf numFmtId="0" fontId="0" fillId="0" borderId="1" xfId="0" applyBorder="1"/>
    <xf numFmtId="0" fontId="0" fillId="3" borderId="1" xfId="0" applyFill="1" applyBorder="1"/>
    <xf numFmtId="0" fontId="0" fillId="0" borderId="0" xfId="0" applyBorder="1"/>
    <xf numFmtId="0" fontId="6" fillId="0" borderId="0" xfId="0" applyFont="1"/>
    <xf numFmtId="0" fontId="6" fillId="0" borderId="1" xfId="0" applyFont="1" applyBorder="1"/>
    <xf numFmtId="0" fontId="7" fillId="0" borderId="1" xfId="0" applyFont="1" applyBorder="1"/>
    <xf numFmtId="0" fontId="8" fillId="0" borderId="1" xfId="0" applyFont="1" applyBorder="1"/>
    <xf numFmtId="3" fontId="6" fillId="0" borderId="1" xfId="0" applyNumberFormat="1" applyFont="1" applyBorder="1"/>
    <xf numFmtId="0" fontId="6" fillId="0" borderId="1" xfId="0" applyFont="1" applyFill="1" applyBorder="1"/>
    <xf numFmtId="164" fontId="4" fillId="0" borderId="1" xfId="0" applyNumberFormat="1" applyFont="1" applyFill="1" applyBorder="1" applyAlignment="1">
      <alignment horizontal="center"/>
    </xf>
    <xf numFmtId="0" fontId="1" fillId="0" borderId="0" xfId="0" applyFont="1" applyAlignment="1">
      <alignment vertical="top"/>
    </xf>
    <xf numFmtId="2" fontId="0" fillId="0" borderId="0" xfId="0" applyNumberFormat="1"/>
    <xf numFmtId="2" fontId="4" fillId="0" borderId="1" xfId="0" applyNumberFormat="1" applyFont="1" applyFill="1" applyBorder="1" applyAlignment="1">
      <alignment horizontal="center"/>
    </xf>
    <xf numFmtId="2" fontId="4" fillId="2" borderId="1" xfId="0" applyNumberFormat="1" applyFont="1" applyFill="1" applyBorder="1" applyAlignment="1">
      <alignment horizontal="center"/>
    </xf>
    <xf numFmtId="0" fontId="6" fillId="0" borderId="2" xfId="0" applyFont="1" applyFill="1" applyBorder="1"/>
    <xf numFmtId="17" fontId="0" fillId="0" borderId="0" xfId="0" applyNumberFormat="1"/>
    <xf numFmtId="17" fontId="0" fillId="0" borderId="1" xfId="0" applyNumberFormat="1" applyBorder="1"/>
    <xf numFmtId="20" fontId="0" fillId="0" borderId="1" xfId="0" applyNumberFormat="1" applyBorder="1"/>
    <xf numFmtId="2" fontId="0" fillId="0" borderId="1" xfId="0" applyNumberFormat="1" applyBorder="1"/>
    <xf numFmtId="0" fontId="5" fillId="0" borderId="1" xfId="0" applyFont="1" applyBorder="1"/>
    <xf numFmtId="0" fontId="5" fillId="0" borderId="1" xfId="0" applyFont="1" applyFill="1" applyBorder="1"/>
    <xf numFmtId="20" fontId="0" fillId="7" borderId="1" xfId="0" applyNumberFormat="1" applyFill="1" applyBorder="1"/>
    <xf numFmtId="20" fontId="0" fillId="8" borderId="1" xfId="0" applyNumberFormat="1" applyFill="1" applyBorder="1"/>
    <xf numFmtId="45" fontId="0" fillId="9" borderId="1" xfId="0" applyNumberFormat="1" applyFill="1" applyBorder="1"/>
    <xf numFmtId="45" fontId="0" fillId="3" borderId="1" xfId="0" applyNumberFormat="1" applyFill="1" applyBorder="1"/>
    <xf numFmtId="0" fontId="0" fillId="9" borderId="1" xfId="0" applyFill="1" applyBorder="1"/>
    <xf numFmtId="0" fontId="0" fillId="7" borderId="1" xfId="0" applyFill="1" applyBorder="1"/>
    <xf numFmtId="165" fontId="0" fillId="0" borderId="0" xfId="0" applyNumberFormat="1"/>
    <xf numFmtId="0" fontId="0" fillId="0" borderId="1" xfId="0" applyBorder="1" applyAlignment="1">
      <alignment horizontal="center"/>
    </xf>
    <xf numFmtId="165" fontId="0" fillId="0" borderId="1" xfId="0" applyNumberFormat="1" applyBorder="1" applyAlignment="1">
      <alignment horizontal="center"/>
    </xf>
    <xf numFmtId="17" fontId="0" fillId="0" borderId="1" xfId="0" applyNumberFormat="1" applyBorder="1" applyAlignment="1">
      <alignment horizontal="center"/>
    </xf>
    <xf numFmtId="165" fontId="14" fillId="0" borderId="1" xfId="0" applyNumberFormat="1" applyFont="1" applyBorder="1" applyAlignment="1">
      <alignment horizontal="center"/>
    </xf>
    <xf numFmtId="4" fontId="0" fillId="0" borderId="0" xfId="0" applyNumberFormat="1"/>
    <xf numFmtId="4" fontId="0" fillId="0" borderId="1" xfId="0" applyNumberFormat="1" applyBorder="1" applyAlignment="1">
      <alignment horizontal="center"/>
    </xf>
    <xf numFmtId="2" fontId="0" fillId="0" borderId="1" xfId="0" applyNumberFormat="1" applyBorder="1" applyAlignment="1">
      <alignment horizontal="center"/>
    </xf>
    <xf numFmtId="2" fontId="15" fillId="0" borderId="1" xfId="0" applyNumberFormat="1" applyFont="1" applyBorder="1" applyAlignment="1">
      <alignment horizontal="center"/>
    </xf>
    <xf numFmtId="165" fontId="15" fillId="0" borderId="1" xfId="0" applyNumberFormat="1" applyFont="1" applyBorder="1" applyAlignment="1">
      <alignment horizontal="center"/>
    </xf>
    <xf numFmtId="0" fontId="0" fillId="10" borderId="1" xfId="0" applyFill="1" applyBorder="1"/>
    <xf numFmtId="20" fontId="0" fillId="10" borderId="1" xfId="0" applyNumberFormat="1" applyFill="1" applyBorder="1"/>
    <xf numFmtId="2" fontId="5" fillId="0" borderId="1" xfId="0" applyNumberFormat="1" applyFont="1" applyFill="1" applyBorder="1"/>
    <xf numFmtId="2" fontId="5" fillId="0" borderId="1" xfId="0" applyNumberFormat="1" applyFont="1" applyBorder="1"/>
    <xf numFmtId="3" fontId="0" fillId="0" borderId="1" xfId="0" applyNumberFormat="1" applyBorder="1"/>
    <xf numFmtId="165" fontId="0" fillId="0" borderId="1" xfId="0" applyNumberFormat="1" applyFill="1" applyBorder="1" applyAlignment="1">
      <alignment horizontal="center"/>
    </xf>
    <xf numFmtId="2" fontId="0" fillId="0" borderId="4" xfId="0" applyNumberFormat="1" applyBorder="1"/>
    <xf numFmtId="0" fontId="0" fillId="0" borderId="1" xfId="0" applyFont="1" applyBorder="1" applyAlignment="1">
      <alignment horizontal="center"/>
    </xf>
    <xf numFmtId="164" fontId="15" fillId="0" borderId="1" xfId="0" applyNumberFormat="1" applyFont="1" applyBorder="1" applyAlignment="1">
      <alignment horizontal="center"/>
    </xf>
    <xf numFmtId="20" fontId="0" fillId="9" borderId="1" xfId="0" applyNumberFormat="1" applyFill="1" applyBorder="1"/>
    <xf numFmtId="2" fontId="14" fillId="0" borderId="1" xfId="0" applyNumberFormat="1" applyFont="1" applyBorder="1" applyAlignment="1">
      <alignment horizontal="center"/>
    </xf>
    <xf numFmtId="165" fontId="0" fillId="0" borderId="1" xfId="0" applyNumberFormat="1" applyFont="1" applyBorder="1" applyAlignment="1">
      <alignment horizontal="center"/>
    </xf>
    <xf numFmtId="0" fontId="0" fillId="0" borderId="5" xfId="0" applyFill="1" applyBorder="1" applyAlignment="1">
      <alignment horizontal="center"/>
    </xf>
    <xf numFmtId="4" fontId="0" fillId="0" borderId="1" xfId="0" applyNumberFormat="1" applyFill="1" applyBorder="1" applyAlignment="1">
      <alignment horizontal="center"/>
    </xf>
    <xf numFmtId="0" fontId="0" fillId="0" borderId="1" xfId="0" applyFill="1" applyBorder="1" applyAlignment="1">
      <alignment horizontal="center"/>
    </xf>
    <xf numFmtId="17" fontId="0" fillId="0" borderId="6" xfId="0" applyNumberFormat="1" applyBorder="1" applyAlignment="1">
      <alignment horizontal="center"/>
    </xf>
    <xf numFmtId="2" fontId="14" fillId="0" borderId="1" xfId="0" applyNumberFormat="1" applyFont="1" applyFill="1" applyBorder="1" applyAlignment="1">
      <alignment horizontal="center"/>
    </xf>
    <xf numFmtId="17" fontId="0" fillId="0" borderId="1" xfId="0" applyNumberFormat="1" applyBorder="1" applyAlignment="1">
      <alignment horizontal="center" vertical="center"/>
    </xf>
    <xf numFmtId="0" fontId="0" fillId="0" borderId="1" xfId="0" applyBorder="1" applyAlignment="1">
      <alignment horizontal="center" vertical="center"/>
    </xf>
    <xf numFmtId="4" fontId="0" fillId="0" borderId="1" xfId="0" applyNumberFormat="1" applyBorder="1" applyAlignment="1">
      <alignment horizontal="center" vertical="center"/>
    </xf>
    <xf numFmtId="165" fontId="0" fillId="0" borderId="1" xfId="0" applyNumberFormat="1" applyBorder="1" applyAlignment="1">
      <alignment horizontal="center" vertical="center"/>
    </xf>
    <xf numFmtId="0" fontId="0" fillId="0" borderId="1" xfId="0" applyFill="1" applyBorder="1" applyAlignment="1">
      <alignment horizontal="center" vertical="center"/>
    </xf>
    <xf numFmtId="2" fontId="15" fillId="0" borderId="1" xfId="0" applyNumberFormat="1" applyFont="1" applyFill="1" applyBorder="1" applyAlignment="1">
      <alignment horizontal="center"/>
    </xf>
    <xf numFmtId="17" fontId="0" fillId="0" borderId="1" xfId="0" applyNumberFormat="1" applyFill="1" applyBorder="1" applyAlignment="1">
      <alignment horizontal="center"/>
    </xf>
    <xf numFmtId="17" fontId="0" fillId="0" borderId="4" xfId="0" applyNumberFormat="1" applyBorder="1" applyAlignment="1">
      <alignment horizontal="center" vertical="center"/>
    </xf>
    <xf numFmtId="165" fontId="0" fillId="0" borderId="1" xfId="0" applyNumberFormat="1" applyBorder="1"/>
    <xf numFmtId="0" fontId="4" fillId="6" borderId="1" xfId="0" applyFont="1" applyFill="1" applyBorder="1" applyAlignment="1">
      <alignment horizontal="center"/>
    </xf>
    <xf numFmtId="4" fontId="6" fillId="0" borderId="0" xfId="0" applyNumberFormat="1" applyFont="1"/>
    <xf numFmtId="2" fontId="6" fillId="0" borderId="0" xfId="0" applyNumberFormat="1" applyFont="1"/>
    <xf numFmtId="165" fontId="6" fillId="0" borderId="0" xfId="0" applyNumberFormat="1" applyFont="1"/>
    <xf numFmtId="0" fontId="11" fillId="0" borderId="0" xfId="0" applyFont="1"/>
    <xf numFmtId="1" fontId="4" fillId="0" borderId="1" xfId="0" applyNumberFormat="1" applyFont="1" applyFill="1" applyBorder="1" applyAlignment="1">
      <alignment horizontal="center"/>
    </xf>
    <xf numFmtId="2" fontId="15" fillId="0" borderId="1" xfId="0" applyNumberFormat="1" applyFont="1" applyBorder="1" applyAlignment="1">
      <alignment horizontal="center" vertical="center"/>
    </xf>
    <xf numFmtId="165" fontId="15" fillId="0" borderId="1" xfId="0" applyNumberFormat="1" applyFont="1" applyBorder="1" applyAlignment="1">
      <alignment horizontal="center" vertical="center"/>
    </xf>
    <xf numFmtId="2" fontId="15" fillId="0" borderId="0" xfId="0" applyNumberFormat="1" applyFont="1"/>
    <xf numFmtId="0" fontId="0" fillId="0" borderId="0" xfId="0" applyAlignment="1">
      <alignment horizontal="center"/>
    </xf>
    <xf numFmtId="2" fontId="14" fillId="0" borderId="1" xfId="0" applyNumberFormat="1" applyFont="1" applyBorder="1" applyAlignment="1">
      <alignment horizontal="center" vertical="center"/>
    </xf>
    <xf numFmtId="0" fontId="0" fillId="0" borderId="6" xfId="0" applyBorder="1" applyAlignment="1">
      <alignment horizontal="center"/>
    </xf>
    <xf numFmtId="2" fontId="15" fillId="0" borderId="6" xfId="0" applyNumberFormat="1" applyFont="1" applyBorder="1" applyAlignment="1">
      <alignment horizontal="center"/>
    </xf>
    <xf numFmtId="2" fontId="14" fillId="0" borderId="6" xfId="0" applyNumberFormat="1" applyFont="1" applyBorder="1" applyAlignment="1">
      <alignment horizontal="center"/>
    </xf>
    <xf numFmtId="2" fontId="0" fillId="0" borderId="0" xfId="0" applyNumberFormat="1" applyBorder="1" applyAlignment="1">
      <alignment horizontal="center"/>
    </xf>
    <xf numFmtId="0" fontId="0" fillId="0" borderId="0" xfId="0" applyBorder="1" applyAlignment="1">
      <alignment horizontal="center"/>
    </xf>
    <xf numFmtId="0" fontId="0" fillId="0" borderId="4" xfId="0" applyBorder="1" applyAlignment="1">
      <alignment horizontal="center" vertical="center"/>
    </xf>
    <xf numFmtId="0" fontId="0" fillId="0" borderId="6" xfId="0" applyBorder="1"/>
    <xf numFmtId="4" fontId="0" fillId="0" borderId="0" xfId="0" applyNumberFormat="1" applyBorder="1" applyAlignment="1">
      <alignment horizontal="center"/>
    </xf>
    <xf numFmtId="165" fontId="15" fillId="0" borderId="0" xfId="0" applyNumberFormat="1" applyFont="1" applyBorder="1" applyAlignment="1">
      <alignment horizontal="center"/>
    </xf>
    <xf numFmtId="165" fontId="0" fillId="0" borderId="0" xfId="0" applyNumberFormat="1" applyBorder="1" applyAlignment="1">
      <alignment horizontal="center"/>
    </xf>
    <xf numFmtId="0" fontId="0" fillId="0" borderId="4" xfId="0" applyBorder="1" applyAlignment="1">
      <alignment horizontal="center"/>
    </xf>
    <xf numFmtId="0" fontId="5" fillId="0" borderId="0" xfId="0" applyFont="1"/>
    <xf numFmtId="4" fontId="0" fillId="0" borderId="1" xfId="0" applyNumberFormat="1" applyBorder="1"/>
    <xf numFmtId="0" fontId="4" fillId="0" borderId="1" xfId="0" applyFont="1" applyBorder="1"/>
    <xf numFmtId="1" fontId="0" fillId="0" borderId="0" xfId="0" applyNumberFormat="1"/>
    <xf numFmtId="3" fontId="0" fillId="0" borderId="0" xfId="0" applyNumberFormat="1"/>
    <xf numFmtId="2" fontId="15" fillId="0" borderId="4" xfId="0" applyNumberFormat="1" applyFont="1" applyBorder="1" applyAlignment="1">
      <alignment horizontal="center" vertical="center"/>
    </xf>
    <xf numFmtId="165" fontId="0" fillId="0" borderId="0" xfId="0" applyNumberFormat="1" applyAlignment="1">
      <alignment horizontal="center"/>
    </xf>
    <xf numFmtId="165" fontId="6" fillId="0" borderId="0" xfId="0" applyNumberFormat="1" applyFont="1" applyAlignment="1">
      <alignment horizontal="center"/>
    </xf>
    <xf numFmtId="164" fontId="15" fillId="0" borderId="0" xfId="0" applyNumberFormat="1" applyFont="1"/>
    <xf numFmtId="164" fontId="15" fillId="0" borderId="1" xfId="0" applyNumberFormat="1" applyFont="1" applyBorder="1" applyAlignment="1">
      <alignment horizontal="center" vertical="center"/>
    </xf>
    <xf numFmtId="164" fontId="15" fillId="0" borderId="1" xfId="0" applyNumberFormat="1" applyFont="1" applyBorder="1"/>
    <xf numFmtId="164" fontId="15" fillId="0" borderId="0" xfId="0" applyNumberFormat="1" applyFont="1" applyBorder="1" applyAlignment="1">
      <alignment horizontal="center"/>
    </xf>
    <xf numFmtId="164" fontId="16" fillId="0" borderId="0" xfId="0" applyNumberFormat="1" applyFont="1"/>
    <xf numFmtId="165" fontId="14" fillId="0" borderId="0" xfId="0" applyNumberFormat="1" applyFont="1"/>
    <xf numFmtId="165" fontId="14" fillId="0" borderId="1" xfId="0" applyNumberFormat="1" applyFont="1" applyBorder="1" applyAlignment="1">
      <alignment horizontal="center" vertical="center"/>
    </xf>
    <xf numFmtId="165" fontId="14" fillId="0" borderId="1" xfId="0" applyNumberFormat="1" applyFont="1" applyBorder="1"/>
    <xf numFmtId="165" fontId="14" fillId="0" borderId="0" xfId="0" applyNumberFormat="1" applyFont="1" applyBorder="1" applyAlignment="1">
      <alignment horizontal="center"/>
    </xf>
    <xf numFmtId="165" fontId="7" fillId="0" borderId="0" xfId="0" applyNumberFormat="1" applyFont="1"/>
    <xf numFmtId="17" fontId="0" fillId="0" borderId="7" xfId="0" applyNumberFormat="1" applyBorder="1" applyAlignment="1">
      <alignment horizontal="center"/>
    </xf>
    <xf numFmtId="165" fontId="0" fillId="0" borderId="4" xfId="0" applyNumberFormat="1" applyBorder="1" applyAlignment="1">
      <alignment horizontal="center"/>
    </xf>
    <xf numFmtId="2" fontId="15" fillId="0" borderId="1" xfId="0" applyNumberFormat="1" applyFont="1" applyBorder="1"/>
    <xf numFmtId="2" fontId="6" fillId="0" borderId="1" xfId="0" applyNumberFormat="1" applyFont="1" applyBorder="1"/>
    <xf numFmtId="2" fontId="16" fillId="0" borderId="1" xfId="0" applyNumberFormat="1" applyFont="1" applyBorder="1"/>
    <xf numFmtId="0" fontId="6" fillId="0" borderId="1" xfId="0" applyFont="1" applyBorder="1" applyAlignment="1">
      <alignment horizontal="center"/>
    </xf>
    <xf numFmtId="0" fontId="12" fillId="0" borderId="1" xfId="0" applyFont="1" applyFill="1" applyBorder="1" applyAlignment="1">
      <alignment horizontal="center"/>
    </xf>
    <xf numFmtId="0" fontId="21" fillId="0" borderId="1" xfId="0" applyFont="1" applyBorder="1"/>
    <xf numFmtId="0" fontId="1" fillId="0" borderId="1" xfId="0" applyFont="1" applyBorder="1"/>
    <xf numFmtId="0" fontId="20" fillId="0" borderId="1" xfId="0" applyFont="1" applyBorder="1"/>
    <xf numFmtId="2" fontId="21" fillId="0" borderId="1" xfId="0" applyNumberFormat="1" applyFont="1" applyBorder="1"/>
    <xf numFmtId="2" fontId="20" fillId="0" borderId="1" xfId="0" applyNumberFormat="1" applyFont="1" applyBorder="1"/>
    <xf numFmtId="0" fontId="7" fillId="0" borderId="1" xfId="0" applyFont="1" applyFill="1" applyBorder="1"/>
    <xf numFmtId="17" fontId="10" fillId="0" borderId="1" xfId="0" applyNumberFormat="1" applyFont="1" applyBorder="1"/>
    <xf numFmtId="0" fontId="22" fillId="0" borderId="1" xfId="0" applyFont="1" applyFill="1" applyBorder="1"/>
    <xf numFmtId="0" fontId="6" fillId="0" borderId="0" xfId="0" applyFont="1" applyBorder="1"/>
    <xf numFmtId="0" fontId="12" fillId="12" borderId="1" xfId="0" applyFont="1" applyFill="1" applyBorder="1" applyAlignment="1">
      <alignment horizontal="center"/>
    </xf>
    <xf numFmtId="0" fontId="9" fillId="0" borderId="0" xfId="0" applyFont="1"/>
    <xf numFmtId="0" fontId="9" fillId="0" borderId="1" xfId="0" applyFont="1" applyBorder="1" applyAlignment="1">
      <alignment horizontal="center"/>
    </xf>
    <xf numFmtId="3" fontId="7" fillId="0" borderId="1" xfId="0" applyNumberFormat="1" applyFont="1" applyBorder="1"/>
    <xf numFmtId="3" fontId="16" fillId="0" borderId="1" xfId="0" applyNumberFormat="1" applyFont="1" applyBorder="1"/>
    <xf numFmtId="0" fontId="5" fillId="0" borderId="0" xfId="0" applyFont="1" applyAlignment="1">
      <alignment horizontal="center"/>
    </xf>
    <xf numFmtId="0" fontId="16" fillId="0" borderId="1" xfId="0" applyFont="1" applyFill="1" applyBorder="1"/>
    <xf numFmtId="0" fontId="24" fillId="14" borderId="1" xfId="0" applyFont="1" applyFill="1" applyBorder="1" applyAlignment="1">
      <alignment horizontal="center"/>
    </xf>
    <xf numFmtId="0" fontId="25" fillId="0" borderId="0" xfId="0" applyFont="1" applyAlignment="1">
      <alignment horizontal="center"/>
    </xf>
    <xf numFmtId="2" fontId="9" fillId="0" borderId="1" xfId="0" applyNumberFormat="1" applyFont="1" applyBorder="1" applyAlignment="1">
      <alignment horizontal="center"/>
    </xf>
    <xf numFmtId="0" fontId="23" fillId="14" borderId="1" xfId="0" applyNumberFormat="1" applyFont="1" applyFill="1" applyBorder="1" applyAlignment="1">
      <alignment horizontal="center"/>
    </xf>
    <xf numFmtId="16" fontId="0" fillId="0" borderId="1" xfId="0" applyNumberFormat="1" applyBorder="1"/>
    <xf numFmtId="0" fontId="5" fillId="11" borderId="1" xfId="0" applyFont="1" applyFill="1" applyBorder="1"/>
    <xf numFmtId="0" fontId="26" fillId="0" borderId="1" xfId="0" applyFont="1" applyBorder="1"/>
    <xf numFmtId="3" fontId="21" fillId="0" borderId="1" xfId="0" applyNumberFormat="1" applyFont="1" applyBorder="1"/>
    <xf numFmtId="3" fontId="9" fillId="0" borderId="1" xfId="0" applyNumberFormat="1" applyFont="1" applyBorder="1" applyAlignment="1">
      <alignment horizontal="center"/>
    </xf>
    <xf numFmtId="0" fontId="9" fillId="0" borderId="1" xfId="0" applyFont="1" applyFill="1" applyBorder="1" applyAlignment="1">
      <alignment horizontal="center"/>
    </xf>
    <xf numFmtId="0" fontId="24" fillId="12" borderId="1" xfId="0" applyFont="1" applyFill="1" applyBorder="1" applyAlignment="1">
      <alignment horizontal="center"/>
    </xf>
    <xf numFmtId="0" fontId="0" fillId="3" borderId="0" xfId="0" applyFill="1"/>
    <xf numFmtId="0" fontId="0" fillId="0" borderId="0" xfId="0" applyFill="1"/>
    <xf numFmtId="0" fontId="25" fillId="0" borderId="0" xfId="0" applyFont="1" applyAlignment="1">
      <alignment horizontal="left"/>
    </xf>
    <xf numFmtId="16" fontId="9" fillId="0" borderId="1" xfId="0" applyNumberFormat="1" applyFont="1" applyFill="1" applyBorder="1" applyAlignment="1">
      <alignment horizontal="center"/>
    </xf>
    <xf numFmtId="2" fontId="9" fillId="0" borderId="1" xfId="0" applyNumberFormat="1" applyFont="1" applyFill="1" applyBorder="1" applyAlignment="1">
      <alignment horizontal="center"/>
    </xf>
    <xf numFmtId="0" fontId="0" fillId="0" borderId="1" xfId="0" applyFill="1" applyBorder="1"/>
    <xf numFmtId="4" fontId="9" fillId="0" borderId="1" xfId="0" applyNumberFormat="1" applyFont="1" applyBorder="1" applyAlignment="1">
      <alignment horizontal="center"/>
    </xf>
    <xf numFmtId="16" fontId="15" fillId="0" borderId="1" xfId="0" applyNumberFormat="1" applyFont="1" applyBorder="1"/>
    <xf numFmtId="0" fontId="15" fillId="0" borderId="1" xfId="0" applyFont="1" applyBorder="1"/>
    <xf numFmtId="0" fontId="0" fillId="0" borderId="1" xfId="0" applyNumberFormat="1" applyBorder="1"/>
    <xf numFmtId="0" fontId="0" fillId="0" borderId="0" xfId="0" applyNumberFormat="1"/>
    <xf numFmtId="16" fontId="0" fillId="11" borderId="1" xfId="0" applyNumberFormat="1" applyFill="1" applyBorder="1"/>
    <xf numFmtId="0" fontId="21" fillId="11" borderId="1" xfId="0" applyFont="1" applyFill="1" applyBorder="1"/>
    <xf numFmtId="0" fontId="20" fillId="11" borderId="1" xfId="0" applyFont="1" applyFill="1" applyBorder="1"/>
    <xf numFmtId="3" fontId="20" fillId="0" borderId="1" xfId="0" applyNumberFormat="1" applyFont="1" applyBorder="1"/>
    <xf numFmtId="0" fontId="27" fillId="0" borderId="1" xfId="0" applyFont="1" applyBorder="1"/>
    <xf numFmtId="16" fontId="0" fillId="12" borderId="1" xfId="0" applyNumberFormat="1" applyFill="1" applyBorder="1"/>
    <xf numFmtId="0" fontId="21" fillId="12" borderId="1" xfId="0" applyFont="1" applyFill="1" applyBorder="1"/>
    <xf numFmtId="0" fontId="20" fillId="12" borderId="1" xfId="0" applyFont="1" applyFill="1" applyBorder="1"/>
    <xf numFmtId="0" fontId="0" fillId="12" borderId="0" xfId="0" applyFill="1"/>
    <xf numFmtId="10" fontId="8" fillId="0" borderId="1" xfId="0" applyNumberFormat="1" applyFont="1" applyFill="1" applyBorder="1"/>
    <xf numFmtId="10" fontId="16" fillId="0" borderId="1" xfId="0" applyNumberFormat="1" applyFont="1" applyFill="1" applyBorder="1"/>
    <xf numFmtId="16" fontId="0" fillId="0" borderId="1" xfId="0" applyNumberFormat="1" applyFill="1" applyBorder="1"/>
    <xf numFmtId="0" fontId="21" fillId="0" borderId="1" xfId="0" applyFont="1" applyFill="1" applyBorder="1"/>
    <xf numFmtId="0" fontId="20" fillId="0" borderId="1" xfId="0" applyFont="1" applyFill="1" applyBorder="1"/>
    <xf numFmtId="17" fontId="0" fillId="0" borderId="1" xfId="0" applyNumberFormat="1" applyFill="1" applyBorder="1"/>
    <xf numFmtId="0" fontId="0" fillId="9" borderId="0" xfId="0" applyFill="1"/>
    <xf numFmtId="0" fontId="29" fillId="0" borderId="1" xfId="0" applyFont="1" applyBorder="1"/>
    <xf numFmtId="0" fontId="14" fillId="0" borderId="1" xfId="0" applyNumberFormat="1" applyFont="1" applyBorder="1"/>
    <xf numFmtId="0" fontId="22" fillId="0" borderId="0" xfId="0" applyFont="1" applyFill="1" applyBorder="1"/>
    <xf numFmtId="17" fontId="10" fillId="0" borderId="0" xfId="0" applyNumberFormat="1" applyFont="1" applyBorder="1"/>
    <xf numFmtId="16" fontId="5" fillId="3" borderId="1" xfId="0" applyNumberFormat="1" applyFont="1" applyFill="1" applyBorder="1" applyAlignment="1">
      <alignment horizontal="center"/>
    </xf>
    <xf numFmtId="0" fontId="5" fillId="0" borderId="0" xfId="0" applyNumberFormat="1" applyFont="1" applyAlignment="1">
      <alignment horizontal="center"/>
    </xf>
    <xf numFmtId="0" fontId="30" fillId="0" borderId="1" xfId="0" applyFont="1" applyBorder="1" applyAlignment="1">
      <alignment horizontal="center" vertical="center"/>
    </xf>
    <xf numFmtId="3" fontId="31" fillId="0" borderId="1" xfId="0" applyNumberFormat="1" applyFont="1" applyBorder="1" applyAlignment="1">
      <alignment horizontal="center" vertical="center"/>
    </xf>
    <xf numFmtId="0" fontId="5" fillId="0" borderId="0" xfId="0" applyFont="1" applyFill="1" applyAlignment="1">
      <alignment horizontal="center" vertical="center"/>
    </xf>
    <xf numFmtId="0" fontId="5" fillId="0" borderId="0" xfId="0" applyFont="1" applyAlignment="1">
      <alignment horizontal="center" vertical="center"/>
    </xf>
    <xf numFmtId="16" fontId="5" fillId="3" borderId="1" xfId="0" applyNumberFormat="1" applyFont="1" applyFill="1" applyBorder="1" applyAlignment="1">
      <alignment horizontal="center" vertical="center"/>
    </xf>
    <xf numFmtId="0" fontId="5" fillId="0" borderId="0" xfId="0" applyNumberFormat="1" applyFont="1" applyAlignment="1">
      <alignment horizontal="center" vertical="center"/>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0" fontId="31" fillId="4" borderId="1" xfId="0" applyFont="1" applyFill="1" applyBorder="1" applyAlignment="1">
      <alignment horizontal="center"/>
    </xf>
    <xf numFmtId="0" fontId="30" fillId="4" borderId="1" xfId="0" applyFont="1" applyFill="1" applyBorder="1" applyAlignment="1">
      <alignment horizontal="center" vertical="center"/>
    </xf>
    <xf numFmtId="0" fontId="31" fillId="4" borderId="1" xfId="0" applyFont="1" applyFill="1" applyBorder="1" applyAlignment="1">
      <alignment horizontal="center" vertical="center"/>
    </xf>
    <xf numFmtId="0" fontId="30" fillId="4" borderId="1" xfId="0" applyFont="1" applyFill="1" applyBorder="1" applyAlignment="1">
      <alignment horizontal="center"/>
    </xf>
    <xf numFmtId="0" fontId="34" fillId="9" borderId="0" xfId="0" applyFont="1" applyFill="1" applyAlignment="1">
      <alignment horizontal="center" vertical="center"/>
    </xf>
    <xf numFmtId="1" fontId="30" fillId="4" borderId="1" xfId="0" applyNumberFormat="1" applyFont="1" applyFill="1" applyBorder="1" applyAlignment="1">
      <alignment horizontal="center" vertical="center"/>
    </xf>
    <xf numFmtId="1" fontId="32" fillId="4" borderId="1" xfId="0" applyNumberFormat="1" applyFont="1" applyFill="1" applyBorder="1" applyAlignment="1">
      <alignment horizontal="center" vertical="center"/>
    </xf>
    <xf numFmtId="0" fontId="35" fillId="0" borderId="1" xfId="0" applyFont="1" applyBorder="1" applyAlignment="1">
      <alignment horizontal="center" vertical="center"/>
    </xf>
    <xf numFmtId="1" fontId="31" fillId="4" borderId="1" xfId="0" applyNumberFormat="1" applyFont="1" applyFill="1" applyBorder="1" applyAlignment="1">
      <alignment horizontal="center" vertical="center"/>
    </xf>
    <xf numFmtId="1" fontId="31" fillId="4" borderId="1" xfId="0" applyNumberFormat="1" applyFont="1" applyFill="1" applyBorder="1" applyAlignment="1">
      <alignment horizontal="center"/>
    </xf>
    <xf numFmtId="2" fontId="12" fillId="12" borderId="1" xfId="0" applyNumberFormat="1" applyFont="1" applyFill="1" applyBorder="1" applyAlignment="1">
      <alignment horizontal="center"/>
    </xf>
    <xf numFmtId="0" fontId="24" fillId="14" borderId="4" xfId="0" applyFont="1" applyFill="1" applyBorder="1" applyAlignment="1">
      <alignment horizontal="center"/>
    </xf>
    <xf numFmtId="4" fontId="24" fillId="14" borderId="3" xfId="0" applyNumberFormat="1" applyFont="1" applyFill="1" applyBorder="1" applyAlignment="1">
      <alignment horizontal="center"/>
    </xf>
    <xf numFmtId="0" fontId="24" fillId="17" borderId="1" xfId="0" applyFont="1" applyFill="1" applyBorder="1" applyAlignment="1">
      <alignment horizontal="center"/>
    </xf>
    <xf numFmtId="0" fontId="0" fillId="16" borderId="0" xfId="0" applyFill="1"/>
    <xf numFmtId="3" fontId="0" fillId="0" borderId="0" xfId="0" applyNumberFormat="1" applyAlignment="1">
      <alignment horizontal="center"/>
    </xf>
    <xf numFmtId="0" fontId="37" fillId="13" borderId="0" xfId="0" applyFont="1" applyFill="1"/>
    <xf numFmtId="0" fontId="36" fillId="13" borderId="0" xfId="0" applyFont="1" applyFill="1" applyAlignment="1">
      <alignment horizontal="center"/>
    </xf>
    <xf numFmtId="0" fontId="37" fillId="13" borderId="0" xfId="0" applyFont="1" applyFill="1" applyAlignment="1">
      <alignment horizontal="center"/>
    </xf>
    <xf numFmtId="2" fontId="9" fillId="6" borderId="1" xfId="0" applyNumberFormat="1" applyFont="1" applyFill="1" applyBorder="1" applyAlignment="1">
      <alignment horizontal="center"/>
    </xf>
    <xf numFmtId="3" fontId="9" fillId="6" borderId="1" xfId="0" applyNumberFormat="1" applyFont="1" applyFill="1" applyBorder="1" applyAlignment="1">
      <alignment horizontal="center"/>
    </xf>
    <xf numFmtId="3" fontId="9" fillId="16" borderId="1" xfId="0" applyNumberFormat="1" applyFont="1" applyFill="1" applyBorder="1" applyAlignment="1">
      <alignment horizontal="center"/>
    </xf>
    <xf numFmtId="10" fontId="16" fillId="0" borderId="0" xfId="0" applyNumberFormat="1" applyFont="1" applyFill="1" applyBorder="1"/>
    <xf numFmtId="3" fontId="6" fillId="0" borderId="0" xfId="0" applyNumberFormat="1" applyFont="1" applyBorder="1"/>
    <xf numFmtId="0" fontId="16" fillId="0" borderId="0" xfId="0" applyFont="1" applyFill="1" applyBorder="1"/>
    <xf numFmtId="0" fontId="30" fillId="0" borderId="0" xfId="0" applyFont="1" applyBorder="1" applyAlignment="1">
      <alignment horizontal="center" vertical="center"/>
    </xf>
    <xf numFmtId="3" fontId="31" fillId="0" borderId="0" xfId="0" applyNumberFormat="1" applyFont="1" applyBorder="1" applyAlignment="1">
      <alignment horizontal="center" vertical="center"/>
    </xf>
    <xf numFmtId="0" fontId="31" fillId="4" borderId="0" xfId="0" applyFont="1" applyFill="1" applyBorder="1" applyAlignment="1">
      <alignment horizontal="center" vertical="center"/>
    </xf>
    <xf numFmtId="0" fontId="38" fillId="3" borderId="0" xfId="0" applyFont="1" applyFill="1"/>
    <xf numFmtId="0" fontId="13" fillId="0" borderId="0" xfId="0" applyFont="1"/>
    <xf numFmtId="0" fontId="12" fillId="16" borderId="0" xfId="0" applyFont="1" applyFill="1" applyAlignment="1">
      <alignment horizontal="left" vertical="center"/>
    </xf>
    <xf numFmtId="0" fontId="13" fillId="0" borderId="1" xfId="0" applyFont="1" applyBorder="1"/>
    <xf numFmtId="0" fontId="13" fillId="0" borderId="1" xfId="0" applyFont="1" applyBorder="1" applyAlignment="1">
      <alignment horizontal="center" vertical="center"/>
    </xf>
    <xf numFmtId="0" fontId="40" fillId="7" borderId="1" xfId="0" applyFont="1" applyFill="1" applyBorder="1" applyAlignment="1">
      <alignment horizontal="center" vertical="center"/>
    </xf>
    <xf numFmtId="0" fontId="34" fillId="7" borderId="1" xfId="0" applyFont="1" applyFill="1" applyBorder="1" applyAlignment="1">
      <alignment horizontal="center" vertical="center"/>
    </xf>
    <xf numFmtId="0" fontId="34" fillId="15" borderId="1" xfId="0" applyFont="1" applyFill="1" applyBorder="1" applyAlignment="1">
      <alignment horizontal="center" vertical="center"/>
    </xf>
    <xf numFmtId="0" fontId="34" fillId="5" borderId="1" xfId="0" applyFont="1" applyFill="1" applyBorder="1" applyAlignment="1">
      <alignment horizontal="center" vertical="center"/>
    </xf>
    <xf numFmtId="0" fontId="41" fillId="13" borderId="1" xfId="0" applyFont="1" applyFill="1" applyBorder="1" applyAlignment="1">
      <alignment horizontal="center" vertical="center"/>
    </xf>
    <xf numFmtId="0" fontId="43" fillId="13" borderId="1" xfId="0" applyFont="1" applyFill="1" applyBorder="1"/>
    <xf numFmtId="0" fontId="42" fillId="13" borderId="4" xfId="0" applyFont="1" applyFill="1" applyBorder="1"/>
    <xf numFmtId="0" fontId="43" fillId="13" borderId="4" xfId="0" applyFont="1" applyFill="1" applyBorder="1"/>
    <xf numFmtId="0" fontId="42" fillId="0" borderId="0" xfId="0" applyFont="1" applyFill="1" applyBorder="1"/>
    <xf numFmtId="0" fontId="39" fillId="0" borderId="0" xfId="0" applyFont="1" applyFill="1" applyBorder="1"/>
    <xf numFmtId="0" fontId="43" fillId="0" borderId="0" xfId="0" applyFont="1" applyFill="1" applyBorder="1"/>
    <xf numFmtId="0" fontId="44" fillId="13" borderId="1" xfId="0" applyFont="1" applyFill="1" applyBorder="1" applyAlignment="1">
      <alignment wrapText="1"/>
    </xf>
    <xf numFmtId="0" fontId="45" fillId="13" borderId="1" xfId="0" applyFont="1" applyFill="1" applyBorder="1"/>
    <xf numFmtId="0" fontId="46" fillId="18" borderId="1" xfId="0" applyFont="1" applyFill="1" applyBorder="1" applyAlignment="1">
      <alignment wrapText="1"/>
    </xf>
    <xf numFmtId="1" fontId="30" fillId="0" borderId="1" xfId="0" applyNumberFormat="1" applyFont="1" applyBorder="1" applyAlignment="1">
      <alignment horizontal="center" vertical="center"/>
    </xf>
    <xf numFmtId="3" fontId="7" fillId="0" borderId="0" xfId="0" applyNumberFormat="1" applyFont="1" applyBorder="1"/>
    <xf numFmtId="1" fontId="32" fillId="0" borderId="1" xfId="0" applyNumberFormat="1" applyFont="1" applyBorder="1" applyAlignment="1">
      <alignment horizontal="center" vertical="center"/>
    </xf>
    <xf numFmtId="1" fontId="31" fillId="0" borderId="1" xfId="0" applyNumberFormat="1" applyFont="1" applyBorder="1" applyAlignment="1">
      <alignment horizontal="center" vertical="center"/>
    </xf>
    <xf numFmtId="2" fontId="31" fillId="4" borderId="0" xfId="0" applyNumberFormat="1" applyFont="1" applyFill="1" applyBorder="1" applyAlignment="1">
      <alignment horizontal="center" vertical="center"/>
    </xf>
    <xf numFmtId="1" fontId="30" fillId="6" borderId="1" xfId="0" applyNumberFormat="1" applyFont="1" applyFill="1" applyBorder="1" applyAlignment="1">
      <alignment horizontal="center" vertical="center"/>
    </xf>
    <xf numFmtId="1" fontId="31" fillId="6" borderId="1" xfId="0" applyNumberFormat="1" applyFont="1" applyFill="1" applyBorder="1" applyAlignment="1">
      <alignment horizontal="center" vertical="center"/>
    </xf>
    <xf numFmtId="1" fontId="47" fillId="0" borderId="1" xfId="0" applyNumberFormat="1" applyFont="1" applyBorder="1" applyAlignment="1">
      <alignment horizontal="center" vertical="center" wrapText="1"/>
    </xf>
    <xf numFmtId="2" fontId="49" fillId="0" borderId="1" xfId="0" applyNumberFormat="1" applyFont="1" applyBorder="1" applyAlignment="1">
      <alignment horizontal="center" vertical="center" wrapText="1"/>
    </xf>
    <xf numFmtId="16" fontId="12" fillId="3" borderId="1" xfId="0" applyNumberFormat="1" applyFont="1" applyFill="1" applyBorder="1" applyAlignment="1">
      <alignment horizontal="center"/>
    </xf>
    <xf numFmtId="1" fontId="50" fillId="0" borderId="1" xfId="0" applyNumberFormat="1" applyFont="1" applyBorder="1" applyAlignment="1">
      <alignment horizontal="center" vertical="center" wrapText="1"/>
    </xf>
    <xf numFmtId="3" fontId="7" fillId="0" borderId="1" xfId="0" applyNumberFormat="1" applyFont="1" applyFill="1" applyBorder="1"/>
    <xf numFmtId="10" fontId="7" fillId="0" borderId="1" xfId="0" applyNumberFormat="1" applyFont="1" applyFill="1" applyBorder="1"/>
    <xf numFmtId="1" fontId="48" fillId="0" borderId="1" xfId="0" applyNumberFormat="1" applyFont="1" applyBorder="1" applyAlignment="1">
      <alignment horizontal="center" vertical="center" wrapText="1"/>
    </xf>
    <xf numFmtId="2" fontId="51" fillId="0" borderId="1" xfId="0" applyNumberFormat="1" applyFont="1" applyBorder="1" applyAlignment="1">
      <alignment horizontal="center" vertical="center" wrapText="1"/>
    </xf>
    <xf numFmtId="49" fontId="9" fillId="0" borderId="1" xfId="0" applyNumberFormat="1" applyFont="1" applyFill="1" applyBorder="1" applyAlignment="1">
      <alignment horizontal="center" vertical="center" wrapText="1"/>
    </xf>
    <xf numFmtId="2" fontId="52" fillId="0" borderId="1" xfId="0" applyNumberFormat="1" applyFont="1" applyBorder="1" applyAlignment="1">
      <alignment horizontal="center" vertical="center" wrapText="1"/>
    </xf>
    <xf numFmtId="1" fontId="53" fillId="0" borderId="1" xfId="0" applyNumberFormat="1" applyFont="1" applyBorder="1" applyAlignment="1">
      <alignment horizontal="center" vertical="center" wrapText="1"/>
    </xf>
    <xf numFmtId="1" fontId="28" fillId="0" borderId="1" xfId="0" applyNumberFormat="1" applyFont="1" applyBorder="1" applyAlignment="1">
      <alignment horizontal="center" vertical="center"/>
    </xf>
    <xf numFmtId="1" fontId="49" fillId="0" borderId="1" xfId="0" applyNumberFormat="1" applyFont="1" applyBorder="1" applyAlignment="1">
      <alignment horizontal="center" vertical="center" wrapText="1"/>
    </xf>
    <xf numFmtId="1" fontId="54" fillId="0" borderId="1" xfId="0" applyNumberFormat="1" applyFont="1" applyBorder="1" applyAlignment="1">
      <alignment horizontal="center" vertical="center" wrapText="1"/>
    </xf>
    <xf numFmtId="0" fontId="52" fillId="0" borderId="1" xfId="0" applyFont="1" applyBorder="1" applyAlignment="1">
      <alignment horizontal="center" vertical="center"/>
    </xf>
    <xf numFmtId="1" fontId="32" fillId="6" borderId="1" xfId="0" applyNumberFormat="1" applyFont="1" applyFill="1" applyBorder="1" applyAlignment="1">
      <alignment horizontal="center" vertical="center"/>
    </xf>
    <xf numFmtId="1" fontId="32" fillId="3" borderId="1" xfId="0" applyNumberFormat="1" applyFont="1" applyFill="1" applyBorder="1" applyAlignment="1">
      <alignment horizontal="center" vertical="center"/>
    </xf>
    <xf numFmtId="2" fontId="9" fillId="0" borderId="1" xfId="0" applyNumberFormat="1" applyFont="1" applyBorder="1" applyAlignment="1">
      <alignment horizontal="center" vertical="center"/>
    </xf>
    <xf numFmtId="0" fontId="9" fillId="0" borderId="1" xfId="0" applyFont="1" applyBorder="1" applyAlignment="1">
      <alignment horizontal="center" vertical="center"/>
    </xf>
    <xf numFmtId="16" fontId="9" fillId="0" borderId="1" xfId="0" applyNumberFormat="1" applyFont="1" applyBorder="1" applyAlignment="1">
      <alignment horizontal="center" vertical="center"/>
    </xf>
    <xf numFmtId="3" fontId="9" fillId="0" borderId="1" xfId="0" applyNumberFormat="1" applyFont="1" applyFill="1" applyBorder="1" applyAlignment="1">
      <alignment horizontal="center"/>
    </xf>
    <xf numFmtId="3" fontId="9" fillId="0" borderId="1" xfId="0" applyNumberFormat="1" applyFont="1" applyBorder="1" applyAlignment="1">
      <alignment horizontal="center" vertical="center"/>
    </xf>
    <xf numFmtId="0" fontId="9" fillId="0" borderId="0" xfId="0" applyFont="1" applyAlignment="1">
      <alignment horizontal="center"/>
    </xf>
    <xf numFmtId="16" fontId="9" fillId="0" borderId="0" xfId="0" applyNumberFormat="1" applyFont="1" applyAlignment="1">
      <alignment horizontal="center"/>
    </xf>
    <xf numFmtId="0" fontId="9" fillId="0" borderId="1" xfId="0" applyFont="1" applyFill="1" applyBorder="1" applyAlignment="1">
      <alignment horizontal="center" vertical="center"/>
    </xf>
    <xf numFmtId="16" fontId="9" fillId="0" borderId="1" xfId="0" applyNumberFormat="1" applyFont="1" applyBorder="1" applyAlignment="1">
      <alignment horizontal="center"/>
    </xf>
    <xf numFmtId="0" fontId="9" fillId="3" borderId="1" xfId="0" applyFont="1" applyFill="1" applyBorder="1" applyAlignment="1">
      <alignment horizontal="center"/>
    </xf>
    <xf numFmtId="2" fontId="24" fillId="12" borderId="1" xfId="0" applyNumberFormat="1" applyFont="1" applyFill="1" applyBorder="1" applyAlignment="1">
      <alignment horizontal="center"/>
    </xf>
    <xf numFmtId="4" fontId="9" fillId="0" borderId="1" xfId="0" applyNumberFormat="1" applyFont="1" applyBorder="1" applyAlignment="1">
      <alignment horizontal="center" vertical="center"/>
    </xf>
    <xf numFmtId="166" fontId="9" fillId="0" borderId="1" xfId="0" applyNumberFormat="1" applyFont="1" applyFill="1" applyBorder="1" applyAlignment="1">
      <alignment horizontal="center"/>
    </xf>
    <xf numFmtId="2" fontId="22" fillId="0" borderId="1" xfId="0" applyNumberFormat="1" applyFont="1" applyFill="1" applyBorder="1" applyAlignment="1">
      <alignment horizontal="center"/>
    </xf>
    <xf numFmtId="2" fontId="56" fillId="0" borderId="1" xfId="0" applyNumberFormat="1" applyFont="1" applyFill="1" applyBorder="1" applyAlignment="1">
      <alignment horizontal="center"/>
    </xf>
    <xf numFmtId="2" fontId="56" fillId="0" borderId="2" xfId="0" applyNumberFormat="1" applyFont="1" applyFill="1" applyBorder="1" applyAlignment="1">
      <alignment horizontal="center"/>
    </xf>
    <xf numFmtId="3" fontId="56" fillId="0" borderId="1" xfId="0" applyNumberFormat="1" applyFont="1" applyFill="1" applyBorder="1" applyAlignment="1">
      <alignment horizontal="center"/>
    </xf>
    <xf numFmtId="3" fontId="55" fillId="0" borderId="1" xfId="0" applyNumberFormat="1" applyFont="1" applyFill="1" applyBorder="1" applyAlignment="1">
      <alignment horizontal="center"/>
    </xf>
    <xf numFmtId="3" fontId="22" fillId="0" borderId="1" xfId="0" applyNumberFormat="1" applyFont="1" applyFill="1" applyBorder="1" applyAlignment="1">
      <alignment horizontal="center"/>
    </xf>
    <xf numFmtId="16" fontId="9" fillId="3" borderId="1" xfId="0" applyNumberFormat="1" applyFont="1" applyFill="1" applyBorder="1" applyAlignment="1">
      <alignment horizontal="center"/>
    </xf>
    <xf numFmtId="2" fontId="56" fillId="3" borderId="1" xfId="0" applyNumberFormat="1" applyFont="1" applyFill="1" applyBorder="1" applyAlignment="1">
      <alignment horizontal="center"/>
    </xf>
    <xf numFmtId="3" fontId="56" fillId="3" borderId="1" xfId="0" applyNumberFormat="1" applyFont="1" applyFill="1" applyBorder="1" applyAlignment="1">
      <alignment horizontal="center"/>
    </xf>
    <xf numFmtId="4" fontId="56" fillId="3" borderId="1" xfId="0" applyNumberFormat="1" applyFont="1" applyFill="1" applyBorder="1" applyAlignment="1">
      <alignment horizontal="center"/>
    </xf>
    <xf numFmtId="0" fontId="57" fillId="0" borderId="1" xfId="0" applyFont="1" applyBorder="1" applyAlignment="1">
      <alignment horizontal="center" vertical="center"/>
    </xf>
    <xf numFmtId="16" fontId="57" fillId="0" borderId="1" xfId="0" applyNumberFormat="1" applyFont="1" applyBorder="1" applyAlignment="1">
      <alignment horizontal="center" vertical="center"/>
    </xf>
    <xf numFmtId="4" fontId="57" fillId="0" borderId="1" xfId="0" applyNumberFormat="1" applyFont="1" applyBorder="1" applyAlignment="1">
      <alignment horizontal="center" vertical="center"/>
    </xf>
    <xf numFmtId="3" fontId="57" fillId="0" borderId="1" xfId="0" applyNumberFormat="1" applyFont="1" applyBorder="1" applyAlignment="1">
      <alignment horizontal="center" vertical="center"/>
    </xf>
    <xf numFmtId="166" fontId="9" fillId="0" borderId="1" xfId="0" applyNumberFormat="1" applyFont="1" applyBorder="1" applyAlignment="1">
      <alignment horizontal="center"/>
    </xf>
    <xf numFmtId="3" fontId="9" fillId="0" borderId="0" xfId="0" applyNumberFormat="1" applyFont="1" applyAlignment="1">
      <alignment horizontal="center"/>
    </xf>
    <xf numFmtId="2" fontId="9" fillId="0" borderId="0" xfId="0" applyNumberFormat="1" applyFont="1" applyAlignment="1">
      <alignment horizontal="center"/>
    </xf>
    <xf numFmtId="166" fontId="9" fillId="0" borderId="0" xfId="0" applyNumberFormat="1" applyFont="1" applyAlignment="1">
      <alignment horizontal="center"/>
    </xf>
    <xf numFmtId="0" fontId="56" fillId="0" borderId="1" xfId="0" applyFont="1" applyBorder="1" applyAlignment="1">
      <alignment horizontal="center"/>
    </xf>
    <xf numFmtId="0" fontId="23" fillId="12" borderId="1" xfId="0" applyFont="1" applyFill="1" applyBorder="1" applyAlignment="1">
      <alignment horizontal="center"/>
    </xf>
    <xf numFmtId="0" fontId="9" fillId="0" borderId="0" xfId="0" applyFont="1" applyBorder="1" applyAlignment="1">
      <alignment horizontal="center"/>
    </xf>
    <xf numFmtId="3" fontId="9" fillId="0" borderId="0" xfId="0" applyNumberFormat="1" applyFont="1" applyBorder="1" applyAlignment="1">
      <alignment horizontal="center"/>
    </xf>
    <xf numFmtId="166" fontId="9" fillId="0" borderId="0" xfId="0" applyNumberFormat="1" applyFont="1" applyBorder="1" applyAlignment="1">
      <alignment horizontal="center"/>
    </xf>
    <xf numFmtId="0" fontId="9" fillId="0" borderId="0" xfId="0" applyFont="1" applyFill="1" applyBorder="1" applyAlignment="1">
      <alignment horizontal="center"/>
    </xf>
    <xf numFmtId="2" fontId="57" fillId="0" borderId="1" xfId="0" applyNumberFormat="1" applyFont="1" applyBorder="1" applyAlignment="1">
      <alignment horizontal="center" vertical="center"/>
    </xf>
    <xf numFmtId="3" fontId="24" fillId="12" borderId="1" xfId="0" applyNumberFormat="1" applyFont="1" applyFill="1" applyBorder="1" applyAlignment="1">
      <alignment horizontal="center"/>
    </xf>
    <xf numFmtId="2" fontId="22" fillId="0" borderId="6" xfId="0" applyNumberFormat="1" applyFont="1" applyFill="1" applyBorder="1" applyAlignment="1">
      <alignment horizontal="center"/>
    </xf>
    <xf numFmtId="2" fontId="56" fillId="0" borderId="6" xfId="0" applyNumberFormat="1" applyFont="1" applyFill="1" applyBorder="1" applyAlignment="1">
      <alignment horizontal="center"/>
    </xf>
    <xf numFmtId="3" fontId="22" fillId="0" borderId="3" xfId="0" applyNumberFormat="1" applyFont="1" applyFill="1" applyBorder="1" applyAlignment="1">
      <alignment horizontal="center"/>
    </xf>
    <xf numFmtId="0" fontId="0" fillId="0" borderId="3" xfId="0" applyBorder="1"/>
    <xf numFmtId="3" fontId="58" fillId="12" borderId="1" xfId="0" applyNumberFormat="1" applyFont="1" applyFill="1" applyBorder="1" applyAlignment="1">
      <alignment horizontal="center"/>
    </xf>
    <xf numFmtId="0" fontId="9" fillId="6" borderId="6" xfId="0" applyFont="1" applyFill="1" applyBorder="1" applyAlignment="1">
      <alignment horizontal="center" vertical="center"/>
    </xf>
    <xf numFmtId="16" fontId="9" fillId="6" borderId="6" xfId="0" applyNumberFormat="1" applyFont="1" applyFill="1" applyBorder="1" applyAlignment="1">
      <alignment horizontal="center"/>
    </xf>
    <xf numFmtId="0" fontId="9" fillId="6" borderId="6" xfId="0" applyFont="1" applyFill="1" applyBorder="1" applyAlignment="1">
      <alignment horizontal="center"/>
    </xf>
    <xf numFmtId="4" fontId="9" fillId="6" borderId="6" xfId="0" applyNumberFormat="1" applyFont="1" applyFill="1" applyBorder="1" applyAlignment="1">
      <alignment horizontal="center" vertical="center"/>
    </xf>
    <xf numFmtId="3" fontId="9" fillId="6" borderId="6" xfId="0" applyNumberFormat="1" applyFont="1" applyFill="1" applyBorder="1" applyAlignment="1">
      <alignment horizontal="center"/>
    </xf>
    <xf numFmtId="2" fontId="9" fillId="6" borderId="6" xfId="0" applyNumberFormat="1" applyFont="1" applyFill="1" applyBorder="1" applyAlignment="1">
      <alignment horizontal="center"/>
    </xf>
    <xf numFmtId="2" fontId="22" fillId="6" borderId="6" xfId="0" applyNumberFormat="1" applyFont="1" applyFill="1" applyBorder="1" applyAlignment="1">
      <alignment horizontal="center"/>
    </xf>
    <xf numFmtId="2" fontId="56" fillId="6" borderId="6" xfId="0" applyNumberFormat="1" applyFont="1" applyFill="1" applyBorder="1" applyAlignment="1">
      <alignment horizontal="center"/>
    </xf>
    <xf numFmtId="3" fontId="22" fillId="6" borderId="6" xfId="0" applyNumberFormat="1" applyFont="1" applyFill="1" applyBorder="1" applyAlignment="1">
      <alignment horizontal="center"/>
    </xf>
    <xf numFmtId="0" fontId="0" fillId="6" borderId="0" xfId="0" applyFill="1"/>
    <xf numFmtId="0" fontId="9" fillId="6" borderId="1" xfId="0" applyFont="1" applyFill="1" applyBorder="1" applyAlignment="1">
      <alignment horizontal="center"/>
    </xf>
    <xf numFmtId="16" fontId="9" fillId="6" borderId="1" xfId="0" applyNumberFormat="1" applyFont="1" applyFill="1" applyBorder="1" applyAlignment="1">
      <alignment horizontal="center"/>
    </xf>
    <xf numFmtId="4" fontId="9" fillId="6" borderId="1" xfId="0" applyNumberFormat="1" applyFont="1" applyFill="1" applyBorder="1" applyAlignment="1">
      <alignment horizontal="center" vertical="center"/>
    </xf>
    <xf numFmtId="2" fontId="22" fillId="6" borderId="1" xfId="0" applyNumberFormat="1" applyFont="1" applyFill="1" applyBorder="1" applyAlignment="1">
      <alignment horizontal="center"/>
    </xf>
    <xf numFmtId="3" fontId="22" fillId="6" borderId="1" xfId="0" applyNumberFormat="1" applyFont="1" applyFill="1" applyBorder="1" applyAlignment="1">
      <alignment horizontal="center"/>
    </xf>
    <xf numFmtId="2" fontId="56" fillId="6" borderId="1" xfId="0" applyNumberFormat="1" applyFont="1" applyFill="1" applyBorder="1" applyAlignment="1">
      <alignment horizontal="center"/>
    </xf>
    <xf numFmtId="3" fontId="22" fillId="6" borderId="3" xfId="0" applyNumberFormat="1" applyFont="1" applyFill="1" applyBorder="1" applyAlignment="1">
      <alignment horizontal="center"/>
    </xf>
    <xf numFmtId="166" fontId="9" fillId="6" borderId="1" xfId="0" applyNumberFormat="1" applyFont="1" applyFill="1" applyBorder="1" applyAlignment="1">
      <alignment horizontal="center"/>
    </xf>
    <xf numFmtId="3" fontId="55" fillId="6" borderId="1" xfId="0" applyNumberFormat="1" applyFont="1" applyFill="1" applyBorder="1" applyAlignment="1">
      <alignment horizontal="center"/>
    </xf>
    <xf numFmtId="4" fontId="9" fillId="6" borderId="1" xfId="0" applyNumberFormat="1" applyFont="1" applyFill="1" applyBorder="1" applyAlignment="1">
      <alignment horizontal="center"/>
    </xf>
    <xf numFmtId="2" fontId="56" fillId="0" borderId="1" xfId="0" applyNumberFormat="1" applyFont="1" applyBorder="1" applyAlignment="1">
      <alignment horizontal="center"/>
    </xf>
    <xf numFmtId="0" fontId="9" fillId="0" borderId="1" xfId="0" applyNumberFormat="1" applyFont="1" applyBorder="1" applyAlignment="1">
      <alignment horizontal="center"/>
    </xf>
    <xf numFmtId="1" fontId="9" fillId="0" borderId="1" xfId="0" applyNumberFormat="1" applyFont="1" applyBorder="1" applyAlignment="1">
      <alignment horizontal="center"/>
    </xf>
    <xf numFmtId="0" fontId="9" fillId="15" borderId="1" xfId="0" applyFont="1" applyFill="1" applyBorder="1" applyAlignment="1">
      <alignment horizontal="center"/>
    </xf>
    <xf numFmtId="0" fontId="9" fillId="19" borderId="1" xfId="0" applyFont="1" applyFill="1" applyBorder="1" applyAlignment="1">
      <alignment horizontal="center"/>
    </xf>
    <xf numFmtId="0" fontId="0" fillId="19" borderId="1" xfId="0" applyFill="1" applyBorder="1"/>
    <xf numFmtId="2" fontId="9" fillId="19" borderId="1" xfId="0" applyNumberFormat="1" applyFont="1" applyFill="1" applyBorder="1" applyAlignment="1">
      <alignment horizontal="center"/>
    </xf>
    <xf numFmtId="0" fontId="0" fillId="20" borderId="0" xfId="0" applyFill="1"/>
    <xf numFmtId="0" fontId="23" fillId="12" borderId="2" xfId="0" applyFont="1" applyFill="1" applyBorder="1" applyAlignment="1">
      <alignment horizontal="center"/>
    </xf>
    <xf numFmtId="0" fontId="9" fillId="6" borderId="0" xfId="0" applyFont="1" applyFill="1" applyAlignment="1">
      <alignment horizontal="center"/>
    </xf>
    <xf numFmtId="16" fontId="9" fillId="6" borderId="0" xfId="0" applyNumberFormat="1" applyFont="1" applyFill="1" applyAlignment="1">
      <alignment horizontal="center"/>
    </xf>
    <xf numFmtId="2" fontId="9" fillId="6" borderId="0" xfId="0" applyNumberFormat="1" applyFont="1" applyFill="1" applyAlignment="1">
      <alignment horizontal="center"/>
    </xf>
    <xf numFmtId="3" fontId="9" fillId="6" borderId="0" xfId="0" applyNumberFormat="1" applyFont="1" applyFill="1" applyAlignment="1">
      <alignment horizontal="center"/>
    </xf>
    <xf numFmtId="166" fontId="9" fillId="6" borderId="0" xfId="0" applyNumberFormat="1" applyFont="1" applyFill="1" applyAlignment="1">
      <alignment horizontal="center"/>
    </xf>
    <xf numFmtId="3" fontId="22" fillId="0" borderId="1" xfId="0" applyNumberFormat="1" applyFont="1" applyBorder="1" applyAlignment="1">
      <alignment horizontal="center"/>
    </xf>
    <xf numFmtId="0" fontId="9" fillId="7" borderId="1" xfId="0" applyFont="1" applyFill="1" applyBorder="1" applyAlignment="1">
      <alignment horizontal="center"/>
    </xf>
    <xf numFmtId="16" fontId="9" fillId="7" borderId="1" xfId="0" applyNumberFormat="1" applyFont="1" applyFill="1" applyBorder="1" applyAlignment="1">
      <alignment horizontal="center"/>
    </xf>
    <xf numFmtId="2" fontId="9" fillId="7" borderId="1" xfId="0" applyNumberFormat="1" applyFont="1" applyFill="1" applyBorder="1" applyAlignment="1">
      <alignment horizontal="center"/>
    </xf>
    <xf numFmtId="3" fontId="9" fillId="7" borderId="1" xfId="0" applyNumberFormat="1" applyFont="1" applyFill="1" applyBorder="1" applyAlignment="1">
      <alignment horizontal="center"/>
    </xf>
    <xf numFmtId="2" fontId="56" fillId="7" borderId="1" xfId="0" applyNumberFormat="1" applyFont="1" applyFill="1" applyBorder="1" applyAlignment="1">
      <alignment horizontal="center"/>
    </xf>
    <xf numFmtId="166" fontId="9" fillId="7" borderId="1" xfId="0" applyNumberFormat="1" applyFont="1" applyFill="1" applyBorder="1" applyAlignment="1">
      <alignment horizontal="center"/>
    </xf>
    <xf numFmtId="4" fontId="9" fillId="7" borderId="1" xfId="0" applyNumberFormat="1" applyFont="1" applyFill="1" applyBorder="1" applyAlignment="1">
      <alignment horizontal="center"/>
    </xf>
    <xf numFmtId="0" fontId="0" fillId="7" borderId="0" xfId="0" applyFill="1"/>
    <xf numFmtId="3" fontId="22" fillId="7" borderId="1" xfId="0" applyNumberFormat="1" applyFont="1" applyFill="1" applyBorder="1" applyAlignment="1">
      <alignment horizontal="center"/>
    </xf>
    <xf numFmtId="0" fontId="9" fillId="6" borderId="1" xfId="0" applyNumberFormat="1" applyFont="1" applyFill="1" applyBorder="1" applyAlignment="1">
      <alignment horizontal="center"/>
    </xf>
    <xf numFmtId="0" fontId="9" fillId="7" borderId="1" xfId="0" applyFont="1" applyFill="1" applyBorder="1" applyAlignment="1">
      <alignment horizontal="center" vertical="center"/>
    </xf>
    <xf numFmtId="16" fontId="9" fillId="7" borderId="1" xfId="0" applyNumberFormat="1" applyFont="1" applyFill="1" applyBorder="1" applyAlignment="1">
      <alignment horizontal="center" vertical="center"/>
    </xf>
    <xf numFmtId="3" fontId="9" fillId="7" borderId="1" xfId="0" applyNumberFormat="1" applyFont="1" applyFill="1" applyBorder="1" applyAlignment="1">
      <alignment horizontal="center" vertical="center"/>
    </xf>
    <xf numFmtId="2" fontId="9" fillId="7" borderId="1" xfId="0" applyNumberFormat="1" applyFont="1" applyFill="1" applyBorder="1" applyAlignment="1">
      <alignment horizontal="center" vertical="center"/>
    </xf>
    <xf numFmtId="3" fontId="56" fillId="7" borderId="1" xfId="0" applyNumberFormat="1" applyFont="1" applyFill="1" applyBorder="1" applyAlignment="1">
      <alignment horizontal="center"/>
    </xf>
    <xf numFmtId="0" fontId="9" fillId="6" borderId="1" xfId="0" applyFont="1" applyFill="1" applyBorder="1" applyAlignment="1">
      <alignment horizontal="center" vertical="center"/>
    </xf>
    <xf numFmtId="16" fontId="9" fillId="6" borderId="1" xfId="0" applyNumberFormat="1" applyFont="1" applyFill="1" applyBorder="1" applyAlignment="1">
      <alignment horizontal="center" vertical="center"/>
    </xf>
    <xf numFmtId="3" fontId="9" fillId="6" borderId="1" xfId="0" applyNumberFormat="1" applyFont="1" applyFill="1" applyBorder="1" applyAlignment="1">
      <alignment horizontal="center" vertical="center"/>
    </xf>
    <xf numFmtId="2" fontId="9" fillId="6" borderId="1" xfId="0" applyNumberFormat="1" applyFont="1" applyFill="1" applyBorder="1" applyAlignment="1">
      <alignment horizontal="center" vertical="center"/>
    </xf>
    <xf numFmtId="1" fontId="9" fillId="6" borderId="1" xfId="0" applyNumberFormat="1" applyFont="1" applyFill="1" applyBorder="1" applyAlignment="1">
      <alignment horizontal="center"/>
    </xf>
    <xf numFmtId="0" fontId="24" fillId="12" borderId="6" xfId="0" applyFont="1" applyFill="1" applyBorder="1" applyAlignment="1">
      <alignment horizontal="center"/>
    </xf>
    <xf numFmtId="2" fontId="24" fillId="12" borderId="6" xfId="0" applyNumberFormat="1" applyFont="1" applyFill="1" applyBorder="1" applyAlignment="1">
      <alignment horizontal="center"/>
    </xf>
    <xf numFmtId="3" fontId="24" fillId="12" borderId="6" xfId="0" applyNumberFormat="1" applyFont="1" applyFill="1" applyBorder="1" applyAlignment="1">
      <alignment horizontal="center"/>
    </xf>
    <xf numFmtId="0" fontId="23" fillId="12" borderId="6" xfId="0" applyFont="1" applyFill="1" applyBorder="1" applyAlignment="1">
      <alignment horizontal="center"/>
    </xf>
    <xf numFmtId="0" fontId="9" fillId="12" borderId="6" xfId="0" applyFont="1" applyFill="1" applyBorder="1" applyAlignment="1">
      <alignment horizontal="center"/>
    </xf>
    <xf numFmtId="16" fontId="9" fillId="6" borderId="7" xfId="0" applyNumberFormat="1" applyFont="1" applyFill="1" applyBorder="1" applyAlignment="1">
      <alignment horizontal="center"/>
    </xf>
    <xf numFmtId="0" fontId="9" fillId="6" borderId="7" xfId="0" applyFont="1" applyFill="1" applyBorder="1" applyAlignment="1">
      <alignment horizontal="center"/>
    </xf>
    <xf numFmtId="3" fontId="9" fillId="6" borderId="7" xfId="0" applyNumberFormat="1" applyFont="1" applyFill="1" applyBorder="1" applyAlignment="1">
      <alignment horizontal="center"/>
    </xf>
    <xf numFmtId="2" fontId="9" fillId="6" borderId="7" xfId="0" applyNumberFormat="1" applyFont="1" applyFill="1" applyBorder="1" applyAlignment="1">
      <alignment horizontal="center"/>
    </xf>
    <xf numFmtId="2" fontId="56" fillId="6" borderId="7" xfId="0" applyNumberFormat="1" applyFont="1" applyFill="1" applyBorder="1" applyAlignment="1">
      <alignment horizontal="center"/>
    </xf>
    <xf numFmtId="166" fontId="9" fillId="6" borderId="7" xfId="0" applyNumberFormat="1" applyFont="1" applyFill="1" applyBorder="1" applyAlignment="1">
      <alignment horizontal="center"/>
    </xf>
    <xf numFmtId="4" fontId="9" fillId="6" borderId="7" xfId="0" applyNumberFormat="1" applyFont="1" applyFill="1" applyBorder="1" applyAlignment="1">
      <alignment horizontal="center"/>
    </xf>
    <xf numFmtId="166" fontId="9" fillId="6" borderId="6" xfId="0" applyNumberFormat="1" applyFont="1" applyFill="1" applyBorder="1" applyAlignment="1">
      <alignment horizontal="center"/>
    </xf>
    <xf numFmtId="4" fontId="9" fillId="6" borderId="6" xfId="0" applyNumberFormat="1" applyFont="1" applyFill="1" applyBorder="1" applyAlignment="1">
      <alignment horizontal="center"/>
    </xf>
    <xf numFmtId="3" fontId="56" fillId="6" borderId="1" xfId="0" applyNumberFormat="1" applyFont="1" applyFill="1" applyBorder="1" applyAlignment="1">
      <alignment horizontal="center"/>
    </xf>
    <xf numFmtId="0" fontId="9" fillId="0" borderId="3" xfId="0" applyFont="1" applyBorder="1" applyAlignment="1">
      <alignment horizontal="center"/>
    </xf>
    <xf numFmtId="3" fontId="56" fillId="3" borderId="3" xfId="0" applyNumberFormat="1" applyFont="1" applyFill="1" applyBorder="1" applyAlignment="1">
      <alignment horizontal="center"/>
    </xf>
    <xf numFmtId="0" fontId="23" fillId="12" borderId="3" xfId="0" applyFont="1" applyFill="1" applyBorder="1" applyAlignment="1">
      <alignment horizontal="center"/>
    </xf>
    <xf numFmtId="20" fontId="9" fillId="0" borderId="1" xfId="0" applyNumberFormat="1" applyFont="1" applyBorder="1" applyAlignment="1">
      <alignment horizontal="center"/>
    </xf>
    <xf numFmtId="0" fontId="0" fillId="6" borderId="1" xfId="0" applyFill="1" applyBorder="1"/>
    <xf numFmtId="0" fontId="9" fillId="6" borderId="4" xfId="0" applyFont="1" applyFill="1" applyBorder="1" applyAlignment="1">
      <alignment horizontal="center"/>
    </xf>
    <xf numFmtId="0" fontId="9" fillId="6" borderId="4" xfId="0" applyFont="1" applyFill="1" applyBorder="1" applyAlignment="1">
      <alignment horizontal="center" vertical="center"/>
    </xf>
    <xf numFmtId="0" fontId="9" fillId="6" borderId="8" xfId="0" applyFont="1" applyFill="1" applyBorder="1" applyAlignment="1">
      <alignment horizontal="center"/>
    </xf>
    <xf numFmtId="0" fontId="9" fillId="6" borderId="9" xfId="0" applyFont="1" applyFill="1" applyBorder="1" applyAlignment="1">
      <alignment horizontal="center" vertical="center"/>
    </xf>
    <xf numFmtId="0" fontId="9" fillId="0" borderId="4" xfId="0" applyFont="1" applyBorder="1" applyAlignment="1">
      <alignment horizontal="center"/>
    </xf>
    <xf numFmtId="0" fontId="9" fillId="0" borderId="4" xfId="0" applyFont="1" applyBorder="1" applyAlignment="1">
      <alignment horizontal="center" vertical="center"/>
    </xf>
    <xf numFmtId="0" fontId="9" fillId="0" borderId="4" xfId="0" applyFont="1" applyFill="1" applyBorder="1" applyAlignment="1">
      <alignment horizontal="center" vertical="center"/>
    </xf>
    <xf numFmtId="16" fontId="9" fillId="20" borderId="1" xfId="0" applyNumberFormat="1" applyFont="1" applyFill="1" applyBorder="1" applyAlignment="1">
      <alignment horizontal="center"/>
    </xf>
    <xf numFmtId="0" fontId="9" fillId="20" borderId="1" xfId="0" applyFont="1" applyFill="1" applyBorder="1" applyAlignment="1">
      <alignment horizontal="center"/>
    </xf>
    <xf numFmtId="3" fontId="9" fillId="20" borderId="1" xfId="0" applyNumberFormat="1" applyFont="1" applyFill="1" applyBorder="1" applyAlignment="1">
      <alignment horizontal="center"/>
    </xf>
    <xf numFmtId="2" fontId="9" fillId="20" borderId="1" xfId="0" applyNumberFormat="1" applyFont="1" applyFill="1" applyBorder="1" applyAlignment="1">
      <alignment horizontal="center"/>
    </xf>
    <xf numFmtId="2" fontId="56" fillId="20" borderId="1" xfId="0" applyNumberFormat="1" applyFont="1" applyFill="1" applyBorder="1" applyAlignment="1">
      <alignment horizontal="center"/>
    </xf>
    <xf numFmtId="166" fontId="9" fillId="20" borderId="1" xfId="0" applyNumberFormat="1" applyFont="1" applyFill="1" applyBorder="1" applyAlignment="1">
      <alignment horizontal="center"/>
    </xf>
    <xf numFmtId="4" fontId="9" fillId="20" borderId="1" xfId="0" applyNumberFormat="1" applyFont="1" applyFill="1" applyBorder="1" applyAlignment="1">
      <alignment horizontal="center"/>
    </xf>
    <xf numFmtId="3" fontId="22" fillId="20" borderId="1" xfId="0" applyNumberFormat="1" applyFont="1" applyFill="1" applyBorder="1" applyAlignment="1">
      <alignment horizontal="center"/>
    </xf>
    <xf numFmtId="3" fontId="56" fillId="0" borderId="1" xfId="0" applyNumberFormat="1" applyFont="1" applyBorder="1" applyAlignment="1">
      <alignment horizontal="center"/>
    </xf>
    <xf numFmtId="0" fontId="59" fillId="13" borderId="1" xfId="0" applyFont="1" applyFill="1" applyBorder="1" applyAlignment="1">
      <alignment horizontal="center"/>
    </xf>
    <xf numFmtId="0" fontId="9" fillId="0" borderId="4" xfId="0" applyFont="1" applyFill="1" applyBorder="1" applyAlignment="1">
      <alignment horizontal="center"/>
    </xf>
    <xf numFmtId="3" fontId="9" fillId="0" borderId="3" xfId="0" applyNumberFormat="1" applyFont="1" applyBorder="1" applyAlignment="1">
      <alignment horizontal="center"/>
    </xf>
    <xf numFmtId="0" fontId="9" fillId="0" borderId="3" xfId="0" applyFont="1" applyFill="1" applyBorder="1" applyAlignment="1">
      <alignment horizontal="center"/>
    </xf>
    <xf numFmtId="4" fontId="56" fillId="0" borderId="1" xfId="0" applyNumberFormat="1" applyFont="1" applyBorder="1" applyAlignment="1">
      <alignment horizontal="center" vertical="center"/>
    </xf>
    <xf numFmtId="4" fontId="56" fillId="6" borderId="1" xfId="0" applyNumberFormat="1" applyFont="1" applyFill="1" applyBorder="1" applyAlignment="1">
      <alignment horizontal="center" vertical="center"/>
    </xf>
    <xf numFmtId="4" fontId="56" fillId="7" borderId="1" xfId="0" applyNumberFormat="1" applyFont="1" applyFill="1" applyBorder="1" applyAlignment="1">
      <alignment horizontal="center" vertical="center"/>
    </xf>
    <xf numFmtId="4" fontId="56" fillId="7" borderId="1" xfId="0" applyNumberFormat="1" applyFont="1" applyFill="1" applyBorder="1" applyAlignment="1">
      <alignment horizontal="center"/>
    </xf>
    <xf numFmtId="4" fontId="56" fillId="6" borderId="1" xfId="0" applyNumberFormat="1" applyFont="1" applyFill="1" applyBorder="1" applyAlignment="1">
      <alignment horizontal="center"/>
    </xf>
    <xf numFmtId="4" fontId="56" fillId="0" borderId="1" xfId="0" applyNumberFormat="1" applyFont="1" applyBorder="1" applyAlignment="1">
      <alignment horizontal="center"/>
    </xf>
    <xf numFmtId="4" fontId="56" fillId="0" borderId="1" xfId="0" applyNumberFormat="1" applyFont="1" applyFill="1" applyBorder="1" applyAlignment="1">
      <alignment horizontal="center"/>
    </xf>
    <xf numFmtId="4" fontId="56" fillId="6" borderId="7" xfId="0" applyNumberFormat="1" applyFont="1" applyFill="1" applyBorder="1" applyAlignment="1">
      <alignment horizontal="center" vertical="center"/>
    </xf>
    <xf numFmtId="4" fontId="56" fillId="6" borderId="6" xfId="0" applyNumberFormat="1" applyFont="1" applyFill="1" applyBorder="1" applyAlignment="1">
      <alignment horizontal="center" vertical="center"/>
    </xf>
    <xf numFmtId="0" fontId="9" fillId="7" borderId="1" xfId="0" applyNumberFormat="1" applyFont="1" applyFill="1" applyBorder="1" applyAlignment="1">
      <alignment horizontal="center"/>
    </xf>
    <xf numFmtId="0" fontId="9" fillId="7" borderId="4" xfId="0" applyFont="1" applyFill="1" applyBorder="1" applyAlignment="1">
      <alignment horizontal="center"/>
    </xf>
    <xf numFmtId="0" fontId="9" fillId="7" borderId="0" xfId="0" applyFont="1" applyFill="1" applyAlignment="1">
      <alignment horizontal="center"/>
    </xf>
    <xf numFmtId="3" fontId="9" fillId="7" borderId="0" xfId="0" applyNumberFormat="1" applyFont="1" applyFill="1" applyAlignment="1">
      <alignment horizontal="center"/>
    </xf>
    <xf numFmtId="2" fontId="9" fillId="7" borderId="0" xfId="0" applyNumberFormat="1" applyFont="1" applyFill="1" applyAlignment="1">
      <alignment horizontal="center"/>
    </xf>
    <xf numFmtId="166" fontId="9" fillId="7" borderId="0" xfId="0" applyNumberFormat="1" applyFont="1" applyFill="1" applyAlignment="1">
      <alignment horizontal="center"/>
    </xf>
    <xf numFmtId="3" fontId="55" fillId="0" borderId="7" xfId="0" applyNumberFormat="1" applyFont="1" applyFill="1" applyBorder="1" applyAlignment="1">
      <alignment horizontal="center"/>
    </xf>
    <xf numFmtId="4" fontId="9" fillId="0" borderId="0" xfId="0" applyNumberFormat="1" applyFont="1" applyAlignment="1">
      <alignment horizontal="center"/>
    </xf>
    <xf numFmtId="0" fontId="60" fillId="13" borderId="1" xfId="0" applyFont="1" applyFill="1" applyBorder="1" applyAlignment="1">
      <alignment horizontal="center"/>
    </xf>
    <xf numFmtId="4" fontId="60" fillId="13" borderId="1" xfId="0" applyNumberFormat="1" applyFont="1" applyFill="1" applyBorder="1" applyAlignment="1">
      <alignment horizontal="center"/>
    </xf>
    <xf numFmtId="2" fontId="59" fillId="13" borderId="1" xfId="0" applyNumberFormat="1" applyFont="1" applyFill="1" applyBorder="1" applyAlignment="1">
      <alignment horizontal="center"/>
    </xf>
    <xf numFmtId="0" fontId="5" fillId="3" borderId="1" xfId="0" applyFont="1" applyFill="1" applyBorder="1"/>
    <xf numFmtId="0" fontId="5" fillId="0" borderId="1" xfId="0" applyFont="1" applyBorder="1" applyAlignment="1">
      <alignment horizontal="center" vertical="center"/>
    </xf>
    <xf numFmtId="2" fontId="5" fillId="0" borderId="1" xfId="0" applyNumberFormat="1" applyFont="1" applyBorder="1" applyAlignment="1">
      <alignment horizontal="center" vertical="center"/>
    </xf>
    <xf numFmtId="2" fontId="5" fillId="0" borderId="0" xfId="0" applyNumberFormat="1" applyFont="1" applyAlignment="1">
      <alignment horizontal="center" vertical="center"/>
    </xf>
    <xf numFmtId="0" fontId="5" fillId="0" borderId="1" xfId="0" applyFont="1" applyBorder="1" applyAlignment="1">
      <alignment horizontal="center"/>
    </xf>
    <xf numFmtId="4" fontId="9" fillId="0" borderId="1" xfId="0" applyNumberFormat="1" applyFont="1" applyFill="1" applyBorder="1" applyAlignment="1">
      <alignment horizontal="center"/>
    </xf>
    <xf numFmtId="0" fontId="9" fillId="0" borderId="2" xfId="0" applyFont="1" applyFill="1" applyBorder="1" applyAlignment="1">
      <alignment horizontal="center"/>
    </xf>
    <xf numFmtId="0" fontId="56" fillId="0" borderId="1" xfId="0" applyFont="1" applyFill="1" applyBorder="1" applyAlignment="1">
      <alignment horizontal="center"/>
    </xf>
    <xf numFmtId="1" fontId="9" fillId="0" borderId="1" xfId="0" applyNumberFormat="1" applyFont="1" applyFill="1" applyBorder="1" applyAlignment="1">
      <alignment horizontal="center"/>
    </xf>
    <xf numFmtId="4" fontId="9" fillId="0" borderId="1" xfId="0" applyNumberFormat="1" applyFont="1" applyFill="1" applyBorder="1" applyAlignment="1">
      <alignment horizontal="center" vertical="center"/>
    </xf>
    <xf numFmtId="16" fontId="9" fillId="0" borderId="1" xfId="0" applyNumberFormat="1" applyFont="1" applyFill="1" applyBorder="1" applyAlignment="1">
      <alignment horizontal="center" vertical="center"/>
    </xf>
    <xf numFmtId="4" fontId="56" fillId="0" borderId="1" xfId="0" applyNumberFormat="1" applyFont="1" applyFill="1" applyBorder="1" applyAlignment="1">
      <alignment horizontal="center" vertical="center"/>
    </xf>
    <xf numFmtId="3" fontId="9" fillId="0" borderId="1" xfId="0" applyNumberFormat="1" applyFont="1" applyFill="1" applyBorder="1" applyAlignment="1">
      <alignment horizontal="center" vertical="center"/>
    </xf>
    <xf numFmtId="2" fontId="9" fillId="0" borderId="1" xfId="0" applyNumberFormat="1" applyFont="1" applyFill="1" applyBorder="1" applyAlignment="1">
      <alignment horizontal="center" vertical="center"/>
    </xf>
  </cellXfs>
  <cellStyles count="162">
    <cellStyle name="Followed Hyperlink" xfId="68" builtinId="9" hidden="1"/>
    <cellStyle name="Followed Hyperlink" xfId="72" builtinId="9" hidden="1"/>
    <cellStyle name="Followed Hyperlink" xfId="76" builtinId="9" hidden="1"/>
    <cellStyle name="Followed Hyperlink" xfId="80" builtinId="9" hidden="1"/>
    <cellStyle name="Followed Hyperlink" xfId="84"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58" builtinId="9" hidden="1"/>
    <cellStyle name="Followed Hyperlink" xfId="156" builtinId="9" hidden="1"/>
    <cellStyle name="Followed Hyperlink" xfId="154" builtinId="9" hidden="1"/>
    <cellStyle name="Followed Hyperlink" xfId="152" builtinId="9" hidden="1"/>
    <cellStyle name="Followed Hyperlink" xfId="150" builtinId="9" hidden="1"/>
    <cellStyle name="Followed Hyperlink" xfId="148" builtinId="9" hidden="1"/>
    <cellStyle name="Followed Hyperlink" xfId="146" builtinId="9" hidden="1"/>
    <cellStyle name="Followed Hyperlink" xfId="144" builtinId="9" hidden="1"/>
    <cellStyle name="Followed Hyperlink" xfId="142" builtinId="9" hidden="1"/>
    <cellStyle name="Followed Hyperlink" xfId="140" builtinId="9" hidden="1"/>
    <cellStyle name="Followed Hyperlink" xfId="138" builtinId="9" hidden="1"/>
    <cellStyle name="Followed Hyperlink" xfId="136" builtinId="9" hidden="1"/>
    <cellStyle name="Followed Hyperlink" xfId="134" builtinId="9" hidden="1"/>
    <cellStyle name="Followed Hyperlink" xfId="132" builtinId="9" hidden="1"/>
    <cellStyle name="Followed Hyperlink" xfId="130" builtinId="9" hidden="1"/>
    <cellStyle name="Followed Hyperlink" xfId="128" builtinId="9" hidden="1"/>
    <cellStyle name="Followed Hyperlink" xfId="126" builtinId="9" hidden="1"/>
    <cellStyle name="Followed Hyperlink" xfId="124" builtinId="9" hidden="1"/>
    <cellStyle name="Followed Hyperlink" xfId="122" builtinId="9" hidden="1"/>
    <cellStyle name="Followed Hyperlink" xfId="120" builtinId="9" hidden="1"/>
    <cellStyle name="Followed Hyperlink" xfId="118" builtinId="9" hidden="1"/>
    <cellStyle name="Followed Hyperlink" xfId="116" builtinId="9" hidden="1"/>
    <cellStyle name="Followed Hyperlink" xfId="114" builtinId="9" hidden="1"/>
    <cellStyle name="Followed Hyperlink" xfId="112" builtinId="9" hidden="1"/>
    <cellStyle name="Followed Hyperlink" xfId="110" builtinId="9" hidden="1"/>
    <cellStyle name="Followed Hyperlink" xfId="108" builtinId="9" hidden="1"/>
    <cellStyle name="Followed Hyperlink" xfId="106" builtinId="9" hidden="1"/>
    <cellStyle name="Followed Hyperlink" xfId="104" builtinId="9" hidden="1"/>
    <cellStyle name="Followed Hyperlink" xfId="102" builtinId="9" hidden="1"/>
    <cellStyle name="Followed Hyperlink" xfId="100" builtinId="9" hidden="1"/>
    <cellStyle name="Followed Hyperlink" xfId="98" builtinId="9" hidden="1"/>
    <cellStyle name="Followed Hyperlink" xfId="96" builtinId="9" hidden="1"/>
    <cellStyle name="Followed Hyperlink" xfId="94" builtinId="9" hidden="1"/>
    <cellStyle name="Followed Hyperlink" xfId="92" builtinId="9" hidden="1"/>
    <cellStyle name="Followed Hyperlink" xfId="90" builtinId="9" hidden="1"/>
    <cellStyle name="Followed Hyperlink" xfId="88" builtinId="9" hidden="1"/>
    <cellStyle name="Followed Hyperlink" xfId="86" builtinId="9" hidden="1"/>
    <cellStyle name="Followed Hyperlink" xfId="82" builtinId="9" hidden="1"/>
    <cellStyle name="Followed Hyperlink" xfId="78" builtinId="9" hidden="1"/>
    <cellStyle name="Followed Hyperlink" xfId="74" builtinId="9" hidden="1"/>
    <cellStyle name="Followed Hyperlink" xfId="70" builtinId="9" hidden="1"/>
    <cellStyle name="Followed Hyperlink" xfId="66"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6" builtinId="9" hidden="1"/>
    <cellStyle name="Followed Hyperlink" xfId="58" builtinId="9" hidden="1"/>
    <cellStyle name="Followed Hyperlink" xfId="60" builtinId="9" hidden="1"/>
    <cellStyle name="Followed Hyperlink" xfId="64" builtinId="9" hidden="1"/>
    <cellStyle name="Followed Hyperlink" xfId="62"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160" builtinId="8" hidden="1"/>
    <cellStyle name="Hyperlink" xfId="71" builtinId="8" hidden="1"/>
    <cellStyle name="Hyperlink" xfId="55"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41" builtinId="8" hidden="1"/>
    <cellStyle name="Hyperlink" xfId="43" builtinId="8" hidden="1"/>
    <cellStyle name="Hyperlink" xfId="3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5" builtinId="8" hidden="1"/>
    <cellStyle name="Hyperlink" xfId="7" builtinId="8" hidden="1"/>
    <cellStyle name="Hyperlink" xfId="9" builtinId="8" hidden="1"/>
    <cellStyle name="Hyperlink" xfId="3" builtinId="8" hidden="1"/>
    <cellStyle name="Hyperlink" xfId="1" builtinId="8" hidden="1"/>
    <cellStyle name="Normal" xfId="0" builtinId="0"/>
  </cellStyles>
  <dxfs count="0"/>
  <tableStyles count="0" defaultTableStyle="TableStyleMedium9" defaultPivotStyle="PivotStyleMedium4"/>
  <colors>
    <mruColors>
      <color rgb="FFFF3D28"/>
      <color rgb="FF94FF91"/>
      <color rgb="FFBE05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_rels/drawing2.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196</xdr:row>
      <xdr:rowOff>0</xdr:rowOff>
    </xdr:from>
    <xdr:to>
      <xdr:col>13</xdr:col>
      <xdr:colOff>1618673</xdr:colOff>
      <xdr:row>218</xdr:row>
      <xdr:rowOff>152400</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0" y="16697614"/>
          <a:ext cx="14693900" cy="4597400"/>
        </a:xfrm>
        <a:prstGeom prst="rect">
          <a:avLst/>
        </a:prstGeom>
      </xdr:spPr>
    </xdr:pic>
    <xdr:clientData/>
  </xdr:twoCellAnchor>
  <xdr:twoCellAnchor editAs="oneCell">
    <xdr:from>
      <xdr:col>0</xdr:col>
      <xdr:colOff>0</xdr:colOff>
      <xdr:row>219</xdr:row>
      <xdr:rowOff>0</xdr:rowOff>
    </xdr:from>
    <xdr:to>
      <xdr:col>13</xdr:col>
      <xdr:colOff>1809173</xdr:colOff>
      <xdr:row>242</xdr:row>
      <xdr:rowOff>166255</xdr:rowOff>
    </xdr:to>
    <xdr:pic>
      <xdr:nvPicPr>
        <xdr:cNvPr id="3" name="Picture 2">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1"/>
        <a:stretch>
          <a:fillRect/>
        </a:stretch>
      </xdr:blipFill>
      <xdr:spPr>
        <a:xfrm>
          <a:off x="0" y="21344659"/>
          <a:ext cx="14884400" cy="4813300"/>
        </a:xfrm>
        <a:prstGeom prst="rect">
          <a:avLst/>
        </a:prstGeom>
      </xdr:spPr>
    </xdr:pic>
    <xdr:clientData/>
  </xdr:twoCellAnchor>
  <xdr:twoCellAnchor>
    <xdr:from>
      <xdr:col>0</xdr:col>
      <xdr:colOff>331932</xdr:colOff>
      <xdr:row>198</xdr:row>
      <xdr:rowOff>0</xdr:rowOff>
    </xdr:from>
    <xdr:to>
      <xdr:col>2</xdr:col>
      <xdr:colOff>773546</xdr:colOff>
      <xdr:row>202</xdr:row>
      <xdr:rowOff>25978</xdr:rowOff>
    </xdr:to>
    <xdr:sp macro="" textlink="">
      <xdr:nvSpPr>
        <xdr:cNvPr id="4" name="TextBox 3">
          <a:extLst>
            <a:ext uri="{FF2B5EF4-FFF2-40B4-BE49-F238E27FC236}">
              <a16:creationId xmlns:a16="http://schemas.microsoft.com/office/drawing/2014/main" id="{00000000-0008-0000-0D00-000004000000}"/>
            </a:ext>
          </a:extLst>
        </xdr:cNvPr>
        <xdr:cNvSpPr txBox="1"/>
      </xdr:nvSpPr>
      <xdr:spPr>
        <a:xfrm>
          <a:off x="331932" y="17101705"/>
          <a:ext cx="2159000" cy="8341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Ticker: SPU (on 31st)</a:t>
          </a:r>
        </a:p>
        <a:p>
          <a:r>
            <a:rPr lang="en-US" sz="1100" b="1"/>
            <a:t>Gain: 56%</a:t>
          </a:r>
          <a:r>
            <a:rPr lang="en-US" sz="1100" b="1" baseline="0"/>
            <a:t> up</a:t>
          </a:r>
        </a:p>
        <a:p>
          <a:r>
            <a:rPr lang="en-US" sz="1100" b="1" baseline="0"/>
            <a:t>Volume: 10 mill shares</a:t>
          </a:r>
        </a:p>
        <a:p>
          <a:r>
            <a:rPr lang="en-US" sz="1100" b="1" baseline="0"/>
            <a:t>Trades: 43k</a:t>
          </a:r>
        </a:p>
        <a:p>
          <a:endParaRPr lang="en-US" sz="1100"/>
        </a:p>
      </xdr:txBody>
    </xdr:sp>
    <xdr:clientData/>
  </xdr:twoCellAnchor>
  <xdr:twoCellAnchor>
    <xdr:from>
      <xdr:col>7</xdr:col>
      <xdr:colOff>692728</xdr:colOff>
      <xdr:row>220</xdr:row>
      <xdr:rowOff>57727</xdr:rowOff>
    </xdr:from>
    <xdr:to>
      <xdr:col>9</xdr:col>
      <xdr:colOff>917864</xdr:colOff>
      <xdr:row>224</xdr:row>
      <xdr:rowOff>83705</xdr:rowOff>
    </xdr:to>
    <xdr:sp macro="" textlink="">
      <xdr:nvSpPr>
        <xdr:cNvPr id="5" name="TextBox 4">
          <a:extLst>
            <a:ext uri="{FF2B5EF4-FFF2-40B4-BE49-F238E27FC236}">
              <a16:creationId xmlns:a16="http://schemas.microsoft.com/office/drawing/2014/main" id="{00000000-0008-0000-0D00-000005000000}"/>
            </a:ext>
          </a:extLst>
        </xdr:cNvPr>
        <xdr:cNvSpPr txBox="1"/>
      </xdr:nvSpPr>
      <xdr:spPr>
        <a:xfrm>
          <a:off x="7648864" y="21604432"/>
          <a:ext cx="2159000" cy="8341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Ticker: SPU</a:t>
          </a:r>
        </a:p>
        <a:p>
          <a:r>
            <a:rPr lang="en-US" sz="1100" b="1"/>
            <a:t>Gain: 56%</a:t>
          </a:r>
          <a:r>
            <a:rPr lang="en-US" sz="1100" b="1" baseline="0"/>
            <a:t> up</a:t>
          </a:r>
        </a:p>
        <a:p>
          <a:r>
            <a:rPr lang="en-US" sz="1100" b="1" baseline="0"/>
            <a:t>Volume: 10 mill shares</a:t>
          </a:r>
        </a:p>
        <a:p>
          <a:r>
            <a:rPr lang="en-US" sz="1100" b="1" baseline="0"/>
            <a:t>Trades: 43k</a:t>
          </a:r>
        </a:p>
        <a:p>
          <a:endParaRPr lang="en-US" sz="1100"/>
        </a:p>
      </xdr:txBody>
    </xdr:sp>
    <xdr:clientData/>
  </xdr:twoCellAnchor>
  <xdr:twoCellAnchor>
    <xdr:from>
      <xdr:col>1</xdr:col>
      <xdr:colOff>132773</xdr:colOff>
      <xdr:row>227</xdr:row>
      <xdr:rowOff>95828</xdr:rowOff>
    </xdr:from>
    <xdr:to>
      <xdr:col>1</xdr:col>
      <xdr:colOff>591704</xdr:colOff>
      <xdr:row>229</xdr:row>
      <xdr:rowOff>72159</xdr:rowOff>
    </xdr:to>
    <xdr:cxnSp macro="">
      <xdr:nvCxnSpPr>
        <xdr:cNvPr id="7" name="Straight Arrow Connector 6">
          <a:extLst>
            <a:ext uri="{FF2B5EF4-FFF2-40B4-BE49-F238E27FC236}">
              <a16:creationId xmlns:a16="http://schemas.microsoft.com/office/drawing/2014/main" id="{00000000-0008-0000-0D00-000007000000}"/>
            </a:ext>
          </a:extLst>
        </xdr:cNvPr>
        <xdr:cNvCxnSpPr/>
      </xdr:nvCxnSpPr>
      <xdr:spPr>
        <a:xfrm flipH="1" flipV="1">
          <a:off x="1027546" y="23056851"/>
          <a:ext cx="458931" cy="380422"/>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498186</xdr:colOff>
      <xdr:row>230</xdr:row>
      <xdr:rowOff>87746</xdr:rowOff>
    </xdr:from>
    <xdr:to>
      <xdr:col>3</xdr:col>
      <xdr:colOff>202046</xdr:colOff>
      <xdr:row>232</xdr:row>
      <xdr:rowOff>173182</xdr:rowOff>
    </xdr:to>
    <xdr:sp macro="" textlink="">
      <xdr:nvSpPr>
        <xdr:cNvPr id="8" name="TextBox 7">
          <a:extLst>
            <a:ext uri="{FF2B5EF4-FFF2-40B4-BE49-F238E27FC236}">
              <a16:creationId xmlns:a16="http://schemas.microsoft.com/office/drawing/2014/main" id="{00000000-0008-0000-0D00-000008000000}"/>
            </a:ext>
          </a:extLst>
        </xdr:cNvPr>
        <xdr:cNvSpPr txBox="1"/>
      </xdr:nvSpPr>
      <xdr:spPr>
        <a:xfrm>
          <a:off x="1392959" y="23654905"/>
          <a:ext cx="1738746" cy="4895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Buy the dip 10.5</a:t>
          </a:r>
        </a:p>
      </xdr:txBody>
    </xdr:sp>
    <xdr:clientData/>
  </xdr:twoCellAnchor>
  <xdr:twoCellAnchor>
    <xdr:from>
      <xdr:col>2</xdr:col>
      <xdr:colOff>144318</xdr:colOff>
      <xdr:row>224</xdr:row>
      <xdr:rowOff>57727</xdr:rowOff>
    </xdr:from>
    <xdr:to>
      <xdr:col>2</xdr:col>
      <xdr:colOff>1197840</xdr:colOff>
      <xdr:row>228</xdr:row>
      <xdr:rowOff>14431</xdr:rowOff>
    </xdr:to>
    <xdr:cxnSp macro="">
      <xdr:nvCxnSpPr>
        <xdr:cNvPr id="10" name="Straight Arrow Connector 9">
          <a:extLst>
            <a:ext uri="{FF2B5EF4-FFF2-40B4-BE49-F238E27FC236}">
              <a16:creationId xmlns:a16="http://schemas.microsoft.com/office/drawing/2014/main" id="{00000000-0008-0000-0D00-00000A000000}"/>
            </a:ext>
          </a:extLst>
        </xdr:cNvPr>
        <xdr:cNvCxnSpPr/>
      </xdr:nvCxnSpPr>
      <xdr:spPr>
        <a:xfrm flipH="1" flipV="1">
          <a:off x="1861704" y="22412613"/>
          <a:ext cx="1053522" cy="76488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xdr:col>
      <xdr:colOff>350981</xdr:colOff>
      <xdr:row>228</xdr:row>
      <xdr:rowOff>20782</xdr:rowOff>
    </xdr:from>
    <xdr:to>
      <xdr:col>5</xdr:col>
      <xdr:colOff>389659</xdr:colOff>
      <xdr:row>232</xdr:row>
      <xdr:rowOff>129886</xdr:rowOff>
    </xdr:to>
    <xdr:sp macro="" textlink="">
      <xdr:nvSpPr>
        <xdr:cNvPr id="11" name="TextBox 10">
          <a:extLst>
            <a:ext uri="{FF2B5EF4-FFF2-40B4-BE49-F238E27FC236}">
              <a16:creationId xmlns:a16="http://schemas.microsoft.com/office/drawing/2014/main" id="{00000000-0008-0000-0D00-00000B000000}"/>
            </a:ext>
          </a:extLst>
        </xdr:cNvPr>
        <xdr:cNvSpPr txBox="1"/>
      </xdr:nvSpPr>
      <xdr:spPr>
        <a:xfrm>
          <a:off x="3280640" y="23183850"/>
          <a:ext cx="2116860" cy="917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Sell into strength at 11.50 - get out before mid</a:t>
          </a:r>
          <a:r>
            <a:rPr lang="en-US" sz="1600" baseline="0"/>
            <a:t> day. $1k = $105</a:t>
          </a:r>
          <a:endParaRPr lang="en-US" sz="1600"/>
        </a:p>
      </xdr:txBody>
    </xdr:sp>
    <xdr:clientData/>
  </xdr:twoCellAnchor>
  <xdr:twoCellAnchor>
    <xdr:from>
      <xdr:col>6</xdr:col>
      <xdr:colOff>317500</xdr:colOff>
      <xdr:row>226</xdr:row>
      <xdr:rowOff>115455</xdr:rowOff>
    </xdr:from>
    <xdr:to>
      <xdr:col>6</xdr:col>
      <xdr:colOff>978478</xdr:colOff>
      <xdr:row>229</xdr:row>
      <xdr:rowOff>57728</xdr:rowOff>
    </xdr:to>
    <xdr:cxnSp macro="">
      <xdr:nvCxnSpPr>
        <xdr:cNvPr id="13" name="Straight Arrow Connector 12">
          <a:extLst>
            <a:ext uri="{FF2B5EF4-FFF2-40B4-BE49-F238E27FC236}">
              <a16:creationId xmlns:a16="http://schemas.microsoft.com/office/drawing/2014/main" id="{00000000-0008-0000-0D00-00000D000000}"/>
            </a:ext>
          </a:extLst>
        </xdr:cNvPr>
        <xdr:cNvCxnSpPr/>
      </xdr:nvCxnSpPr>
      <xdr:spPr>
        <a:xfrm flipH="1" flipV="1">
          <a:off x="6205682" y="22874432"/>
          <a:ext cx="660978" cy="54841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884958</xdr:colOff>
      <xdr:row>230</xdr:row>
      <xdr:rowOff>73315</xdr:rowOff>
    </xdr:from>
    <xdr:to>
      <xdr:col>8</xdr:col>
      <xdr:colOff>632113</xdr:colOff>
      <xdr:row>234</xdr:row>
      <xdr:rowOff>158750</xdr:rowOff>
    </xdr:to>
    <xdr:sp macro="" textlink="">
      <xdr:nvSpPr>
        <xdr:cNvPr id="14" name="TextBox 13">
          <a:extLst>
            <a:ext uri="{FF2B5EF4-FFF2-40B4-BE49-F238E27FC236}">
              <a16:creationId xmlns:a16="http://schemas.microsoft.com/office/drawing/2014/main" id="{00000000-0008-0000-0D00-00000E000000}"/>
            </a:ext>
          </a:extLst>
        </xdr:cNvPr>
        <xdr:cNvSpPr txBox="1"/>
      </xdr:nvSpPr>
      <xdr:spPr>
        <a:xfrm>
          <a:off x="6773140" y="23640474"/>
          <a:ext cx="1738746" cy="8936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Buy late</a:t>
          </a:r>
          <a:r>
            <a:rPr lang="en-US" sz="1600" baseline="0"/>
            <a:t> afternoon pre-run - 11.00</a:t>
          </a:r>
          <a:endParaRPr lang="en-US" sz="1600"/>
        </a:p>
      </xdr:txBody>
    </xdr:sp>
    <xdr:clientData/>
  </xdr:twoCellAnchor>
  <xdr:twoCellAnchor>
    <xdr:from>
      <xdr:col>7</xdr:col>
      <xdr:colOff>303069</xdr:colOff>
      <xdr:row>222</xdr:row>
      <xdr:rowOff>129887</xdr:rowOff>
    </xdr:from>
    <xdr:to>
      <xdr:col>8</xdr:col>
      <xdr:colOff>415634</xdr:colOff>
      <xdr:row>228</xdr:row>
      <xdr:rowOff>0</xdr:rowOff>
    </xdr:to>
    <xdr:cxnSp macro="">
      <xdr:nvCxnSpPr>
        <xdr:cNvPr id="15" name="Straight Arrow Connector 14">
          <a:extLst>
            <a:ext uri="{FF2B5EF4-FFF2-40B4-BE49-F238E27FC236}">
              <a16:creationId xmlns:a16="http://schemas.microsoft.com/office/drawing/2014/main" id="{00000000-0008-0000-0D00-00000F000000}"/>
            </a:ext>
          </a:extLst>
        </xdr:cNvPr>
        <xdr:cNvCxnSpPr/>
      </xdr:nvCxnSpPr>
      <xdr:spPr>
        <a:xfrm flipH="1" flipV="1">
          <a:off x="7259205" y="22080682"/>
          <a:ext cx="1036202" cy="108238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8</xdr:col>
      <xdr:colOff>781048</xdr:colOff>
      <xdr:row>228</xdr:row>
      <xdr:rowOff>6351</xdr:rowOff>
    </xdr:from>
    <xdr:to>
      <xdr:col>10</xdr:col>
      <xdr:colOff>877454</xdr:colOff>
      <xdr:row>232</xdr:row>
      <xdr:rowOff>115455</xdr:rowOff>
    </xdr:to>
    <xdr:sp macro="" textlink="">
      <xdr:nvSpPr>
        <xdr:cNvPr id="16" name="TextBox 15">
          <a:extLst>
            <a:ext uri="{FF2B5EF4-FFF2-40B4-BE49-F238E27FC236}">
              <a16:creationId xmlns:a16="http://schemas.microsoft.com/office/drawing/2014/main" id="{00000000-0008-0000-0D00-000010000000}"/>
            </a:ext>
          </a:extLst>
        </xdr:cNvPr>
        <xdr:cNvSpPr txBox="1"/>
      </xdr:nvSpPr>
      <xdr:spPr>
        <a:xfrm>
          <a:off x="8660821" y="23169419"/>
          <a:ext cx="2116860" cy="917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Sell into strength at 12.30 - get out before close</a:t>
          </a:r>
          <a:r>
            <a:rPr lang="en-US" sz="1600" baseline="0"/>
            <a:t>. $1k = $134</a:t>
          </a:r>
          <a:endParaRPr lang="en-US" sz="1600"/>
        </a:p>
      </xdr:txBody>
    </xdr:sp>
    <xdr:clientData/>
  </xdr:twoCellAnchor>
  <xdr:twoCellAnchor editAs="oneCell">
    <xdr:from>
      <xdr:col>0</xdr:col>
      <xdr:colOff>0</xdr:colOff>
      <xdr:row>246</xdr:row>
      <xdr:rowOff>0</xdr:rowOff>
    </xdr:from>
    <xdr:to>
      <xdr:col>10</xdr:col>
      <xdr:colOff>247073</xdr:colOff>
      <xdr:row>267</xdr:row>
      <xdr:rowOff>87747</xdr:rowOff>
    </xdr:to>
    <xdr:pic>
      <xdr:nvPicPr>
        <xdr:cNvPr id="6" name="Picture 5">
          <a:extLst>
            <a:ext uri="{FF2B5EF4-FFF2-40B4-BE49-F238E27FC236}">
              <a16:creationId xmlns:a16="http://schemas.microsoft.com/office/drawing/2014/main" id="{00000000-0008-0000-0D00-000006000000}"/>
            </a:ext>
          </a:extLst>
        </xdr:cNvPr>
        <xdr:cNvPicPr>
          <a:picLocks noChangeAspect="1"/>
        </xdr:cNvPicPr>
      </xdr:nvPicPr>
      <xdr:blipFill>
        <a:blip xmlns:r="http://schemas.openxmlformats.org/officeDocument/2006/relationships" r:embed="rId1"/>
        <a:stretch>
          <a:fillRect/>
        </a:stretch>
      </xdr:blipFill>
      <xdr:spPr>
        <a:xfrm>
          <a:off x="0" y="38316477"/>
          <a:ext cx="10147300" cy="4330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50800</xdr:colOff>
      <xdr:row>124</xdr:row>
      <xdr:rowOff>50800</xdr:rowOff>
    </xdr:from>
    <xdr:to>
      <xdr:col>9</xdr:col>
      <xdr:colOff>93332</xdr:colOff>
      <xdr:row>147</xdr:row>
      <xdr:rowOff>38677</xdr:rowOff>
    </xdr:to>
    <xdr:pic>
      <xdr:nvPicPr>
        <xdr:cNvPr id="5" name="Picture 4">
          <a:extLst>
            <a:ext uri="{FF2B5EF4-FFF2-40B4-BE49-F238E27FC236}">
              <a16:creationId xmlns:a16="http://schemas.microsoft.com/office/drawing/2014/main" id="{00000000-0008-0000-0E00-000005000000}"/>
            </a:ext>
          </a:extLst>
        </xdr:cNvPr>
        <xdr:cNvPicPr>
          <a:picLocks noChangeAspect="1"/>
        </xdr:cNvPicPr>
      </xdr:nvPicPr>
      <xdr:blipFill>
        <a:blip xmlns:r="http://schemas.openxmlformats.org/officeDocument/2006/relationships" r:embed="rId1"/>
        <a:stretch>
          <a:fillRect/>
        </a:stretch>
      </xdr:blipFill>
      <xdr:spPr>
        <a:xfrm>
          <a:off x="50800" y="16713200"/>
          <a:ext cx="8640432" cy="4661477"/>
        </a:xfrm>
        <a:prstGeom prst="rect">
          <a:avLst/>
        </a:prstGeom>
      </xdr:spPr>
    </xdr:pic>
    <xdr:clientData/>
  </xdr:twoCellAnchor>
  <xdr:twoCellAnchor>
    <xdr:from>
      <xdr:col>1</xdr:col>
      <xdr:colOff>576695</xdr:colOff>
      <xdr:row>136</xdr:row>
      <xdr:rowOff>150091</xdr:rowOff>
    </xdr:from>
    <xdr:to>
      <xdr:col>2</xdr:col>
      <xdr:colOff>634423</xdr:colOff>
      <xdr:row>138</xdr:row>
      <xdr:rowOff>63500</xdr:rowOff>
    </xdr:to>
    <xdr:cxnSp macro="">
      <xdr:nvCxnSpPr>
        <xdr:cNvPr id="2" name="Straight Arrow Connector 1">
          <a:extLst>
            <a:ext uri="{FF2B5EF4-FFF2-40B4-BE49-F238E27FC236}">
              <a16:creationId xmlns:a16="http://schemas.microsoft.com/office/drawing/2014/main" id="{00000000-0008-0000-0E00-000002000000}"/>
            </a:ext>
          </a:extLst>
        </xdr:cNvPr>
        <xdr:cNvCxnSpPr/>
      </xdr:nvCxnSpPr>
      <xdr:spPr>
        <a:xfrm flipH="1" flipV="1">
          <a:off x="1402195" y="19555691"/>
          <a:ext cx="883228" cy="319809"/>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xdr:col>
      <xdr:colOff>197428</xdr:colOff>
      <xdr:row>129</xdr:row>
      <xdr:rowOff>148360</xdr:rowOff>
    </xdr:from>
    <xdr:to>
      <xdr:col>4</xdr:col>
      <xdr:colOff>55996</xdr:colOff>
      <xdr:row>131</xdr:row>
      <xdr:rowOff>60614</xdr:rowOff>
    </xdr:to>
    <xdr:cxnSp macro="">
      <xdr:nvCxnSpPr>
        <xdr:cNvPr id="3" name="Straight Arrow Connector 2">
          <a:extLst>
            <a:ext uri="{FF2B5EF4-FFF2-40B4-BE49-F238E27FC236}">
              <a16:creationId xmlns:a16="http://schemas.microsoft.com/office/drawing/2014/main" id="{00000000-0008-0000-0E00-000003000000}"/>
            </a:ext>
          </a:extLst>
        </xdr:cNvPr>
        <xdr:cNvCxnSpPr/>
      </xdr:nvCxnSpPr>
      <xdr:spPr>
        <a:xfrm flipH="1" flipV="1">
          <a:off x="2673928" y="18131560"/>
          <a:ext cx="684068" cy="318654"/>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xdr:col>
      <xdr:colOff>108527</xdr:colOff>
      <xdr:row>131</xdr:row>
      <xdr:rowOff>169141</xdr:rowOff>
    </xdr:from>
    <xdr:to>
      <xdr:col>5</xdr:col>
      <xdr:colOff>73891</xdr:colOff>
      <xdr:row>135</xdr:row>
      <xdr:rowOff>1155</xdr:rowOff>
    </xdr:to>
    <xdr:sp macro="" textlink="">
      <xdr:nvSpPr>
        <xdr:cNvPr id="4" name="TextBox 3">
          <a:extLst>
            <a:ext uri="{FF2B5EF4-FFF2-40B4-BE49-F238E27FC236}">
              <a16:creationId xmlns:a16="http://schemas.microsoft.com/office/drawing/2014/main" id="{00000000-0008-0000-0E00-000004000000}"/>
            </a:ext>
          </a:extLst>
        </xdr:cNvPr>
        <xdr:cNvSpPr txBox="1"/>
      </xdr:nvSpPr>
      <xdr:spPr>
        <a:xfrm>
          <a:off x="3410527" y="18558741"/>
          <a:ext cx="1197264" cy="6448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26%</a:t>
          </a:r>
          <a:r>
            <a:rPr lang="en-US" sz="1100" baseline="0"/>
            <a:t> move on 1,000 dollars = $250 profit</a:t>
          </a:r>
          <a:endParaRPr lang="en-US" sz="1100"/>
        </a:p>
      </xdr:txBody>
    </xdr:sp>
    <xdr:clientData/>
  </xdr:twoCellAnchor>
  <xdr:twoCellAnchor>
    <xdr:from>
      <xdr:col>2</xdr:col>
      <xdr:colOff>807027</xdr:colOff>
      <xdr:row>137</xdr:row>
      <xdr:rowOff>67541</xdr:rowOff>
    </xdr:from>
    <xdr:to>
      <xdr:col>4</xdr:col>
      <xdr:colOff>382732</xdr:colOff>
      <xdr:row>142</xdr:row>
      <xdr:rowOff>38100</xdr:rowOff>
    </xdr:to>
    <xdr:sp macro="" textlink="">
      <xdr:nvSpPr>
        <xdr:cNvPr id="6" name="TextBox 5">
          <a:extLst>
            <a:ext uri="{FF2B5EF4-FFF2-40B4-BE49-F238E27FC236}">
              <a16:creationId xmlns:a16="http://schemas.microsoft.com/office/drawing/2014/main" id="{00000000-0008-0000-0E00-000006000000}"/>
            </a:ext>
          </a:extLst>
        </xdr:cNvPr>
        <xdr:cNvSpPr txBox="1"/>
      </xdr:nvSpPr>
      <xdr:spPr>
        <a:xfrm>
          <a:off x="2458027" y="22622741"/>
          <a:ext cx="1226705" cy="9865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Only Recommended Entry at 10:30am on a round number</a:t>
          </a:r>
        </a:p>
      </xdr:txBody>
    </xdr:sp>
    <xdr:clientData/>
  </xdr:twoCellAnchor>
  <xdr:twoCellAnchor editAs="oneCell">
    <xdr:from>
      <xdr:col>0</xdr:col>
      <xdr:colOff>76200</xdr:colOff>
      <xdr:row>150</xdr:row>
      <xdr:rowOff>0</xdr:rowOff>
    </xdr:from>
    <xdr:to>
      <xdr:col>14</xdr:col>
      <xdr:colOff>279400</xdr:colOff>
      <xdr:row>171</xdr:row>
      <xdr:rowOff>38100</xdr:rowOff>
    </xdr:to>
    <xdr:pic>
      <xdr:nvPicPr>
        <xdr:cNvPr id="7" name="Picture 6">
          <a:extLst>
            <a:ext uri="{FF2B5EF4-FFF2-40B4-BE49-F238E27FC236}">
              <a16:creationId xmlns:a16="http://schemas.microsoft.com/office/drawing/2014/main" id="{00000000-0008-0000-0E00-000007000000}"/>
            </a:ext>
          </a:extLst>
        </xdr:cNvPr>
        <xdr:cNvPicPr>
          <a:picLocks noChangeAspect="1"/>
        </xdr:cNvPicPr>
      </xdr:nvPicPr>
      <xdr:blipFill>
        <a:blip xmlns:r="http://schemas.openxmlformats.org/officeDocument/2006/relationships" r:embed="rId1"/>
        <a:stretch>
          <a:fillRect/>
        </a:stretch>
      </xdr:blipFill>
      <xdr:spPr>
        <a:xfrm>
          <a:off x="76200" y="21945600"/>
          <a:ext cx="14617700" cy="4305300"/>
        </a:xfrm>
        <a:prstGeom prst="rect">
          <a:avLst/>
        </a:prstGeom>
      </xdr:spPr>
    </xdr:pic>
    <xdr:clientData/>
  </xdr:twoCellAnchor>
  <xdr:twoCellAnchor>
    <xdr:from>
      <xdr:col>11</xdr:col>
      <xdr:colOff>360795</xdr:colOff>
      <xdr:row>153</xdr:row>
      <xdr:rowOff>86592</xdr:rowOff>
    </xdr:from>
    <xdr:to>
      <xdr:col>11</xdr:col>
      <xdr:colOff>444500</xdr:colOff>
      <xdr:row>158</xdr:row>
      <xdr:rowOff>0</xdr:rowOff>
    </xdr:to>
    <xdr:cxnSp macro="">
      <xdr:nvCxnSpPr>
        <xdr:cNvPr id="8" name="Straight Arrow Connector 7">
          <a:extLst>
            <a:ext uri="{FF2B5EF4-FFF2-40B4-BE49-F238E27FC236}">
              <a16:creationId xmlns:a16="http://schemas.microsoft.com/office/drawing/2014/main" id="{00000000-0008-0000-0E00-000008000000}"/>
            </a:ext>
          </a:extLst>
        </xdr:cNvPr>
        <xdr:cNvCxnSpPr/>
      </xdr:nvCxnSpPr>
      <xdr:spPr>
        <a:xfrm flipH="1" flipV="1">
          <a:off x="10609695" y="22641792"/>
          <a:ext cx="83705" cy="929408"/>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387928</xdr:colOff>
      <xdr:row>160</xdr:row>
      <xdr:rowOff>97560</xdr:rowOff>
    </xdr:from>
    <xdr:to>
      <xdr:col>7</xdr:col>
      <xdr:colOff>25400</xdr:colOff>
      <xdr:row>163</xdr:row>
      <xdr:rowOff>63500</xdr:rowOff>
    </xdr:to>
    <xdr:cxnSp macro="">
      <xdr:nvCxnSpPr>
        <xdr:cNvPr id="9" name="Straight Arrow Connector 8">
          <a:extLst>
            <a:ext uri="{FF2B5EF4-FFF2-40B4-BE49-F238E27FC236}">
              <a16:creationId xmlns:a16="http://schemas.microsoft.com/office/drawing/2014/main" id="{00000000-0008-0000-0E00-000009000000}"/>
            </a:ext>
          </a:extLst>
        </xdr:cNvPr>
        <xdr:cNvCxnSpPr/>
      </xdr:nvCxnSpPr>
      <xdr:spPr>
        <a:xfrm flipH="1" flipV="1">
          <a:off x="5747328" y="24075160"/>
          <a:ext cx="742372" cy="57554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730827</xdr:colOff>
      <xdr:row>157</xdr:row>
      <xdr:rowOff>80241</xdr:rowOff>
    </xdr:from>
    <xdr:to>
      <xdr:col>11</xdr:col>
      <xdr:colOff>1102591</xdr:colOff>
      <xdr:row>160</xdr:row>
      <xdr:rowOff>115455</xdr:rowOff>
    </xdr:to>
    <xdr:sp macro="" textlink="">
      <xdr:nvSpPr>
        <xdr:cNvPr id="10" name="TextBox 9">
          <a:extLst>
            <a:ext uri="{FF2B5EF4-FFF2-40B4-BE49-F238E27FC236}">
              <a16:creationId xmlns:a16="http://schemas.microsoft.com/office/drawing/2014/main" id="{00000000-0008-0000-0E00-00000A000000}"/>
            </a:ext>
          </a:extLst>
        </xdr:cNvPr>
        <xdr:cNvSpPr txBox="1"/>
      </xdr:nvSpPr>
      <xdr:spPr>
        <a:xfrm>
          <a:off x="10154227" y="23448241"/>
          <a:ext cx="1197264" cy="6448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17% move on 1,000 dollars = $150 profit</a:t>
          </a:r>
          <a:endParaRPr lang="en-US" sz="1100"/>
        </a:p>
      </xdr:txBody>
    </xdr:sp>
    <xdr:clientData/>
  </xdr:twoCellAnchor>
  <xdr:twoCellAnchor>
    <xdr:from>
      <xdr:col>6</xdr:col>
      <xdr:colOff>946727</xdr:colOff>
      <xdr:row>164</xdr:row>
      <xdr:rowOff>42141</xdr:rowOff>
    </xdr:from>
    <xdr:to>
      <xdr:col>7</xdr:col>
      <xdr:colOff>1068532</xdr:colOff>
      <xdr:row>168</xdr:row>
      <xdr:rowOff>63500</xdr:rowOff>
    </xdr:to>
    <xdr:sp macro="" textlink="">
      <xdr:nvSpPr>
        <xdr:cNvPr id="11" name="TextBox 10">
          <a:extLst>
            <a:ext uri="{FF2B5EF4-FFF2-40B4-BE49-F238E27FC236}">
              <a16:creationId xmlns:a16="http://schemas.microsoft.com/office/drawing/2014/main" id="{00000000-0008-0000-0E00-00000B000000}"/>
            </a:ext>
          </a:extLst>
        </xdr:cNvPr>
        <xdr:cNvSpPr txBox="1"/>
      </xdr:nvSpPr>
      <xdr:spPr>
        <a:xfrm>
          <a:off x="6306127" y="24832541"/>
          <a:ext cx="1226705" cy="8341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Only Recommended Entry at 12:30pm just off 3</a:t>
          </a:r>
        </a:p>
      </xdr:txBody>
    </xdr:sp>
    <xdr:clientData/>
  </xdr:twoCellAnchor>
  <xdr:twoCellAnchor editAs="oneCell">
    <xdr:from>
      <xdr:col>0</xdr:col>
      <xdr:colOff>0</xdr:colOff>
      <xdr:row>174</xdr:row>
      <xdr:rowOff>0</xdr:rowOff>
    </xdr:from>
    <xdr:to>
      <xdr:col>11</xdr:col>
      <xdr:colOff>304800</xdr:colOff>
      <xdr:row>192</xdr:row>
      <xdr:rowOff>78631</xdr:rowOff>
    </xdr:to>
    <xdr:pic>
      <xdr:nvPicPr>
        <xdr:cNvPr id="12" name="Picture 11">
          <a:extLst>
            <a:ext uri="{FF2B5EF4-FFF2-40B4-BE49-F238E27FC236}">
              <a16:creationId xmlns:a16="http://schemas.microsoft.com/office/drawing/2014/main" id="{00000000-0008-0000-0E00-00000C000000}"/>
            </a:ext>
          </a:extLst>
        </xdr:cNvPr>
        <xdr:cNvPicPr>
          <a:picLocks noChangeAspect="1"/>
        </xdr:cNvPicPr>
      </xdr:nvPicPr>
      <xdr:blipFill>
        <a:blip xmlns:r="http://schemas.openxmlformats.org/officeDocument/2006/relationships" r:embed="rId1"/>
        <a:stretch>
          <a:fillRect/>
        </a:stretch>
      </xdr:blipFill>
      <xdr:spPr>
        <a:xfrm>
          <a:off x="0" y="26822400"/>
          <a:ext cx="10553700" cy="3736231"/>
        </a:xfrm>
        <a:prstGeom prst="rect">
          <a:avLst/>
        </a:prstGeom>
      </xdr:spPr>
    </xdr:pic>
    <xdr:clientData/>
  </xdr:twoCellAnchor>
  <xdr:twoCellAnchor>
    <xdr:from>
      <xdr:col>0</xdr:col>
      <xdr:colOff>393700</xdr:colOff>
      <xdr:row>174</xdr:row>
      <xdr:rowOff>190500</xdr:rowOff>
    </xdr:from>
    <xdr:to>
      <xdr:col>3</xdr:col>
      <xdr:colOff>76200</xdr:colOff>
      <xdr:row>179</xdr:row>
      <xdr:rowOff>8659</xdr:rowOff>
    </xdr:to>
    <xdr:sp macro="" textlink="">
      <xdr:nvSpPr>
        <xdr:cNvPr id="13" name="TextBox 12">
          <a:extLst>
            <a:ext uri="{FF2B5EF4-FFF2-40B4-BE49-F238E27FC236}">
              <a16:creationId xmlns:a16="http://schemas.microsoft.com/office/drawing/2014/main" id="{00000000-0008-0000-0E00-00000D000000}"/>
            </a:ext>
          </a:extLst>
        </xdr:cNvPr>
        <xdr:cNvSpPr txBox="1"/>
      </xdr:nvSpPr>
      <xdr:spPr>
        <a:xfrm>
          <a:off x="393700" y="27012900"/>
          <a:ext cx="2159000" cy="8341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AREX 6 month chart</a:t>
          </a:r>
        </a:p>
      </xdr:txBody>
    </xdr:sp>
    <xdr:clientData/>
  </xdr:twoCellAnchor>
  <xdr:twoCellAnchor>
    <xdr:from>
      <xdr:col>4</xdr:col>
      <xdr:colOff>381000</xdr:colOff>
      <xdr:row>177</xdr:row>
      <xdr:rowOff>50800</xdr:rowOff>
    </xdr:from>
    <xdr:to>
      <xdr:col>11</xdr:col>
      <xdr:colOff>393700</xdr:colOff>
      <xdr:row>177</xdr:row>
      <xdr:rowOff>76200</xdr:rowOff>
    </xdr:to>
    <xdr:cxnSp macro="">
      <xdr:nvCxnSpPr>
        <xdr:cNvPr id="15" name="Straight Connector 14">
          <a:extLst>
            <a:ext uri="{FF2B5EF4-FFF2-40B4-BE49-F238E27FC236}">
              <a16:creationId xmlns:a16="http://schemas.microsoft.com/office/drawing/2014/main" id="{00000000-0008-0000-0E00-00000F000000}"/>
            </a:ext>
          </a:extLst>
        </xdr:cNvPr>
        <xdr:cNvCxnSpPr/>
      </xdr:nvCxnSpPr>
      <xdr:spPr>
        <a:xfrm flipV="1">
          <a:off x="3683000" y="27482800"/>
          <a:ext cx="6959600" cy="254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635000</xdr:colOff>
      <xdr:row>176</xdr:row>
      <xdr:rowOff>63500</xdr:rowOff>
    </xdr:from>
    <xdr:to>
      <xdr:col>4</xdr:col>
      <xdr:colOff>330200</xdr:colOff>
      <xdr:row>178</xdr:row>
      <xdr:rowOff>12700</xdr:rowOff>
    </xdr:to>
    <xdr:sp macro="" textlink="">
      <xdr:nvSpPr>
        <xdr:cNvPr id="16" name="Oval 15">
          <a:extLst>
            <a:ext uri="{FF2B5EF4-FFF2-40B4-BE49-F238E27FC236}">
              <a16:creationId xmlns:a16="http://schemas.microsoft.com/office/drawing/2014/main" id="{00000000-0008-0000-0E00-000010000000}"/>
            </a:ext>
          </a:extLst>
        </xdr:cNvPr>
        <xdr:cNvSpPr/>
      </xdr:nvSpPr>
      <xdr:spPr>
        <a:xfrm>
          <a:off x="3111500" y="27292300"/>
          <a:ext cx="520700" cy="355600"/>
        </a:xfrm>
        <a:prstGeom prst="ellipse">
          <a:avLst/>
        </a:prstGeom>
        <a:no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762000</xdr:colOff>
      <xdr:row>176</xdr:row>
      <xdr:rowOff>101600</xdr:rowOff>
    </xdr:from>
    <xdr:to>
      <xdr:col>6</xdr:col>
      <xdr:colOff>457200</xdr:colOff>
      <xdr:row>178</xdr:row>
      <xdr:rowOff>101600</xdr:rowOff>
    </xdr:to>
    <xdr:sp macro="" textlink="">
      <xdr:nvSpPr>
        <xdr:cNvPr id="18" name="Oval 17">
          <a:extLst>
            <a:ext uri="{FF2B5EF4-FFF2-40B4-BE49-F238E27FC236}">
              <a16:creationId xmlns:a16="http://schemas.microsoft.com/office/drawing/2014/main" id="{00000000-0008-0000-0E00-000012000000}"/>
            </a:ext>
          </a:extLst>
        </xdr:cNvPr>
        <xdr:cNvSpPr/>
      </xdr:nvSpPr>
      <xdr:spPr>
        <a:xfrm>
          <a:off x="5295900" y="27330400"/>
          <a:ext cx="520700" cy="406400"/>
        </a:xfrm>
        <a:prstGeom prst="ellipse">
          <a:avLst/>
        </a:prstGeom>
        <a:no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266700</xdr:colOff>
      <xdr:row>176</xdr:row>
      <xdr:rowOff>190500</xdr:rowOff>
    </xdr:from>
    <xdr:to>
      <xdr:col>5</xdr:col>
      <xdr:colOff>787400</xdr:colOff>
      <xdr:row>178</xdr:row>
      <xdr:rowOff>190500</xdr:rowOff>
    </xdr:to>
    <xdr:sp macro="" textlink="">
      <xdr:nvSpPr>
        <xdr:cNvPr id="20" name="Oval 19">
          <a:extLst>
            <a:ext uri="{FF2B5EF4-FFF2-40B4-BE49-F238E27FC236}">
              <a16:creationId xmlns:a16="http://schemas.microsoft.com/office/drawing/2014/main" id="{00000000-0008-0000-0E00-000014000000}"/>
            </a:ext>
          </a:extLst>
        </xdr:cNvPr>
        <xdr:cNvSpPr/>
      </xdr:nvSpPr>
      <xdr:spPr>
        <a:xfrm>
          <a:off x="4800600" y="27419300"/>
          <a:ext cx="520700" cy="406400"/>
        </a:xfrm>
        <a:prstGeom prst="ellipse">
          <a:avLst/>
        </a:prstGeom>
        <a:no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174</xdr:row>
      <xdr:rowOff>0</xdr:rowOff>
    </xdr:from>
    <xdr:to>
      <xdr:col>7</xdr:col>
      <xdr:colOff>495300</xdr:colOff>
      <xdr:row>174</xdr:row>
      <xdr:rowOff>25400</xdr:rowOff>
    </xdr:to>
    <xdr:cxnSp macro="">
      <xdr:nvCxnSpPr>
        <xdr:cNvPr id="21" name="Straight Connector 20">
          <a:extLst>
            <a:ext uri="{FF2B5EF4-FFF2-40B4-BE49-F238E27FC236}">
              <a16:creationId xmlns:a16="http://schemas.microsoft.com/office/drawing/2014/main" id="{00000000-0008-0000-0E00-000015000000}"/>
            </a:ext>
          </a:extLst>
        </xdr:cNvPr>
        <xdr:cNvCxnSpPr/>
      </xdr:nvCxnSpPr>
      <xdr:spPr>
        <a:xfrm flipV="1">
          <a:off x="0" y="26822400"/>
          <a:ext cx="6959600" cy="254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685800</xdr:colOff>
      <xdr:row>176</xdr:row>
      <xdr:rowOff>88900</xdr:rowOff>
    </xdr:from>
    <xdr:to>
      <xdr:col>10</xdr:col>
      <xdr:colOff>381000</xdr:colOff>
      <xdr:row>178</xdr:row>
      <xdr:rowOff>38100</xdr:rowOff>
    </xdr:to>
    <xdr:sp macro="" textlink="">
      <xdr:nvSpPr>
        <xdr:cNvPr id="22" name="Oval 21">
          <a:extLst>
            <a:ext uri="{FF2B5EF4-FFF2-40B4-BE49-F238E27FC236}">
              <a16:creationId xmlns:a16="http://schemas.microsoft.com/office/drawing/2014/main" id="{00000000-0008-0000-0E00-000016000000}"/>
            </a:ext>
          </a:extLst>
        </xdr:cNvPr>
        <xdr:cNvSpPr/>
      </xdr:nvSpPr>
      <xdr:spPr>
        <a:xfrm>
          <a:off x="9283700" y="27317700"/>
          <a:ext cx="520700" cy="355600"/>
        </a:xfrm>
        <a:prstGeom prst="ellipse">
          <a:avLst/>
        </a:prstGeom>
        <a:no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0</xdr:colOff>
      <xdr:row>178</xdr:row>
      <xdr:rowOff>12700</xdr:rowOff>
    </xdr:from>
    <xdr:to>
      <xdr:col>10</xdr:col>
      <xdr:colOff>546100</xdr:colOff>
      <xdr:row>183</xdr:row>
      <xdr:rowOff>190500</xdr:rowOff>
    </xdr:to>
    <xdr:cxnSp macro="">
      <xdr:nvCxnSpPr>
        <xdr:cNvPr id="23" name="Straight Arrow Connector 22">
          <a:extLst>
            <a:ext uri="{FF2B5EF4-FFF2-40B4-BE49-F238E27FC236}">
              <a16:creationId xmlns:a16="http://schemas.microsoft.com/office/drawing/2014/main" id="{00000000-0008-0000-0E00-000017000000}"/>
            </a:ext>
          </a:extLst>
        </xdr:cNvPr>
        <xdr:cNvCxnSpPr/>
      </xdr:nvCxnSpPr>
      <xdr:spPr>
        <a:xfrm flipV="1">
          <a:off x="9423400" y="27647900"/>
          <a:ext cx="546100" cy="119380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8</xdr:col>
      <xdr:colOff>368300</xdr:colOff>
      <xdr:row>185</xdr:row>
      <xdr:rowOff>25400</xdr:rowOff>
    </xdr:from>
    <xdr:to>
      <xdr:col>10</xdr:col>
      <xdr:colOff>660400</xdr:colOff>
      <xdr:row>189</xdr:row>
      <xdr:rowOff>46759</xdr:rowOff>
    </xdr:to>
    <xdr:sp macro="" textlink="">
      <xdr:nvSpPr>
        <xdr:cNvPr id="26" name="TextBox 25">
          <a:extLst>
            <a:ext uri="{FF2B5EF4-FFF2-40B4-BE49-F238E27FC236}">
              <a16:creationId xmlns:a16="http://schemas.microsoft.com/office/drawing/2014/main" id="{00000000-0008-0000-0E00-00001A000000}"/>
            </a:ext>
          </a:extLst>
        </xdr:cNvPr>
        <xdr:cNvSpPr txBox="1"/>
      </xdr:nvSpPr>
      <xdr:spPr>
        <a:xfrm>
          <a:off x="7924800" y="29083000"/>
          <a:ext cx="2159000" cy="8341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Breakout.</a:t>
          </a:r>
          <a:r>
            <a:rPr lang="en-US" sz="1100" baseline="0"/>
            <a:t> In 3. Out 3.5 on $1,000 for $170 dollar profit</a:t>
          </a:r>
          <a:endParaRPr lang="en-US" sz="1100"/>
        </a:p>
      </xdr:txBody>
    </xdr:sp>
    <xdr:clientData/>
  </xdr:twoCellAnchor>
  <xdr:twoCellAnchor editAs="oneCell">
    <xdr:from>
      <xdr:col>0</xdr:col>
      <xdr:colOff>6534</xdr:colOff>
      <xdr:row>192</xdr:row>
      <xdr:rowOff>139700</xdr:rowOff>
    </xdr:from>
    <xdr:to>
      <xdr:col>12</xdr:col>
      <xdr:colOff>1371599</xdr:colOff>
      <xdr:row>215</xdr:row>
      <xdr:rowOff>12700</xdr:rowOff>
    </xdr:to>
    <xdr:pic>
      <xdr:nvPicPr>
        <xdr:cNvPr id="29" name="Picture 28">
          <a:extLst>
            <a:ext uri="{FF2B5EF4-FFF2-40B4-BE49-F238E27FC236}">
              <a16:creationId xmlns:a16="http://schemas.microsoft.com/office/drawing/2014/main" id="{00000000-0008-0000-0E00-00001D000000}"/>
            </a:ext>
          </a:extLst>
        </xdr:cNvPr>
        <xdr:cNvPicPr>
          <a:picLocks noChangeAspect="1"/>
        </xdr:cNvPicPr>
      </xdr:nvPicPr>
      <xdr:blipFill>
        <a:blip xmlns:r="http://schemas.openxmlformats.org/officeDocument/2006/relationships" r:embed="rId1"/>
        <a:stretch>
          <a:fillRect/>
        </a:stretch>
      </xdr:blipFill>
      <xdr:spPr>
        <a:xfrm>
          <a:off x="6534" y="30619700"/>
          <a:ext cx="12756965" cy="4546600"/>
        </a:xfrm>
        <a:prstGeom prst="rect">
          <a:avLst/>
        </a:prstGeom>
      </xdr:spPr>
    </xdr:pic>
    <xdr:clientData/>
  </xdr:twoCellAnchor>
  <xdr:twoCellAnchor>
    <xdr:from>
      <xdr:col>0</xdr:col>
      <xdr:colOff>70034</xdr:colOff>
      <xdr:row>193</xdr:row>
      <xdr:rowOff>50800</xdr:rowOff>
    </xdr:from>
    <xdr:to>
      <xdr:col>2</xdr:col>
      <xdr:colOff>578034</xdr:colOff>
      <xdr:row>197</xdr:row>
      <xdr:rowOff>72159</xdr:rowOff>
    </xdr:to>
    <xdr:sp macro="" textlink="">
      <xdr:nvSpPr>
        <xdr:cNvPr id="30" name="TextBox 29">
          <a:extLst>
            <a:ext uri="{FF2B5EF4-FFF2-40B4-BE49-F238E27FC236}">
              <a16:creationId xmlns:a16="http://schemas.microsoft.com/office/drawing/2014/main" id="{00000000-0008-0000-0E00-00001E000000}"/>
            </a:ext>
          </a:extLst>
        </xdr:cNvPr>
        <xdr:cNvSpPr txBox="1"/>
      </xdr:nvSpPr>
      <xdr:spPr>
        <a:xfrm>
          <a:off x="70034" y="30734000"/>
          <a:ext cx="2159000" cy="8341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AREX 6 Daily Chart</a:t>
          </a:r>
        </a:p>
      </xdr:txBody>
    </xdr:sp>
    <xdr:clientData/>
  </xdr:twoCellAnchor>
  <xdr:twoCellAnchor>
    <xdr:from>
      <xdr:col>1</xdr:col>
      <xdr:colOff>31934</xdr:colOff>
      <xdr:row>205</xdr:row>
      <xdr:rowOff>139700</xdr:rowOff>
    </xdr:from>
    <xdr:to>
      <xdr:col>2</xdr:col>
      <xdr:colOff>812800</xdr:colOff>
      <xdr:row>205</xdr:row>
      <xdr:rowOff>165100</xdr:rowOff>
    </xdr:to>
    <xdr:cxnSp macro="">
      <xdr:nvCxnSpPr>
        <xdr:cNvPr id="31" name="Straight Arrow Connector 30">
          <a:extLst>
            <a:ext uri="{FF2B5EF4-FFF2-40B4-BE49-F238E27FC236}">
              <a16:creationId xmlns:a16="http://schemas.microsoft.com/office/drawing/2014/main" id="{00000000-0008-0000-0E00-00001F000000}"/>
            </a:ext>
          </a:extLst>
        </xdr:cNvPr>
        <xdr:cNvCxnSpPr/>
      </xdr:nvCxnSpPr>
      <xdr:spPr>
        <a:xfrm flipH="1">
          <a:off x="857434" y="33261300"/>
          <a:ext cx="1606366" cy="2540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xdr:col>
      <xdr:colOff>235134</xdr:colOff>
      <xdr:row>204</xdr:row>
      <xdr:rowOff>177801</xdr:rowOff>
    </xdr:from>
    <xdr:to>
      <xdr:col>4</xdr:col>
      <xdr:colOff>774700</xdr:colOff>
      <xdr:row>206</xdr:row>
      <xdr:rowOff>127001</xdr:rowOff>
    </xdr:to>
    <xdr:sp macro="" textlink="">
      <xdr:nvSpPr>
        <xdr:cNvPr id="34" name="TextBox 33">
          <a:extLst>
            <a:ext uri="{FF2B5EF4-FFF2-40B4-BE49-F238E27FC236}">
              <a16:creationId xmlns:a16="http://schemas.microsoft.com/office/drawing/2014/main" id="{00000000-0008-0000-0E00-000022000000}"/>
            </a:ext>
          </a:extLst>
        </xdr:cNvPr>
        <xdr:cNvSpPr txBox="1"/>
      </xdr:nvSpPr>
      <xdr:spPr>
        <a:xfrm>
          <a:off x="2711634" y="33096201"/>
          <a:ext cx="1365066" cy="35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Buy</a:t>
          </a:r>
          <a:r>
            <a:rPr lang="en-US" sz="1100" baseline="0"/>
            <a:t> the breakout!</a:t>
          </a:r>
          <a:endParaRPr lang="en-US" sz="1100"/>
        </a:p>
      </xdr:txBody>
    </xdr:sp>
    <xdr:clientData/>
  </xdr:twoCellAnchor>
  <xdr:twoCellAnchor editAs="oneCell">
    <xdr:from>
      <xdr:col>0</xdr:col>
      <xdr:colOff>0</xdr:colOff>
      <xdr:row>218</xdr:row>
      <xdr:rowOff>177800</xdr:rowOff>
    </xdr:from>
    <xdr:to>
      <xdr:col>12</xdr:col>
      <xdr:colOff>1202152</xdr:colOff>
      <xdr:row>238</xdr:row>
      <xdr:rowOff>139700</xdr:rowOff>
    </xdr:to>
    <xdr:pic>
      <xdr:nvPicPr>
        <xdr:cNvPr id="14" name="Picture 13">
          <a:extLst>
            <a:ext uri="{FF2B5EF4-FFF2-40B4-BE49-F238E27FC236}">
              <a16:creationId xmlns:a16="http://schemas.microsoft.com/office/drawing/2014/main" id="{00000000-0008-0000-0E00-00000E000000}"/>
            </a:ext>
          </a:extLst>
        </xdr:cNvPr>
        <xdr:cNvPicPr>
          <a:picLocks noChangeAspect="1"/>
        </xdr:cNvPicPr>
      </xdr:nvPicPr>
      <xdr:blipFill>
        <a:blip xmlns:r="http://schemas.openxmlformats.org/officeDocument/2006/relationships" r:embed="rId1"/>
        <a:stretch>
          <a:fillRect/>
        </a:stretch>
      </xdr:blipFill>
      <xdr:spPr>
        <a:xfrm>
          <a:off x="0" y="35941000"/>
          <a:ext cx="12594052" cy="4025900"/>
        </a:xfrm>
        <a:prstGeom prst="rect">
          <a:avLst/>
        </a:prstGeom>
      </xdr:spPr>
    </xdr:pic>
    <xdr:clientData/>
  </xdr:twoCellAnchor>
  <xdr:twoCellAnchor>
    <xdr:from>
      <xdr:col>0</xdr:col>
      <xdr:colOff>0</xdr:colOff>
      <xdr:row>218</xdr:row>
      <xdr:rowOff>177800</xdr:rowOff>
    </xdr:from>
    <xdr:to>
      <xdr:col>1</xdr:col>
      <xdr:colOff>780866</xdr:colOff>
      <xdr:row>219</xdr:row>
      <xdr:rowOff>0</xdr:rowOff>
    </xdr:to>
    <xdr:cxnSp macro="">
      <xdr:nvCxnSpPr>
        <xdr:cNvPr id="27" name="Straight Arrow Connector 26">
          <a:extLst>
            <a:ext uri="{FF2B5EF4-FFF2-40B4-BE49-F238E27FC236}">
              <a16:creationId xmlns:a16="http://schemas.microsoft.com/office/drawing/2014/main" id="{00000000-0008-0000-0E00-00001B000000}"/>
            </a:ext>
          </a:extLst>
        </xdr:cNvPr>
        <xdr:cNvCxnSpPr/>
      </xdr:nvCxnSpPr>
      <xdr:spPr>
        <a:xfrm flipH="1">
          <a:off x="0" y="35941000"/>
          <a:ext cx="1606366" cy="2540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38100</xdr:colOff>
      <xdr:row>227</xdr:row>
      <xdr:rowOff>190500</xdr:rowOff>
    </xdr:from>
    <xdr:to>
      <xdr:col>7</xdr:col>
      <xdr:colOff>889000</xdr:colOff>
      <xdr:row>230</xdr:row>
      <xdr:rowOff>165100</xdr:rowOff>
    </xdr:to>
    <xdr:cxnSp macro="">
      <xdr:nvCxnSpPr>
        <xdr:cNvPr id="28" name="Straight Arrow Connector 27">
          <a:extLst>
            <a:ext uri="{FF2B5EF4-FFF2-40B4-BE49-F238E27FC236}">
              <a16:creationId xmlns:a16="http://schemas.microsoft.com/office/drawing/2014/main" id="{00000000-0008-0000-0E00-00001C000000}"/>
            </a:ext>
          </a:extLst>
        </xdr:cNvPr>
        <xdr:cNvCxnSpPr/>
      </xdr:nvCxnSpPr>
      <xdr:spPr>
        <a:xfrm flipH="1" flipV="1">
          <a:off x="6502400" y="37782500"/>
          <a:ext cx="850900" cy="58420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635000</xdr:colOff>
      <xdr:row>231</xdr:row>
      <xdr:rowOff>0</xdr:rowOff>
    </xdr:from>
    <xdr:to>
      <xdr:col>8</xdr:col>
      <xdr:colOff>907866</xdr:colOff>
      <xdr:row>234</xdr:row>
      <xdr:rowOff>88900</xdr:rowOff>
    </xdr:to>
    <xdr:sp macro="" textlink="">
      <xdr:nvSpPr>
        <xdr:cNvPr id="32" name="TextBox 31">
          <a:extLst>
            <a:ext uri="{FF2B5EF4-FFF2-40B4-BE49-F238E27FC236}">
              <a16:creationId xmlns:a16="http://schemas.microsoft.com/office/drawing/2014/main" id="{00000000-0008-0000-0E00-000020000000}"/>
            </a:ext>
          </a:extLst>
        </xdr:cNvPr>
        <xdr:cNvSpPr txBox="1"/>
      </xdr:nvSpPr>
      <xdr:spPr>
        <a:xfrm>
          <a:off x="7099300" y="41656000"/>
          <a:ext cx="1365066" cy="69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Buy Washout After strong first day around 9:20</a:t>
          </a:r>
        </a:p>
      </xdr:txBody>
    </xdr:sp>
    <xdr:clientData/>
  </xdr:twoCellAnchor>
  <xdr:twoCellAnchor>
    <xdr:from>
      <xdr:col>9</xdr:col>
      <xdr:colOff>76200</xdr:colOff>
      <xdr:row>225</xdr:row>
      <xdr:rowOff>190500</xdr:rowOff>
    </xdr:from>
    <xdr:to>
      <xdr:col>10</xdr:col>
      <xdr:colOff>609600</xdr:colOff>
      <xdr:row>229</xdr:row>
      <xdr:rowOff>88900</xdr:rowOff>
    </xdr:to>
    <xdr:sp macro="" textlink="">
      <xdr:nvSpPr>
        <xdr:cNvPr id="33" name="TextBox 32">
          <a:extLst>
            <a:ext uri="{FF2B5EF4-FFF2-40B4-BE49-F238E27FC236}">
              <a16:creationId xmlns:a16="http://schemas.microsoft.com/office/drawing/2014/main" id="{00000000-0008-0000-0E00-000021000000}"/>
            </a:ext>
          </a:extLst>
        </xdr:cNvPr>
        <xdr:cNvSpPr txBox="1"/>
      </xdr:nvSpPr>
      <xdr:spPr>
        <a:xfrm>
          <a:off x="8674100" y="37376100"/>
          <a:ext cx="1358900" cy="71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Sell into strengh</a:t>
          </a:r>
          <a:r>
            <a:rPr lang="en-US" sz="1100" baseline="0"/>
            <a:t> Out 9:80 $1k stake is easy $65</a:t>
          </a:r>
          <a:endParaRPr lang="en-US" sz="1100"/>
        </a:p>
      </xdr:txBody>
    </xdr:sp>
    <xdr:clientData/>
  </xdr:twoCellAnchor>
  <xdr:twoCellAnchor>
    <xdr:from>
      <xdr:col>8</xdr:col>
      <xdr:colOff>787400</xdr:colOff>
      <xdr:row>222</xdr:row>
      <xdr:rowOff>76200</xdr:rowOff>
    </xdr:from>
    <xdr:to>
      <xdr:col>9</xdr:col>
      <xdr:colOff>596900</xdr:colOff>
      <xdr:row>225</xdr:row>
      <xdr:rowOff>50800</xdr:rowOff>
    </xdr:to>
    <xdr:cxnSp macro="">
      <xdr:nvCxnSpPr>
        <xdr:cNvPr id="35" name="Straight Arrow Connector 34">
          <a:extLst>
            <a:ext uri="{FF2B5EF4-FFF2-40B4-BE49-F238E27FC236}">
              <a16:creationId xmlns:a16="http://schemas.microsoft.com/office/drawing/2014/main" id="{00000000-0008-0000-0E00-000023000000}"/>
            </a:ext>
          </a:extLst>
        </xdr:cNvPr>
        <xdr:cNvCxnSpPr/>
      </xdr:nvCxnSpPr>
      <xdr:spPr>
        <a:xfrm flipH="1" flipV="1">
          <a:off x="8343900" y="36652200"/>
          <a:ext cx="850900" cy="58420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editAs="oneCell">
    <xdr:from>
      <xdr:col>0</xdr:col>
      <xdr:colOff>0</xdr:colOff>
      <xdr:row>241</xdr:row>
      <xdr:rowOff>0</xdr:rowOff>
    </xdr:from>
    <xdr:to>
      <xdr:col>14</xdr:col>
      <xdr:colOff>342900</xdr:colOff>
      <xdr:row>265</xdr:row>
      <xdr:rowOff>101600</xdr:rowOff>
    </xdr:to>
    <xdr:pic>
      <xdr:nvPicPr>
        <xdr:cNvPr id="17" name="Picture 16">
          <a:extLst>
            <a:ext uri="{FF2B5EF4-FFF2-40B4-BE49-F238E27FC236}">
              <a16:creationId xmlns:a16="http://schemas.microsoft.com/office/drawing/2014/main" id="{00000000-0008-0000-0E00-000011000000}"/>
            </a:ext>
          </a:extLst>
        </xdr:cNvPr>
        <xdr:cNvPicPr>
          <a:picLocks noChangeAspect="1"/>
        </xdr:cNvPicPr>
      </xdr:nvPicPr>
      <xdr:blipFill>
        <a:blip xmlns:r="http://schemas.openxmlformats.org/officeDocument/2006/relationships" r:embed="rId1"/>
        <a:stretch>
          <a:fillRect/>
        </a:stretch>
      </xdr:blipFill>
      <xdr:spPr>
        <a:xfrm>
          <a:off x="0" y="41452800"/>
          <a:ext cx="14757400" cy="4978400"/>
        </a:xfrm>
        <a:prstGeom prst="rect">
          <a:avLst/>
        </a:prstGeom>
      </xdr:spPr>
    </xdr:pic>
    <xdr:clientData/>
  </xdr:twoCellAnchor>
  <xdr:twoCellAnchor editAs="oneCell">
    <xdr:from>
      <xdr:col>0</xdr:col>
      <xdr:colOff>0</xdr:colOff>
      <xdr:row>266</xdr:row>
      <xdr:rowOff>0</xdr:rowOff>
    </xdr:from>
    <xdr:to>
      <xdr:col>14</xdr:col>
      <xdr:colOff>393700</xdr:colOff>
      <xdr:row>291</xdr:row>
      <xdr:rowOff>190500</xdr:rowOff>
    </xdr:to>
    <xdr:pic>
      <xdr:nvPicPr>
        <xdr:cNvPr id="24" name="Picture 23">
          <a:extLst>
            <a:ext uri="{FF2B5EF4-FFF2-40B4-BE49-F238E27FC236}">
              <a16:creationId xmlns:a16="http://schemas.microsoft.com/office/drawing/2014/main" id="{00000000-0008-0000-0E00-000018000000}"/>
            </a:ext>
          </a:extLst>
        </xdr:cNvPr>
        <xdr:cNvPicPr>
          <a:picLocks noChangeAspect="1"/>
        </xdr:cNvPicPr>
      </xdr:nvPicPr>
      <xdr:blipFill>
        <a:blip xmlns:r="http://schemas.openxmlformats.org/officeDocument/2006/relationships" r:embed="rId1"/>
        <a:stretch>
          <a:fillRect/>
        </a:stretch>
      </xdr:blipFill>
      <xdr:spPr>
        <a:xfrm>
          <a:off x="0" y="46532800"/>
          <a:ext cx="14808200" cy="5270500"/>
        </a:xfrm>
        <a:prstGeom prst="rect">
          <a:avLst/>
        </a:prstGeom>
      </xdr:spPr>
    </xdr:pic>
    <xdr:clientData/>
  </xdr:twoCellAnchor>
  <xdr:twoCellAnchor>
    <xdr:from>
      <xdr:col>0</xdr:col>
      <xdr:colOff>139700</xdr:colOff>
      <xdr:row>219</xdr:row>
      <xdr:rowOff>177800</xdr:rowOff>
    </xdr:from>
    <xdr:to>
      <xdr:col>2</xdr:col>
      <xdr:colOff>647700</xdr:colOff>
      <xdr:row>223</xdr:row>
      <xdr:rowOff>199159</xdr:rowOff>
    </xdr:to>
    <xdr:sp macro="" textlink="">
      <xdr:nvSpPr>
        <xdr:cNvPr id="36" name="TextBox 35">
          <a:extLst>
            <a:ext uri="{FF2B5EF4-FFF2-40B4-BE49-F238E27FC236}">
              <a16:creationId xmlns:a16="http://schemas.microsoft.com/office/drawing/2014/main" id="{00000000-0008-0000-0E00-000024000000}"/>
            </a:ext>
          </a:extLst>
        </xdr:cNvPr>
        <xdr:cNvSpPr txBox="1"/>
      </xdr:nvSpPr>
      <xdr:spPr>
        <a:xfrm>
          <a:off x="139700" y="37160200"/>
          <a:ext cx="2159000" cy="8341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LNTH Two day chart</a:t>
          </a:r>
        </a:p>
      </xdr:txBody>
    </xdr:sp>
    <xdr:clientData/>
  </xdr:twoCellAnchor>
  <xdr:twoCellAnchor>
    <xdr:from>
      <xdr:col>0</xdr:col>
      <xdr:colOff>25400</xdr:colOff>
      <xdr:row>244</xdr:row>
      <xdr:rowOff>63500</xdr:rowOff>
    </xdr:from>
    <xdr:to>
      <xdr:col>2</xdr:col>
      <xdr:colOff>533400</xdr:colOff>
      <xdr:row>248</xdr:row>
      <xdr:rowOff>84859</xdr:rowOff>
    </xdr:to>
    <xdr:sp macro="" textlink="">
      <xdr:nvSpPr>
        <xdr:cNvPr id="37" name="TextBox 36">
          <a:extLst>
            <a:ext uri="{FF2B5EF4-FFF2-40B4-BE49-F238E27FC236}">
              <a16:creationId xmlns:a16="http://schemas.microsoft.com/office/drawing/2014/main" id="{00000000-0008-0000-0E00-000025000000}"/>
            </a:ext>
          </a:extLst>
        </xdr:cNvPr>
        <xdr:cNvSpPr txBox="1"/>
      </xdr:nvSpPr>
      <xdr:spPr>
        <a:xfrm>
          <a:off x="25400" y="42125900"/>
          <a:ext cx="2159000" cy="8341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BCEI</a:t>
          </a:r>
          <a:r>
            <a:rPr lang="en-US" sz="1100" baseline="0"/>
            <a:t> 5 day Chart</a:t>
          </a:r>
          <a:endParaRPr lang="en-US" sz="1100"/>
        </a:p>
      </xdr:txBody>
    </xdr:sp>
    <xdr:clientData/>
  </xdr:twoCellAnchor>
  <xdr:twoCellAnchor>
    <xdr:from>
      <xdr:col>2</xdr:col>
      <xdr:colOff>279400</xdr:colOff>
      <xdr:row>269</xdr:row>
      <xdr:rowOff>190500</xdr:rowOff>
    </xdr:from>
    <xdr:to>
      <xdr:col>4</xdr:col>
      <xdr:colOff>787400</xdr:colOff>
      <xdr:row>274</xdr:row>
      <xdr:rowOff>8659</xdr:rowOff>
    </xdr:to>
    <xdr:sp macro="" textlink="">
      <xdr:nvSpPr>
        <xdr:cNvPr id="38" name="TextBox 37">
          <a:extLst>
            <a:ext uri="{FF2B5EF4-FFF2-40B4-BE49-F238E27FC236}">
              <a16:creationId xmlns:a16="http://schemas.microsoft.com/office/drawing/2014/main" id="{00000000-0008-0000-0E00-000026000000}"/>
            </a:ext>
          </a:extLst>
        </xdr:cNvPr>
        <xdr:cNvSpPr txBox="1"/>
      </xdr:nvSpPr>
      <xdr:spPr>
        <a:xfrm>
          <a:off x="1930400" y="47332900"/>
          <a:ext cx="2159000" cy="8341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BCEI</a:t>
          </a:r>
          <a:r>
            <a:rPr lang="en-US" sz="1100" baseline="0"/>
            <a:t> 2 day Chart</a:t>
          </a:r>
          <a:endParaRPr lang="en-US" sz="1100"/>
        </a:p>
      </xdr:txBody>
    </xdr:sp>
    <xdr:clientData/>
  </xdr:twoCellAnchor>
  <xdr:twoCellAnchor>
    <xdr:from>
      <xdr:col>0</xdr:col>
      <xdr:colOff>444500</xdr:colOff>
      <xdr:row>279</xdr:row>
      <xdr:rowOff>88900</xdr:rowOff>
    </xdr:from>
    <xdr:to>
      <xdr:col>1</xdr:col>
      <xdr:colOff>190500</xdr:colOff>
      <xdr:row>283</xdr:row>
      <xdr:rowOff>63500</xdr:rowOff>
    </xdr:to>
    <xdr:cxnSp macro="">
      <xdr:nvCxnSpPr>
        <xdr:cNvPr id="39" name="Straight Arrow Connector 38">
          <a:extLst>
            <a:ext uri="{FF2B5EF4-FFF2-40B4-BE49-F238E27FC236}">
              <a16:creationId xmlns:a16="http://schemas.microsoft.com/office/drawing/2014/main" id="{00000000-0008-0000-0E00-000027000000}"/>
            </a:ext>
          </a:extLst>
        </xdr:cNvPr>
        <xdr:cNvCxnSpPr/>
      </xdr:nvCxnSpPr>
      <xdr:spPr>
        <a:xfrm flipH="1" flipV="1">
          <a:off x="444500" y="49263300"/>
          <a:ext cx="571500" cy="78740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381000</xdr:colOff>
      <xdr:row>283</xdr:row>
      <xdr:rowOff>190500</xdr:rowOff>
    </xdr:from>
    <xdr:to>
      <xdr:col>3</xdr:col>
      <xdr:colOff>95066</xdr:colOff>
      <xdr:row>287</xdr:row>
      <xdr:rowOff>25400</xdr:rowOff>
    </xdr:to>
    <xdr:sp macro="" textlink="">
      <xdr:nvSpPr>
        <xdr:cNvPr id="40" name="TextBox 39">
          <a:extLst>
            <a:ext uri="{FF2B5EF4-FFF2-40B4-BE49-F238E27FC236}">
              <a16:creationId xmlns:a16="http://schemas.microsoft.com/office/drawing/2014/main" id="{00000000-0008-0000-0E00-000028000000}"/>
            </a:ext>
          </a:extLst>
        </xdr:cNvPr>
        <xdr:cNvSpPr txBox="1"/>
      </xdr:nvSpPr>
      <xdr:spPr>
        <a:xfrm>
          <a:off x="1206500" y="52412900"/>
          <a:ext cx="1365066" cy="64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Buy Washout After strong first day IN</a:t>
          </a:r>
          <a:r>
            <a:rPr lang="en-US" sz="1100" baseline="0"/>
            <a:t> 1.12</a:t>
          </a:r>
          <a:endParaRPr lang="en-US" sz="1100"/>
        </a:p>
      </xdr:txBody>
    </xdr:sp>
    <xdr:clientData/>
  </xdr:twoCellAnchor>
  <xdr:twoCellAnchor>
    <xdr:from>
      <xdr:col>2</xdr:col>
      <xdr:colOff>368300</xdr:colOff>
      <xdr:row>274</xdr:row>
      <xdr:rowOff>152400</xdr:rowOff>
    </xdr:from>
    <xdr:to>
      <xdr:col>4</xdr:col>
      <xdr:colOff>76200</xdr:colOff>
      <xdr:row>278</xdr:row>
      <xdr:rowOff>50800</xdr:rowOff>
    </xdr:to>
    <xdr:sp macro="" textlink="">
      <xdr:nvSpPr>
        <xdr:cNvPr id="41" name="TextBox 40">
          <a:extLst>
            <a:ext uri="{FF2B5EF4-FFF2-40B4-BE49-F238E27FC236}">
              <a16:creationId xmlns:a16="http://schemas.microsoft.com/office/drawing/2014/main" id="{00000000-0008-0000-0E00-000029000000}"/>
            </a:ext>
          </a:extLst>
        </xdr:cNvPr>
        <xdr:cNvSpPr txBox="1"/>
      </xdr:nvSpPr>
      <xdr:spPr>
        <a:xfrm>
          <a:off x="2019300" y="48310800"/>
          <a:ext cx="1358900" cy="71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Sell into strengh</a:t>
          </a:r>
          <a:r>
            <a:rPr lang="en-US" sz="1100" baseline="0"/>
            <a:t> around 1.28 $1k stake is easy $75 out 1.22 </a:t>
          </a:r>
          <a:endParaRPr lang="en-US" sz="1100"/>
        </a:p>
      </xdr:txBody>
    </xdr:sp>
    <xdr:clientData/>
  </xdr:twoCellAnchor>
  <xdr:twoCellAnchor>
    <xdr:from>
      <xdr:col>1</xdr:col>
      <xdr:colOff>38100</xdr:colOff>
      <xdr:row>272</xdr:row>
      <xdr:rowOff>152400</xdr:rowOff>
    </xdr:from>
    <xdr:to>
      <xdr:col>2</xdr:col>
      <xdr:colOff>63500</xdr:colOff>
      <xdr:row>275</xdr:row>
      <xdr:rowOff>127000</xdr:rowOff>
    </xdr:to>
    <xdr:cxnSp macro="">
      <xdr:nvCxnSpPr>
        <xdr:cNvPr id="42" name="Straight Arrow Connector 41">
          <a:extLst>
            <a:ext uri="{FF2B5EF4-FFF2-40B4-BE49-F238E27FC236}">
              <a16:creationId xmlns:a16="http://schemas.microsoft.com/office/drawing/2014/main" id="{00000000-0008-0000-0E00-00002A000000}"/>
            </a:ext>
          </a:extLst>
        </xdr:cNvPr>
        <xdr:cNvCxnSpPr/>
      </xdr:nvCxnSpPr>
      <xdr:spPr>
        <a:xfrm flipH="1" flipV="1">
          <a:off x="863600" y="47904400"/>
          <a:ext cx="850900" cy="58420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editAs="oneCell">
    <xdr:from>
      <xdr:col>0</xdr:col>
      <xdr:colOff>0</xdr:colOff>
      <xdr:row>293</xdr:row>
      <xdr:rowOff>0</xdr:rowOff>
    </xdr:from>
    <xdr:to>
      <xdr:col>7</xdr:col>
      <xdr:colOff>698500</xdr:colOff>
      <xdr:row>315</xdr:row>
      <xdr:rowOff>63500</xdr:rowOff>
    </xdr:to>
    <xdr:pic>
      <xdr:nvPicPr>
        <xdr:cNvPr id="19" name="Picture 18">
          <a:extLst>
            <a:ext uri="{FF2B5EF4-FFF2-40B4-BE49-F238E27FC236}">
              <a16:creationId xmlns:a16="http://schemas.microsoft.com/office/drawing/2014/main" id="{00000000-0008-0000-0E00-000013000000}"/>
            </a:ext>
          </a:extLst>
        </xdr:cNvPr>
        <xdr:cNvPicPr>
          <a:picLocks noChangeAspect="1"/>
        </xdr:cNvPicPr>
      </xdr:nvPicPr>
      <xdr:blipFill>
        <a:blip xmlns:r="http://schemas.openxmlformats.org/officeDocument/2006/relationships" r:embed="rId1"/>
        <a:stretch>
          <a:fillRect/>
        </a:stretch>
      </xdr:blipFill>
      <xdr:spPr>
        <a:xfrm>
          <a:off x="0" y="55270400"/>
          <a:ext cx="7162800" cy="4533900"/>
        </a:xfrm>
        <a:prstGeom prst="rect">
          <a:avLst/>
        </a:prstGeom>
      </xdr:spPr>
    </xdr:pic>
    <xdr:clientData/>
  </xdr:twoCellAnchor>
  <xdr:twoCellAnchor editAs="oneCell">
    <xdr:from>
      <xdr:col>7</xdr:col>
      <xdr:colOff>698500</xdr:colOff>
      <xdr:row>292</xdr:row>
      <xdr:rowOff>127000</xdr:rowOff>
    </xdr:from>
    <xdr:to>
      <xdr:col>8</xdr:col>
      <xdr:colOff>863600</xdr:colOff>
      <xdr:row>314</xdr:row>
      <xdr:rowOff>12700</xdr:rowOff>
    </xdr:to>
    <xdr:pic>
      <xdr:nvPicPr>
        <xdr:cNvPr id="25" name="Picture 24">
          <a:extLst>
            <a:ext uri="{FF2B5EF4-FFF2-40B4-BE49-F238E27FC236}">
              <a16:creationId xmlns:a16="http://schemas.microsoft.com/office/drawing/2014/main" id="{00000000-0008-0000-0E00-000019000000}"/>
            </a:ext>
          </a:extLst>
        </xdr:cNvPr>
        <xdr:cNvPicPr>
          <a:picLocks noChangeAspect="1"/>
        </xdr:cNvPicPr>
      </xdr:nvPicPr>
      <xdr:blipFill>
        <a:blip xmlns:r="http://schemas.openxmlformats.org/officeDocument/2006/relationships" r:embed="rId1"/>
        <a:stretch>
          <a:fillRect/>
        </a:stretch>
      </xdr:blipFill>
      <xdr:spPr>
        <a:xfrm>
          <a:off x="7162800" y="55194200"/>
          <a:ext cx="1257300" cy="4356100"/>
        </a:xfrm>
        <a:prstGeom prst="rect">
          <a:avLst/>
        </a:prstGeom>
      </xdr:spPr>
    </xdr:pic>
    <xdr:clientData/>
  </xdr:twoCellAnchor>
  <xdr:twoCellAnchor>
    <xdr:from>
      <xdr:col>2</xdr:col>
      <xdr:colOff>279400</xdr:colOff>
      <xdr:row>253</xdr:row>
      <xdr:rowOff>190500</xdr:rowOff>
    </xdr:from>
    <xdr:to>
      <xdr:col>4</xdr:col>
      <xdr:colOff>787400</xdr:colOff>
      <xdr:row>258</xdr:row>
      <xdr:rowOff>8659</xdr:rowOff>
    </xdr:to>
    <xdr:sp macro="" textlink="">
      <xdr:nvSpPr>
        <xdr:cNvPr id="43" name="TextBox 42">
          <a:extLst>
            <a:ext uri="{FF2B5EF4-FFF2-40B4-BE49-F238E27FC236}">
              <a16:creationId xmlns:a16="http://schemas.microsoft.com/office/drawing/2014/main" id="{00000000-0008-0000-0E00-00002B000000}"/>
            </a:ext>
          </a:extLst>
        </xdr:cNvPr>
        <xdr:cNvSpPr txBox="1"/>
      </xdr:nvSpPr>
      <xdr:spPr>
        <a:xfrm>
          <a:off x="1930400" y="47332900"/>
          <a:ext cx="2159000" cy="8341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BCEI</a:t>
          </a:r>
          <a:r>
            <a:rPr lang="en-US" sz="1100" baseline="0"/>
            <a:t> 2 day Chart</a:t>
          </a:r>
          <a:endParaRPr lang="en-US" sz="1100"/>
        </a:p>
      </xdr:txBody>
    </xdr:sp>
    <xdr:clientData/>
  </xdr:twoCellAnchor>
  <xdr:twoCellAnchor>
    <xdr:from>
      <xdr:col>3</xdr:col>
      <xdr:colOff>774700</xdr:colOff>
      <xdr:row>293</xdr:row>
      <xdr:rowOff>139700</xdr:rowOff>
    </xdr:from>
    <xdr:to>
      <xdr:col>6</xdr:col>
      <xdr:colOff>50800</xdr:colOff>
      <xdr:row>297</xdr:row>
      <xdr:rowOff>161059</xdr:rowOff>
    </xdr:to>
    <xdr:sp macro="" textlink="">
      <xdr:nvSpPr>
        <xdr:cNvPr id="44" name="TextBox 43">
          <a:extLst>
            <a:ext uri="{FF2B5EF4-FFF2-40B4-BE49-F238E27FC236}">
              <a16:creationId xmlns:a16="http://schemas.microsoft.com/office/drawing/2014/main" id="{00000000-0008-0000-0E00-00002C000000}"/>
            </a:ext>
          </a:extLst>
        </xdr:cNvPr>
        <xdr:cNvSpPr txBox="1"/>
      </xdr:nvSpPr>
      <xdr:spPr>
        <a:xfrm>
          <a:off x="3251200" y="55410100"/>
          <a:ext cx="2159000" cy="8341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PSG</a:t>
          </a:r>
          <a:r>
            <a:rPr lang="en-US" sz="1100" baseline="0"/>
            <a:t> after 8% green previous day.</a:t>
          </a:r>
          <a:endParaRPr lang="en-US" sz="1100"/>
        </a:p>
      </xdr:txBody>
    </xdr:sp>
    <xdr:clientData/>
  </xdr:twoCellAnchor>
  <xdr:twoCellAnchor>
    <xdr:from>
      <xdr:col>0</xdr:col>
      <xdr:colOff>533400</xdr:colOff>
      <xdr:row>305</xdr:row>
      <xdr:rowOff>127000</xdr:rowOff>
    </xdr:from>
    <xdr:to>
      <xdr:col>1</xdr:col>
      <xdr:colOff>279400</xdr:colOff>
      <xdr:row>309</xdr:row>
      <xdr:rowOff>101600</xdr:rowOff>
    </xdr:to>
    <xdr:cxnSp macro="">
      <xdr:nvCxnSpPr>
        <xdr:cNvPr id="45" name="Straight Arrow Connector 44">
          <a:extLst>
            <a:ext uri="{FF2B5EF4-FFF2-40B4-BE49-F238E27FC236}">
              <a16:creationId xmlns:a16="http://schemas.microsoft.com/office/drawing/2014/main" id="{00000000-0008-0000-0E00-00002D000000}"/>
            </a:ext>
          </a:extLst>
        </xdr:cNvPr>
        <xdr:cNvCxnSpPr/>
      </xdr:nvCxnSpPr>
      <xdr:spPr>
        <a:xfrm flipH="1" flipV="1">
          <a:off x="533400" y="57835800"/>
          <a:ext cx="571500" cy="78740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330200</xdr:colOff>
      <xdr:row>305</xdr:row>
      <xdr:rowOff>165100</xdr:rowOff>
    </xdr:from>
    <xdr:to>
      <xdr:col>3</xdr:col>
      <xdr:colOff>44266</xdr:colOff>
      <xdr:row>309</xdr:row>
      <xdr:rowOff>0</xdr:rowOff>
    </xdr:to>
    <xdr:sp macro="" textlink="">
      <xdr:nvSpPr>
        <xdr:cNvPr id="46" name="TextBox 45">
          <a:extLst>
            <a:ext uri="{FF2B5EF4-FFF2-40B4-BE49-F238E27FC236}">
              <a16:creationId xmlns:a16="http://schemas.microsoft.com/office/drawing/2014/main" id="{00000000-0008-0000-0E00-00002E000000}"/>
            </a:ext>
          </a:extLst>
        </xdr:cNvPr>
        <xdr:cNvSpPr txBox="1"/>
      </xdr:nvSpPr>
      <xdr:spPr>
        <a:xfrm>
          <a:off x="1155700" y="57873900"/>
          <a:ext cx="1365066" cy="64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Buy Washout After strong first day IN</a:t>
          </a:r>
          <a:r>
            <a:rPr lang="en-US" sz="1100" baseline="0"/>
            <a:t> 2.5</a:t>
          </a:r>
          <a:endParaRPr lang="en-US" sz="1100"/>
        </a:p>
      </xdr:txBody>
    </xdr:sp>
    <xdr:clientData/>
  </xdr:twoCellAnchor>
  <xdr:twoCellAnchor>
    <xdr:from>
      <xdr:col>2</xdr:col>
      <xdr:colOff>774700</xdr:colOff>
      <xdr:row>299</xdr:row>
      <xdr:rowOff>63500</xdr:rowOff>
    </xdr:from>
    <xdr:to>
      <xdr:col>4</xdr:col>
      <xdr:colOff>482600</xdr:colOff>
      <xdr:row>302</xdr:row>
      <xdr:rowOff>165100</xdr:rowOff>
    </xdr:to>
    <xdr:sp macro="" textlink="">
      <xdr:nvSpPr>
        <xdr:cNvPr id="47" name="TextBox 46">
          <a:extLst>
            <a:ext uri="{FF2B5EF4-FFF2-40B4-BE49-F238E27FC236}">
              <a16:creationId xmlns:a16="http://schemas.microsoft.com/office/drawing/2014/main" id="{00000000-0008-0000-0E00-00002F000000}"/>
            </a:ext>
          </a:extLst>
        </xdr:cNvPr>
        <xdr:cNvSpPr txBox="1"/>
      </xdr:nvSpPr>
      <xdr:spPr>
        <a:xfrm>
          <a:off x="2425700" y="56553100"/>
          <a:ext cx="1358900" cy="71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Sell into strengh</a:t>
          </a:r>
          <a:r>
            <a:rPr lang="en-US" sz="1100" baseline="0"/>
            <a:t> around 2.75 at  $1k stake is easy $91</a:t>
          </a:r>
          <a:endParaRPr lang="en-US" sz="1100"/>
        </a:p>
      </xdr:txBody>
    </xdr:sp>
    <xdr:clientData/>
  </xdr:twoCellAnchor>
  <xdr:twoCellAnchor>
    <xdr:from>
      <xdr:col>1</xdr:col>
      <xdr:colOff>444500</xdr:colOff>
      <xdr:row>297</xdr:row>
      <xdr:rowOff>63500</xdr:rowOff>
    </xdr:from>
    <xdr:to>
      <xdr:col>2</xdr:col>
      <xdr:colOff>469900</xdr:colOff>
      <xdr:row>300</xdr:row>
      <xdr:rowOff>38100</xdr:rowOff>
    </xdr:to>
    <xdr:cxnSp macro="">
      <xdr:nvCxnSpPr>
        <xdr:cNvPr id="48" name="Straight Arrow Connector 47">
          <a:extLst>
            <a:ext uri="{FF2B5EF4-FFF2-40B4-BE49-F238E27FC236}">
              <a16:creationId xmlns:a16="http://schemas.microsoft.com/office/drawing/2014/main" id="{00000000-0008-0000-0E00-000030000000}"/>
            </a:ext>
          </a:extLst>
        </xdr:cNvPr>
        <xdr:cNvCxnSpPr/>
      </xdr:nvCxnSpPr>
      <xdr:spPr>
        <a:xfrm flipH="1" flipV="1">
          <a:off x="1270000" y="56146700"/>
          <a:ext cx="850900" cy="58420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editAs="oneCell">
    <xdr:from>
      <xdr:col>0</xdr:col>
      <xdr:colOff>0</xdr:colOff>
      <xdr:row>317</xdr:row>
      <xdr:rowOff>0</xdr:rowOff>
    </xdr:from>
    <xdr:to>
      <xdr:col>14</xdr:col>
      <xdr:colOff>355600</xdr:colOff>
      <xdr:row>339</xdr:row>
      <xdr:rowOff>76200</xdr:rowOff>
    </xdr:to>
    <xdr:pic>
      <xdr:nvPicPr>
        <xdr:cNvPr id="49" name="Picture 48">
          <a:extLst>
            <a:ext uri="{FF2B5EF4-FFF2-40B4-BE49-F238E27FC236}">
              <a16:creationId xmlns:a16="http://schemas.microsoft.com/office/drawing/2014/main" id="{00000000-0008-0000-0E00-000031000000}"/>
            </a:ext>
          </a:extLst>
        </xdr:cNvPr>
        <xdr:cNvPicPr>
          <a:picLocks noChangeAspect="1"/>
        </xdr:cNvPicPr>
      </xdr:nvPicPr>
      <xdr:blipFill>
        <a:blip xmlns:r="http://schemas.openxmlformats.org/officeDocument/2006/relationships" r:embed="rId1"/>
        <a:stretch>
          <a:fillRect/>
        </a:stretch>
      </xdr:blipFill>
      <xdr:spPr>
        <a:xfrm>
          <a:off x="0" y="60147200"/>
          <a:ext cx="14770100" cy="4546600"/>
        </a:xfrm>
        <a:prstGeom prst="rect">
          <a:avLst/>
        </a:prstGeom>
      </xdr:spPr>
    </xdr:pic>
    <xdr:clientData/>
  </xdr:twoCellAnchor>
  <xdr:twoCellAnchor>
    <xdr:from>
      <xdr:col>7</xdr:col>
      <xdr:colOff>736600</xdr:colOff>
      <xdr:row>318</xdr:row>
      <xdr:rowOff>38100</xdr:rowOff>
    </xdr:from>
    <xdr:to>
      <xdr:col>11</xdr:col>
      <xdr:colOff>127000</xdr:colOff>
      <xdr:row>325</xdr:row>
      <xdr:rowOff>165100</xdr:rowOff>
    </xdr:to>
    <xdr:sp macro="" textlink="">
      <xdr:nvSpPr>
        <xdr:cNvPr id="51" name="TextBox 50">
          <a:extLst>
            <a:ext uri="{FF2B5EF4-FFF2-40B4-BE49-F238E27FC236}">
              <a16:creationId xmlns:a16="http://schemas.microsoft.com/office/drawing/2014/main" id="{00000000-0008-0000-0E00-000033000000}"/>
            </a:ext>
          </a:extLst>
        </xdr:cNvPr>
        <xdr:cNvSpPr txBox="1"/>
      </xdr:nvSpPr>
      <xdr:spPr>
        <a:xfrm>
          <a:off x="7200900" y="60388500"/>
          <a:ext cx="3175000" cy="154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t>Ticker:</a:t>
          </a:r>
          <a:r>
            <a:rPr lang="en-US" sz="1500" b="1" baseline="0"/>
            <a:t> NIHD</a:t>
          </a:r>
        </a:p>
        <a:p>
          <a:r>
            <a:rPr lang="en-US" sz="1500" b="1"/>
            <a:t>Gain: 13%</a:t>
          </a:r>
        </a:p>
        <a:p>
          <a:r>
            <a:rPr lang="en-US" sz="1500" b="1"/>
            <a:t>Volume:  16M</a:t>
          </a:r>
        </a:p>
        <a:p>
          <a:r>
            <a:rPr lang="en-US" sz="1500" b="1"/>
            <a:t>Trades: 10,448</a:t>
          </a:r>
        </a:p>
        <a:p>
          <a:r>
            <a:rPr lang="en-US" sz="1500" b="1"/>
            <a:t>Profit: $62</a:t>
          </a:r>
        </a:p>
      </xdr:txBody>
    </xdr:sp>
    <xdr:clientData/>
  </xdr:twoCellAnchor>
  <xdr:twoCellAnchor>
    <xdr:from>
      <xdr:col>0</xdr:col>
      <xdr:colOff>673100</xdr:colOff>
      <xdr:row>331</xdr:row>
      <xdr:rowOff>152400</xdr:rowOff>
    </xdr:from>
    <xdr:to>
      <xdr:col>1</xdr:col>
      <xdr:colOff>495300</xdr:colOff>
      <xdr:row>331</xdr:row>
      <xdr:rowOff>152400</xdr:rowOff>
    </xdr:to>
    <xdr:cxnSp macro="">
      <xdr:nvCxnSpPr>
        <xdr:cNvPr id="52" name="Straight Arrow Connector 51">
          <a:extLst>
            <a:ext uri="{FF2B5EF4-FFF2-40B4-BE49-F238E27FC236}">
              <a16:creationId xmlns:a16="http://schemas.microsoft.com/office/drawing/2014/main" id="{00000000-0008-0000-0E00-000034000000}"/>
            </a:ext>
          </a:extLst>
        </xdr:cNvPr>
        <xdr:cNvCxnSpPr/>
      </xdr:nvCxnSpPr>
      <xdr:spPr>
        <a:xfrm flipH="1">
          <a:off x="673100" y="63144400"/>
          <a:ext cx="647700" cy="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571500</xdr:colOff>
      <xdr:row>329</xdr:row>
      <xdr:rowOff>25400</xdr:rowOff>
    </xdr:from>
    <xdr:to>
      <xdr:col>3</xdr:col>
      <xdr:colOff>285566</xdr:colOff>
      <xdr:row>332</xdr:row>
      <xdr:rowOff>63500</xdr:rowOff>
    </xdr:to>
    <xdr:sp macro="" textlink="">
      <xdr:nvSpPr>
        <xdr:cNvPr id="53" name="TextBox 52">
          <a:extLst>
            <a:ext uri="{FF2B5EF4-FFF2-40B4-BE49-F238E27FC236}">
              <a16:creationId xmlns:a16="http://schemas.microsoft.com/office/drawing/2014/main" id="{00000000-0008-0000-0E00-000035000000}"/>
            </a:ext>
          </a:extLst>
        </xdr:cNvPr>
        <xdr:cNvSpPr txBox="1"/>
      </xdr:nvSpPr>
      <xdr:spPr>
        <a:xfrm>
          <a:off x="1397000" y="62611000"/>
          <a:ext cx="1365066" cy="64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Buy Washout After strong first day IN</a:t>
          </a:r>
          <a:r>
            <a:rPr lang="en-US" sz="1100" baseline="0"/>
            <a:t> 2.6</a:t>
          </a:r>
          <a:endParaRPr lang="en-US" sz="1100"/>
        </a:p>
      </xdr:txBody>
    </xdr:sp>
    <xdr:clientData/>
  </xdr:twoCellAnchor>
  <xdr:twoCellAnchor>
    <xdr:from>
      <xdr:col>2</xdr:col>
      <xdr:colOff>774700</xdr:colOff>
      <xdr:row>323</xdr:row>
      <xdr:rowOff>63500</xdr:rowOff>
    </xdr:from>
    <xdr:to>
      <xdr:col>4</xdr:col>
      <xdr:colOff>482600</xdr:colOff>
      <xdr:row>326</xdr:row>
      <xdr:rowOff>165100</xdr:rowOff>
    </xdr:to>
    <xdr:sp macro="" textlink="">
      <xdr:nvSpPr>
        <xdr:cNvPr id="54" name="TextBox 53">
          <a:extLst>
            <a:ext uri="{FF2B5EF4-FFF2-40B4-BE49-F238E27FC236}">
              <a16:creationId xmlns:a16="http://schemas.microsoft.com/office/drawing/2014/main" id="{00000000-0008-0000-0E00-000036000000}"/>
            </a:ext>
          </a:extLst>
        </xdr:cNvPr>
        <xdr:cNvSpPr txBox="1"/>
      </xdr:nvSpPr>
      <xdr:spPr>
        <a:xfrm>
          <a:off x="2425700" y="61429900"/>
          <a:ext cx="1358900" cy="71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Sell into strengh</a:t>
          </a:r>
          <a:r>
            <a:rPr lang="en-US" sz="1100" baseline="0"/>
            <a:t> around 2.8 at  $1k stake is easy $62</a:t>
          </a:r>
          <a:endParaRPr lang="en-US" sz="1100"/>
        </a:p>
      </xdr:txBody>
    </xdr:sp>
    <xdr:clientData/>
  </xdr:twoCellAnchor>
  <xdr:twoCellAnchor>
    <xdr:from>
      <xdr:col>1</xdr:col>
      <xdr:colOff>596900</xdr:colOff>
      <xdr:row>325</xdr:row>
      <xdr:rowOff>25400</xdr:rowOff>
    </xdr:from>
    <xdr:to>
      <xdr:col>2</xdr:col>
      <xdr:colOff>444500</xdr:colOff>
      <xdr:row>327</xdr:row>
      <xdr:rowOff>0</xdr:rowOff>
    </xdr:to>
    <xdr:cxnSp macro="">
      <xdr:nvCxnSpPr>
        <xdr:cNvPr id="59" name="Straight Arrow Connector 58">
          <a:extLst>
            <a:ext uri="{FF2B5EF4-FFF2-40B4-BE49-F238E27FC236}">
              <a16:creationId xmlns:a16="http://schemas.microsoft.com/office/drawing/2014/main" id="{00000000-0008-0000-0E00-00003B000000}"/>
            </a:ext>
          </a:extLst>
        </xdr:cNvPr>
        <xdr:cNvCxnSpPr/>
      </xdr:nvCxnSpPr>
      <xdr:spPr>
        <a:xfrm flipH="1">
          <a:off x="1422400" y="61798200"/>
          <a:ext cx="673100" cy="38100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workbookViewId="0">
      <selection activeCell="I10" sqref="I10"/>
    </sheetView>
  </sheetViews>
  <sheetFormatPr baseColWidth="10" defaultColWidth="11" defaultRowHeight="16" x14ac:dyDescent="0.2"/>
  <cols>
    <col min="1" max="1" width="22.1640625" customWidth="1"/>
    <col min="2" max="2" width="14.1640625" customWidth="1"/>
    <col min="3" max="3" width="23.6640625" customWidth="1"/>
    <col min="4" max="4" width="22.6640625" customWidth="1"/>
    <col min="5" max="5" width="88.5" customWidth="1"/>
    <col min="7" max="7" width="41.5" customWidth="1"/>
  </cols>
  <sheetData>
    <row r="1" spans="1:10" s="140" customFormat="1" ht="52" x14ac:dyDescent="0.6">
      <c r="A1" s="210" t="s">
        <v>0</v>
      </c>
    </row>
    <row r="2" spans="1:10" s="196" customFormat="1" ht="66" customHeight="1" x14ac:dyDescent="0.2">
      <c r="A2" s="212" t="s">
        <v>1</v>
      </c>
    </row>
    <row r="3" spans="1:10" ht="21" x14ac:dyDescent="0.25">
      <c r="A3" s="90" t="s">
        <v>2</v>
      </c>
      <c r="B3" s="90" t="s">
        <v>3</v>
      </c>
      <c r="C3" s="90" t="s">
        <v>4</v>
      </c>
      <c r="D3" s="90" t="s">
        <v>5</v>
      </c>
      <c r="E3" s="90" t="s">
        <v>6</v>
      </c>
    </row>
    <row r="4" spans="1:10" ht="50" customHeight="1" x14ac:dyDescent="0.4">
      <c r="A4" s="215" t="s">
        <v>7</v>
      </c>
      <c r="B4" s="216">
        <v>200</v>
      </c>
      <c r="C4" s="216" t="s">
        <v>8</v>
      </c>
      <c r="D4" s="216"/>
      <c r="E4" s="216"/>
      <c r="G4" s="227" t="s">
        <v>9</v>
      </c>
      <c r="H4" s="221"/>
      <c r="I4" s="223"/>
      <c r="J4" s="224"/>
    </row>
    <row r="5" spans="1:10" ht="59" customHeight="1" x14ac:dyDescent="0.4">
      <c r="A5" s="216" t="s">
        <v>10</v>
      </c>
      <c r="B5" s="216" t="s">
        <v>11</v>
      </c>
      <c r="C5" s="216" t="s">
        <v>8</v>
      </c>
      <c r="D5" s="216"/>
      <c r="E5" s="216"/>
      <c r="G5" s="226" t="s">
        <v>12</v>
      </c>
      <c r="H5" s="222"/>
      <c r="I5" s="225"/>
      <c r="J5" s="225"/>
    </row>
    <row r="6" spans="1:10" ht="103.25" customHeight="1" x14ac:dyDescent="0.4">
      <c r="A6" s="217" t="s">
        <v>13</v>
      </c>
      <c r="B6" s="217" t="s">
        <v>14</v>
      </c>
      <c r="C6" s="217" t="s">
        <v>15</v>
      </c>
      <c r="D6" s="217"/>
      <c r="E6" s="217"/>
      <c r="G6" s="228" t="s">
        <v>16</v>
      </c>
      <c r="H6" s="222"/>
      <c r="I6" s="225"/>
      <c r="J6" s="225"/>
    </row>
    <row r="7" spans="1:10" ht="110" customHeight="1" x14ac:dyDescent="0.3">
      <c r="A7" s="217" t="s">
        <v>17</v>
      </c>
      <c r="B7" s="217" t="s">
        <v>18</v>
      </c>
      <c r="C7" s="217" t="s">
        <v>19</v>
      </c>
      <c r="D7" s="217"/>
      <c r="E7" s="217"/>
      <c r="G7" s="220"/>
      <c r="H7" s="222"/>
      <c r="I7" s="225"/>
      <c r="J7" s="225"/>
    </row>
    <row r="8" spans="1:10" ht="96" customHeight="1" x14ac:dyDescent="0.3">
      <c r="A8" s="218" t="s">
        <v>20</v>
      </c>
      <c r="B8" s="218" t="s">
        <v>21</v>
      </c>
      <c r="C8" s="218" t="s">
        <v>19</v>
      </c>
      <c r="D8" s="218"/>
      <c r="E8" s="218"/>
      <c r="G8" s="220"/>
      <c r="H8" s="222"/>
      <c r="I8" s="225"/>
      <c r="J8" s="225"/>
    </row>
    <row r="9" spans="1:10" ht="81" customHeight="1" x14ac:dyDescent="0.2">
      <c r="A9" s="218" t="s">
        <v>22</v>
      </c>
      <c r="B9" s="218" t="s">
        <v>21</v>
      </c>
      <c r="C9" s="218" t="s">
        <v>19</v>
      </c>
      <c r="D9" s="218"/>
      <c r="E9" s="218"/>
    </row>
    <row r="10" spans="1:10" ht="67.25" customHeight="1" x14ac:dyDescent="0.2">
      <c r="A10" s="219" t="s">
        <v>23</v>
      </c>
      <c r="B10" s="219" t="s">
        <v>24</v>
      </c>
      <c r="C10" s="219" t="s">
        <v>25</v>
      </c>
      <c r="D10" s="219"/>
      <c r="E10" s="219"/>
    </row>
    <row r="11" spans="1:10" ht="26" x14ac:dyDescent="0.2">
      <c r="A11" s="214"/>
      <c r="B11" s="214"/>
      <c r="C11" s="214"/>
      <c r="D11" s="214"/>
      <c r="E11" s="214"/>
    </row>
    <row r="12" spans="1:10" ht="26" x14ac:dyDescent="0.3">
      <c r="A12" s="213"/>
      <c r="B12" s="213"/>
      <c r="C12" s="213"/>
      <c r="D12" s="213"/>
      <c r="E12" s="213"/>
    </row>
    <row r="13" spans="1:10" ht="26" x14ac:dyDescent="0.3">
      <c r="A13" s="213"/>
      <c r="B13" s="213"/>
      <c r="C13" s="213"/>
      <c r="D13" s="213"/>
      <c r="E13" s="213"/>
    </row>
    <row r="14" spans="1:10" ht="26" x14ac:dyDescent="0.3">
      <c r="A14" s="211"/>
      <c r="B14" s="211"/>
      <c r="C14" s="211"/>
      <c r="D14" s="211"/>
      <c r="E14" s="211"/>
    </row>
    <row r="15" spans="1:10" ht="26" x14ac:dyDescent="0.3">
      <c r="A15" s="211"/>
      <c r="B15" s="211"/>
      <c r="C15" s="211"/>
      <c r="D15" s="211"/>
      <c r="E15" s="2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56"/>
  <sheetViews>
    <sheetView topLeftCell="A38" zoomScale="91" zoomScaleNormal="91" workbookViewId="0">
      <selection activeCell="I10" sqref="I10"/>
    </sheetView>
  </sheetViews>
  <sheetFormatPr baseColWidth="10" defaultColWidth="11" defaultRowHeight="16" x14ac:dyDescent="0.2"/>
  <cols>
    <col min="1" max="1" width="19.33203125" customWidth="1"/>
    <col min="2" max="2" width="15.83203125" customWidth="1"/>
    <col min="3" max="3" width="14.5" customWidth="1"/>
    <col min="4" max="4" width="16.5" customWidth="1"/>
    <col min="5" max="5" width="21.33203125" customWidth="1"/>
    <col min="6" max="6" width="18.33203125" style="141" customWidth="1"/>
    <col min="7" max="7" width="17.33203125" bestFit="1" customWidth="1"/>
    <col min="8" max="8" width="38.83203125" customWidth="1"/>
    <col min="9" max="9" width="80.83203125" customWidth="1"/>
    <col min="10" max="10" width="6.33203125" customWidth="1"/>
    <col min="11" max="11" width="8.5" customWidth="1"/>
    <col min="13" max="13" width="110.6640625" customWidth="1"/>
    <col min="14" max="14" width="18.1640625" customWidth="1"/>
  </cols>
  <sheetData>
    <row r="1" spans="1:15" ht="39" x14ac:dyDescent="0.45">
      <c r="A1" s="1" t="s">
        <v>26</v>
      </c>
    </row>
    <row r="2" spans="1:15" ht="39" x14ac:dyDescent="0.45">
      <c r="A2" s="1"/>
    </row>
    <row r="3" spans="1:15" ht="19" x14ac:dyDescent="0.25">
      <c r="A3" s="7" t="s">
        <v>27</v>
      </c>
      <c r="B3" s="7" t="s">
        <v>26</v>
      </c>
      <c r="C3" s="7" t="s">
        <v>28</v>
      </c>
      <c r="D3" s="7" t="s">
        <v>29</v>
      </c>
      <c r="E3" s="7" t="s">
        <v>30</v>
      </c>
      <c r="F3" s="11" t="s">
        <v>31</v>
      </c>
      <c r="G3" s="7" t="s">
        <v>32</v>
      </c>
      <c r="H3" s="7" t="s">
        <v>33</v>
      </c>
      <c r="I3" s="7" t="s">
        <v>34</v>
      </c>
      <c r="J3" s="7" t="s">
        <v>35</v>
      </c>
      <c r="K3" s="7" t="s">
        <v>36</v>
      </c>
      <c r="L3" s="11" t="s">
        <v>37</v>
      </c>
      <c r="M3" s="11" t="s">
        <v>38</v>
      </c>
      <c r="N3" s="11" t="s">
        <v>39</v>
      </c>
      <c r="O3" s="17"/>
    </row>
    <row r="4" spans="1:15" ht="19" x14ac:dyDescent="0.25">
      <c r="A4" s="7" t="s">
        <v>40</v>
      </c>
      <c r="B4" s="125">
        <f t="shared" ref="B4:B13" si="0">H4-G4</f>
        <v>-467</v>
      </c>
      <c r="C4" s="7">
        <v>12</v>
      </c>
      <c r="D4" s="7">
        <v>2</v>
      </c>
      <c r="E4" s="7">
        <v>10</v>
      </c>
      <c r="F4" s="160">
        <f>(D4/C4)</f>
        <v>0.16666666666666666</v>
      </c>
      <c r="G4" s="10">
        <v>1772</v>
      </c>
      <c r="H4" s="7">
        <v>1305</v>
      </c>
      <c r="I4" s="8">
        <f t="shared" ref="I4:I16" si="1">(H4-G4)/H4*100</f>
        <v>-35.785440613026822</v>
      </c>
      <c r="J4" s="7"/>
      <c r="K4" s="7"/>
      <c r="L4" s="3">
        <v>0</v>
      </c>
      <c r="M4" s="3"/>
      <c r="N4" s="3"/>
    </row>
    <row r="5" spans="1:15" ht="19" x14ac:dyDescent="0.25">
      <c r="A5" s="7" t="s">
        <v>41</v>
      </c>
      <c r="B5" s="126">
        <f t="shared" si="0"/>
        <v>159</v>
      </c>
      <c r="C5" s="7">
        <v>8</v>
      </c>
      <c r="D5" s="7">
        <v>3</v>
      </c>
      <c r="E5" s="7">
        <v>5</v>
      </c>
      <c r="F5" s="160">
        <f t="shared" ref="F5:F11" si="2">(D5/C5)</f>
        <v>0.375</v>
      </c>
      <c r="G5" s="7">
        <v>1305</v>
      </c>
      <c r="H5" s="7">
        <v>1464</v>
      </c>
      <c r="I5" s="9">
        <f t="shared" si="1"/>
        <v>10.860655737704917</v>
      </c>
      <c r="J5" s="7"/>
      <c r="K5" s="7"/>
      <c r="L5" s="3">
        <v>0</v>
      </c>
      <c r="M5" s="3"/>
      <c r="N5" s="3"/>
    </row>
    <row r="6" spans="1:15" ht="19" x14ac:dyDescent="0.25">
      <c r="A6" s="7" t="s">
        <v>42</v>
      </c>
      <c r="B6" s="125">
        <f t="shared" si="0"/>
        <v>-402</v>
      </c>
      <c r="C6" s="7">
        <v>11</v>
      </c>
      <c r="D6" s="7">
        <v>2</v>
      </c>
      <c r="E6" s="7">
        <v>9</v>
      </c>
      <c r="F6" s="161">
        <f t="shared" si="2"/>
        <v>0.18181818181818182</v>
      </c>
      <c r="G6" s="7">
        <v>1464</v>
      </c>
      <c r="H6" s="7">
        <v>1062</v>
      </c>
      <c r="I6" s="118">
        <f t="shared" si="1"/>
        <v>-37.853107344632768</v>
      </c>
      <c r="J6" s="7"/>
      <c r="K6" s="7"/>
      <c r="L6" s="3"/>
      <c r="M6" s="3"/>
      <c r="N6" s="3"/>
    </row>
    <row r="7" spans="1:15" ht="19" x14ac:dyDescent="0.25">
      <c r="A7" s="7" t="s">
        <v>43</v>
      </c>
      <c r="B7" s="125">
        <f t="shared" si="0"/>
        <v>-401</v>
      </c>
      <c r="C7" s="7">
        <v>14</v>
      </c>
      <c r="D7" s="7">
        <v>2</v>
      </c>
      <c r="E7" s="7">
        <v>12</v>
      </c>
      <c r="F7" s="161">
        <f t="shared" si="2"/>
        <v>0.14285714285714285</v>
      </c>
      <c r="G7" s="7">
        <v>2557</v>
      </c>
      <c r="H7" s="7">
        <v>2156</v>
      </c>
      <c r="I7" s="118">
        <f t="shared" si="1"/>
        <v>-18.599257884972172</v>
      </c>
      <c r="J7" s="7"/>
      <c r="K7" s="7"/>
      <c r="L7" s="3"/>
      <c r="M7" s="3"/>
      <c r="N7" s="3"/>
    </row>
    <row r="8" spans="1:15" ht="19" x14ac:dyDescent="0.25">
      <c r="A8" s="7" t="s">
        <v>44</v>
      </c>
      <c r="B8" s="125">
        <f t="shared" si="0"/>
        <v>-295</v>
      </c>
      <c r="C8" s="7">
        <v>14</v>
      </c>
      <c r="D8" s="7">
        <v>3</v>
      </c>
      <c r="E8" s="7">
        <v>11</v>
      </c>
      <c r="F8" s="160">
        <f t="shared" si="2"/>
        <v>0.21428571428571427</v>
      </c>
      <c r="G8" s="7">
        <v>3178</v>
      </c>
      <c r="H8" s="7">
        <v>2883</v>
      </c>
      <c r="I8" s="118">
        <f t="shared" si="1"/>
        <v>-10.232396808879638</v>
      </c>
      <c r="J8" s="7"/>
      <c r="K8" s="7"/>
      <c r="L8" s="3"/>
      <c r="M8" s="3"/>
      <c r="N8" s="3"/>
    </row>
    <row r="9" spans="1:15" ht="19" x14ac:dyDescent="0.25">
      <c r="A9" s="7" t="s">
        <v>45</v>
      </c>
      <c r="B9" s="125">
        <f t="shared" si="0"/>
        <v>-42</v>
      </c>
      <c r="C9" s="3">
        <v>16</v>
      </c>
      <c r="D9" s="3">
        <v>5</v>
      </c>
      <c r="E9" s="3">
        <v>11</v>
      </c>
      <c r="F9" s="160">
        <f t="shared" si="2"/>
        <v>0.3125</v>
      </c>
      <c r="G9" s="7">
        <v>4217</v>
      </c>
      <c r="H9" s="7">
        <v>4175</v>
      </c>
      <c r="I9" s="118">
        <f t="shared" si="1"/>
        <v>-1.005988023952096</v>
      </c>
      <c r="J9" s="3"/>
      <c r="K9" s="3"/>
      <c r="L9" s="44"/>
      <c r="M9" s="3"/>
      <c r="N9" s="3"/>
    </row>
    <row r="10" spans="1:15" ht="19" x14ac:dyDescent="0.25">
      <c r="A10" s="7" t="s">
        <v>46</v>
      </c>
      <c r="B10" s="125">
        <f t="shared" si="0"/>
        <v>-491</v>
      </c>
      <c r="C10" s="7">
        <v>18</v>
      </c>
      <c r="D10" s="7">
        <v>5</v>
      </c>
      <c r="E10" s="7">
        <v>13</v>
      </c>
      <c r="F10" s="160">
        <f t="shared" si="2"/>
        <v>0.27777777777777779</v>
      </c>
      <c r="G10" s="7">
        <v>5140</v>
      </c>
      <c r="H10" s="7">
        <v>4649</v>
      </c>
      <c r="I10" s="118">
        <f t="shared" si="1"/>
        <v>-10.561411056141106</v>
      </c>
      <c r="J10" s="7"/>
      <c r="K10" s="3"/>
      <c r="L10" s="3"/>
      <c r="M10" s="3"/>
      <c r="N10" s="3"/>
    </row>
    <row r="11" spans="1:15" ht="19" x14ac:dyDescent="0.25">
      <c r="A11" s="7" t="s">
        <v>47</v>
      </c>
      <c r="B11" s="125">
        <f t="shared" si="0"/>
        <v>-490</v>
      </c>
      <c r="C11" s="7">
        <v>23</v>
      </c>
      <c r="D11" s="7">
        <v>8</v>
      </c>
      <c r="E11" s="7">
        <v>15</v>
      </c>
      <c r="F11" s="160">
        <f t="shared" si="2"/>
        <v>0.34782608695652173</v>
      </c>
      <c r="G11" s="7">
        <v>6124</v>
      </c>
      <c r="H11" s="7">
        <v>5634</v>
      </c>
      <c r="I11" s="118">
        <f t="shared" si="1"/>
        <v>-8.6971955981540638</v>
      </c>
      <c r="J11" s="7"/>
      <c r="K11" s="3"/>
      <c r="L11" s="3"/>
      <c r="M11" s="3"/>
      <c r="N11" s="3"/>
    </row>
    <row r="12" spans="1:15" ht="19" x14ac:dyDescent="0.25">
      <c r="A12" s="7" t="s">
        <v>48</v>
      </c>
      <c r="B12" s="125">
        <f t="shared" si="0"/>
        <v>-405</v>
      </c>
      <c r="C12" s="7">
        <v>32</v>
      </c>
      <c r="D12" s="7">
        <v>15</v>
      </c>
      <c r="E12" s="7">
        <v>17</v>
      </c>
      <c r="F12" s="160">
        <f t="shared" ref="F12:F18" si="3">(D12/C12)</f>
        <v>0.46875</v>
      </c>
      <c r="G12" s="7">
        <v>5634</v>
      </c>
      <c r="H12" s="7">
        <v>5229</v>
      </c>
      <c r="I12" s="118">
        <f t="shared" si="1"/>
        <v>-7.7452667814113596</v>
      </c>
      <c r="J12" s="7"/>
      <c r="K12" s="3"/>
      <c r="L12" s="3"/>
      <c r="M12" s="3"/>
      <c r="N12" s="3"/>
    </row>
    <row r="13" spans="1:15" ht="19" x14ac:dyDescent="0.25">
      <c r="A13" s="7" t="s">
        <v>49</v>
      </c>
      <c r="B13" s="125">
        <f t="shared" si="0"/>
        <v>-271</v>
      </c>
      <c r="C13" s="7">
        <v>36</v>
      </c>
      <c r="D13" s="7">
        <v>14</v>
      </c>
      <c r="E13" s="7">
        <v>22</v>
      </c>
      <c r="F13" s="161">
        <f t="shared" si="3"/>
        <v>0.3888888888888889</v>
      </c>
      <c r="G13" s="7">
        <v>7094</v>
      </c>
      <c r="H13" s="7">
        <v>6823</v>
      </c>
      <c r="I13" s="118">
        <f t="shared" si="1"/>
        <v>-3.9718598856807854</v>
      </c>
      <c r="J13" s="7"/>
      <c r="K13" s="3"/>
      <c r="L13" s="3"/>
      <c r="M13" s="3"/>
      <c r="N13" s="3"/>
    </row>
    <row r="14" spans="1:15" ht="19" x14ac:dyDescent="0.25">
      <c r="A14" s="7" t="s">
        <v>50</v>
      </c>
      <c r="B14" s="125">
        <f>H14-G14</f>
        <v>-706</v>
      </c>
      <c r="C14" s="7">
        <v>19</v>
      </c>
      <c r="D14" s="7">
        <v>7</v>
      </c>
      <c r="E14" s="7">
        <v>11</v>
      </c>
      <c r="F14" s="161">
        <f t="shared" si="3"/>
        <v>0.36842105263157893</v>
      </c>
      <c r="G14" s="7">
        <v>7920</v>
      </c>
      <c r="H14" s="7">
        <v>7214</v>
      </c>
      <c r="I14" s="118">
        <f t="shared" si="1"/>
        <v>-9.7865261990573877</v>
      </c>
      <c r="J14" s="7"/>
      <c r="K14" s="3"/>
      <c r="L14" s="3"/>
      <c r="M14" s="3"/>
      <c r="N14" s="3"/>
    </row>
    <row r="15" spans="1:15" ht="19" x14ac:dyDescent="0.25">
      <c r="A15" s="7" t="s">
        <v>51</v>
      </c>
      <c r="B15" s="125">
        <f>H15-G15</f>
        <v>-325</v>
      </c>
      <c r="C15" s="7">
        <v>19</v>
      </c>
      <c r="D15" s="7">
        <v>5</v>
      </c>
      <c r="E15" s="7">
        <v>13</v>
      </c>
      <c r="F15" s="161">
        <f t="shared" si="3"/>
        <v>0.26315789473684209</v>
      </c>
      <c r="G15" s="7">
        <v>7214</v>
      </c>
      <c r="H15" s="7">
        <v>6889</v>
      </c>
      <c r="I15" s="118">
        <f t="shared" si="1"/>
        <v>-4.7176658440992885</v>
      </c>
      <c r="J15" s="7"/>
      <c r="K15" s="3"/>
      <c r="L15" s="3"/>
      <c r="M15" s="3"/>
      <c r="N15" s="3"/>
    </row>
    <row r="16" spans="1:15" ht="19" x14ac:dyDescent="0.25">
      <c r="A16" s="7" t="s">
        <v>40</v>
      </c>
      <c r="B16" s="125">
        <f>H16-G16</f>
        <v>-76</v>
      </c>
      <c r="C16" s="7">
        <v>11</v>
      </c>
      <c r="D16" s="7">
        <v>5</v>
      </c>
      <c r="E16" s="7">
        <v>6</v>
      </c>
      <c r="F16" s="161">
        <f t="shared" si="3"/>
        <v>0.45454545454545453</v>
      </c>
      <c r="G16" s="7">
        <v>11343</v>
      </c>
      <c r="H16" s="7">
        <v>11267</v>
      </c>
      <c r="I16" s="118">
        <f t="shared" si="1"/>
        <v>-0.67453625632377734</v>
      </c>
      <c r="J16" s="7"/>
      <c r="K16" s="3"/>
      <c r="L16" s="3"/>
      <c r="M16" s="3"/>
      <c r="N16" s="3"/>
    </row>
    <row r="17" spans="1:14" ht="19" x14ac:dyDescent="0.25">
      <c r="A17" s="7" t="s">
        <v>41</v>
      </c>
      <c r="B17" s="125">
        <f>H17-G17</f>
        <v>-350</v>
      </c>
      <c r="C17" s="7">
        <v>15</v>
      </c>
      <c r="D17" s="7">
        <v>6</v>
      </c>
      <c r="E17" s="7">
        <v>8</v>
      </c>
      <c r="F17" s="161">
        <f t="shared" si="3"/>
        <v>0.4</v>
      </c>
      <c r="G17" s="10">
        <v>12124</v>
      </c>
      <c r="H17" s="7">
        <v>11774</v>
      </c>
      <c r="I17" s="118">
        <f t="shared" ref="I17:I27" si="4">(H17-G17)/H17*100</f>
        <v>-2.9726516052318668</v>
      </c>
      <c r="J17" s="7"/>
      <c r="K17" s="3"/>
      <c r="L17" s="3"/>
      <c r="M17" s="3"/>
      <c r="N17" s="3"/>
    </row>
    <row r="18" spans="1:14" ht="19" x14ac:dyDescent="0.25">
      <c r="A18" s="7" t="s">
        <v>42</v>
      </c>
      <c r="B18" s="125">
        <v>-132</v>
      </c>
      <c r="C18" s="7">
        <v>15</v>
      </c>
      <c r="D18" s="7">
        <v>9</v>
      </c>
      <c r="E18" s="7">
        <v>6</v>
      </c>
      <c r="F18" s="161">
        <f t="shared" si="3"/>
        <v>0.6</v>
      </c>
      <c r="G18" s="10">
        <v>11774</v>
      </c>
      <c r="H18" s="7">
        <v>11623</v>
      </c>
      <c r="I18" s="118">
        <f t="shared" si="4"/>
        <v>-1.2991482405575152</v>
      </c>
      <c r="J18" s="7"/>
      <c r="K18" s="3"/>
      <c r="L18" s="3"/>
      <c r="M18" s="3"/>
      <c r="N18" s="3"/>
    </row>
    <row r="19" spans="1:14" ht="19" x14ac:dyDescent="0.25">
      <c r="A19" s="7" t="s">
        <v>43</v>
      </c>
      <c r="B19" s="126">
        <v>138</v>
      </c>
      <c r="C19" s="7">
        <v>17</v>
      </c>
      <c r="D19" s="7">
        <v>11</v>
      </c>
      <c r="E19" s="7">
        <v>5</v>
      </c>
      <c r="F19" s="161">
        <f t="shared" ref="F19:F27" si="5">(D19/C19)</f>
        <v>0.6470588235294118</v>
      </c>
      <c r="G19" s="10">
        <v>11623</v>
      </c>
      <c r="H19" s="10">
        <f>G19+B19</f>
        <v>11761</v>
      </c>
      <c r="I19" s="128">
        <f t="shared" si="4"/>
        <v>1.1733696114275998</v>
      </c>
      <c r="J19" s="7"/>
      <c r="K19" s="3"/>
      <c r="L19" s="3"/>
      <c r="M19" s="3"/>
      <c r="N19" s="3"/>
    </row>
    <row r="20" spans="1:14" ht="19" x14ac:dyDescent="0.25">
      <c r="A20" s="7" t="s">
        <v>44</v>
      </c>
      <c r="B20" s="126">
        <v>919</v>
      </c>
      <c r="C20" s="7">
        <v>27</v>
      </c>
      <c r="D20" s="7">
        <v>17</v>
      </c>
      <c r="E20" s="7">
        <v>10</v>
      </c>
      <c r="F20" s="161">
        <f t="shared" si="5"/>
        <v>0.62962962962962965</v>
      </c>
      <c r="G20" s="10">
        <v>11761</v>
      </c>
      <c r="H20" s="10">
        <f>G20+B20</f>
        <v>12680</v>
      </c>
      <c r="I20" s="128">
        <f t="shared" si="4"/>
        <v>7.2476340694006307</v>
      </c>
      <c r="J20" s="7"/>
      <c r="K20" s="3"/>
      <c r="L20" s="3"/>
      <c r="M20" s="3"/>
      <c r="N20" s="3"/>
    </row>
    <row r="21" spans="1:14" ht="19" x14ac:dyDescent="0.25">
      <c r="A21" s="7" t="s">
        <v>45</v>
      </c>
      <c r="B21" s="126">
        <v>775</v>
      </c>
      <c r="C21" s="7">
        <v>31</v>
      </c>
      <c r="D21" s="7">
        <v>19</v>
      </c>
      <c r="E21" s="7">
        <v>11</v>
      </c>
      <c r="F21" s="161">
        <f t="shared" si="5"/>
        <v>0.61290322580645162</v>
      </c>
      <c r="G21" s="10">
        <v>12680</v>
      </c>
      <c r="H21" s="10">
        <f>G21+B21</f>
        <v>13455</v>
      </c>
      <c r="I21" s="128">
        <f t="shared" si="4"/>
        <v>5.7599405425492387</v>
      </c>
      <c r="J21" s="7"/>
      <c r="K21" s="3"/>
      <c r="L21" s="3"/>
      <c r="M21" s="3"/>
      <c r="N21" s="3"/>
    </row>
    <row r="22" spans="1:14" ht="19" x14ac:dyDescent="0.25">
      <c r="A22" s="7" t="s">
        <v>46</v>
      </c>
      <c r="B22" s="126">
        <f>H22-G22</f>
        <v>2498</v>
      </c>
      <c r="C22" s="7">
        <v>84</v>
      </c>
      <c r="D22" s="7">
        <v>51</v>
      </c>
      <c r="E22" s="7">
        <v>35</v>
      </c>
      <c r="F22" s="161">
        <f t="shared" si="5"/>
        <v>0.6071428571428571</v>
      </c>
      <c r="G22" s="10">
        <v>25078</v>
      </c>
      <c r="H22" s="10">
        <v>27576</v>
      </c>
      <c r="I22" s="128">
        <f t="shared" si="4"/>
        <v>9.0586016826225713</v>
      </c>
      <c r="J22" s="7"/>
      <c r="K22" s="3"/>
      <c r="L22" s="3"/>
      <c r="M22" s="3"/>
      <c r="N22" s="3"/>
    </row>
    <row r="23" spans="1:14" ht="19" x14ac:dyDescent="0.25">
      <c r="A23" s="7" t="s">
        <v>47</v>
      </c>
      <c r="B23" s="125">
        <v>-1300</v>
      </c>
      <c r="C23" s="7">
        <v>57</v>
      </c>
      <c r="D23" s="7">
        <v>29</v>
      </c>
      <c r="E23" s="7">
        <v>24</v>
      </c>
      <c r="F23" s="161">
        <f t="shared" si="5"/>
        <v>0.50877192982456143</v>
      </c>
      <c r="G23" s="10">
        <v>27576</v>
      </c>
      <c r="H23" s="10">
        <v>26236</v>
      </c>
      <c r="I23" s="118">
        <f t="shared" si="4"/>
        <v>-5.1074858972404336</v>
      </c>
      <c r="J23" s="7">
        <v>47</v>
      </c>
      <c r="K23" s="3"/>
      <c r="L23" s="3">
        <v>25506</v>
      </c>
      <c r="M23" s="3" t="e">
        <f>#REF!-L23</f>
        <v>#REF!</v>
      </c>
      <c r="N23" s="3"/>
    </row>
    <row r="24" spans="1:14" ht="19" x14ac:dyDescent="0.25">
      <c r="A24" s="7" t="s">
        <v>48</v>
      </c>
      <c r="B24" s="125">
        <v>-4516</v>
      </c>
      <c r="C24" s="7">
        <v>17</v>
      </c>
      <c r="D24" s="7">
        <v>11</v>
      </c>
      <c r="E24" s="7">
        <v>7</v>
      </c>
      <c r="F24" s="161">
        <f t="shared" si="5"/>
        <v>0.6470588235294118</v>
      </c>
      <c r="G24" s="10">
        <v>26236</v>
      </c>
      <c r="H24" s="10">
        <v>21720</v>
      </c>
      <c r="I24" s="118">
        <f t="shared" si="4"/>
        <v>-20.791896869244937</v>
      </c>
      <c r="J24" s="7">
        <v>47</v>
      </c>
      <c r="K24" s="3"/>
      <c r="L24" s="3">
        <v>25506</v>
      </c>
      <c r="M24" s="3" t="e">
        <f>#REF!-L24</f>
        <v>#REF!</v>
      </c>
      <c r="N24" s="3"/>
    </row>
    <row r="25" spans="1:14" ht="19" x14ac:dyDescent="0.25">
      <c r="A25" s="7" t="s">
        <v>49</v>
      </c>
      <c r="B25" s="126">
        <v>2761</v>
      </c>
      <c r="C25" s="7">
        <v>40</v>
      </c>
      <c r="D25" s="7">
        <v>31</v>
      </c>
      <c r="E25" s="7">
        <v>9</v>
      </c>
      <c r="F25" s="161">
        <f t="shared" si="5"/>
        <v>0.77500000000000002</v>
      </c>
      <c r="G25" s="10">
        <v>24951</v>
      </c>
      <c r="H25" s="10">
        <v>27712</v>
      </c>
      <c r="I25" s="128">
        <f t="shared" si="4"/>
        <v>9.9631928406466503</v>
      </c>
      <c r="J25" s="7">
        <v>47</v>
      </c>
      <c r="K25" s="3"/>
      <c r="L25" s="3">
        <v>25506</v>
      </c>
      <c r="M25" s="3" t="e">
        <f>#REF!-L25</f>
        <v>#REF!</v>
      </c>
      <c r="N25" s="3"/>
    </row>
    <row r="26" spans="1:14" ht="19" x14ac:dyDescent="0.25">
      <c r="A26" s="7" t="s">
        <v>50</v>
      </c>
      <c r="B26" s="126">
        <v>1159</v>
      </c>
      <c r="C26" s="7">
        <v>105</v>
      </c>
      <c r="D26" s="7">
        <v>51</v>
      </c>
      <c r="E26" s="7">
        <v>54</v>
      </c>
      <c r="F26" s="161">
        <f t="shared" si="5"/>
        <v>0.48571428571428571</v>
      </c>
      <c r="G26" s="10">
        <v>27712</v>
      </c>
      <c r="H26" s="10">
        <v>28871</v>
      </c>
      <c r="I26" s="128">
        <f t="shared" si="4"/>
        <v>4.0144089224481316</v>
      </c>
      <c r="J26" s="121"/>
      <c r="K26" s="5"/>
      <c r="L26" s="5"/>
      <c r="M26" s="5"/>
      <c r="N26" s="5"/>
    </row>
    <row r="27" spans="1:14" ht="19" x14ac:dyDescent="0.25">
      <c r="A27" s="7" t="s">
        <v>52</v>
      </c>
      <c r="B27" s="125">
        <v>-3907</v>
      </c>
      <c r="C27" s="7">
        <v>52</v>
      </c>
      <c r="D27" s="7">
        <v>31</v>
      </c>
      <c r="E27" s="7">
        <v>21</v>
      </c>
      <c r="F27" s="161">
        <f t="shared" si="5"/>
        <v>0.59615384615384615</v>
      </c>
      <c r="G27" s="10">
        <v>28871</v>
      </c>
      <c r="H27" s="10">
        <v>29420</v>
      </c>
      <c r="I27" s="128">
        <f t="shared" si="4"/>
        <v>1.866077498300476</v>
      </c>
      <c r="J27" s="121"/>
      <c r="K27" s="5"/>
      <c r="L27" s="5"/>
      <c r="M27" s="5"/>
      <c r="N27" s="5"/>
    </row>
    <row r="28" spans="1:14" ht="19" x14ac:dyDescent="0.25">
      <c r="A28" s="11" t="s">
        <v>53</v>
      </c>
      <c r="B28" s="240">
        <v>0</v>
      </c>
      <c r="C28" s="118"/>
      <c r="D28" s="118"/>
      <c r="E28" s="118"/>
      <c r="F28" s="241"/>
      <c r="G28" s="240"/>
      <c r="H28" s="240"/>
      <c r="I28" s="128"/>
      <c r="J28" s="121"/>
      <c r="K28" s="5"/>
      <c r="L28" s="5"/>
      <c r="M28" s="5"/>
      <c r="N28" s="5"/>
    </row>
    <row r="29" spans="1:14" ht="19" x14ac:dyDescent="0.25">
      <c r="A29" s="11" t="s">
        <v>41</v>
      </c>
      <c r="B29" s="240">
        <v>0</v>
      </c>
      <c r="C29" s="118"/>
      <c r="D29" s="118"/>
      <c r="E29" s="118"/>
      <c r="F29" s="241" t="e">
        <f>(D29/C29)</f>
        <v>#DIV/0!</v>
      </c>
      <c r="G29" s="240">
        <v>1038</v>
      </c>
      <c r="H29" s="240"/>
      <c r="I29" s="128"/>
      <c r="J29" s="121"/>
      <c r="K29" s="5"/>
      <c r="L29" s="5"/>
      <c r="M29" s="5"/>
      <c r="N29" s="5"/>
    </row>
    <row r="30" spans="1:14" ht="19" x14ac:dyDescent="0.25">
      <c r="A30" s="11" t="s">
        <v>54</v>
      </c>
      <c r="B30" s="240">
        <v>-876</v>
      </c>
      <c r="C30" s="11">
        <v>10</v>
      </c>
      <c r="D30" s="11">
        <v>4</v>
      </c>
      <c r="E30" s="11">
        <v>6</v>
      </c>
      <c r="F30" s="161">
        <f>(D30/C30)</f>
        <v>0.4</v>
      </c>
      <c r="G30" s="240"/>
      <c r="H30" s="240">
        <v>26804</v>
      </c>
      <c r="I30" s="128"/>
      <c r="J30" s="121"/>
      <c r="K30" s="5"/>
      <c r="L30" s="5"/>
      <c r="M30" s="5"/>
      <c r="N30" s="5"/>
    </row>
    <row r="31" spans="1:14" ht="19" x14ac:dyDescent="0.25">
      <c r="A31" s="7" t="s">
        <v>43</v>
      </c>
      <c r="B31" s="125">
        <f>H58+H62+H66+H70</f>
        <v>-89</v>
      </c>
      <c r="C31" s="7">
        <v>12</v>
      </c>
      <c r="D31" s="7">
        <v>5</v>
      </c>
      <c r="E31" s="7">
        <v>7</v>
      </c>
      <c r="F31" s="161">
        <f>(D31/C31)</f>
        <v>0.41666666666666669</v>
      </c>
      <c r="G31" s="10"/>
      <c r="H31" s="10">
        <v>26804</v>
      </c>
      <c r="I31" s="128"/>
      <c r="J31" s="121"/>
      <c r="K31" s="5"/>
      <c r="L31" s="5"/>
      <c r="M31" s="5"/>
      <c r="N31" s="5"/>
    </row>
    <row r="32" spans="1:14" ht="19" x14ac:dyDescent="0.25">
      <c r="A32" s="7" t="s">
        <v>44</v>
      </c>
      <c r="B32" s="125">
        <f>F36+F40+F44</f>
        <v>-1647</v>
      </c>
      <c r="C32" s="7">
        <v>12</v>
      </c>
      <c r="D32" s="7">
        <v>8</v>
      </c>
      <c r="E32" s="7">
        <v>4</v>
      </c>
      <c r="F32" s="161">
        <f>(D32/C32)</f>
        <v>0.66666666666666663</v>
      </c>
      <c r="G32" s="10"/>
      <c r="H32" s="10">
        <v>26804</v>
      </c>
      <c r="I32" s="128"/>
      <c r="J32" s="121"/>
      <c r="K32" s="5"/>
      <c r="L32" s="5"/>
      <c r="M32" s="5"/>
      <c r="N32" s="5"/>
    </row>
    <row r="33" spans="1:14" ht="19" x14ac:dyDescent="0.25">
      <c r="A33" s="121"/>
      <c r="B33" s="230"/>
      <c r="C33" s="121"/>
      <c r="D33" s="121"/>
      <c r="E33" s="121"/>
      <c r="F33" s="204"/>
      <c r="G33" s="205"/>
      <c r="H33" s="205"/>
      <c r="I33" s="206"/>
      <c r="J33" s="121"/>
      <c r="K33" s="5"/>
      <c r="L33" s="5"/>
      <c r="M33" s="5"/>
      <c r="N33" s="5"/>
    </row>
    <row r="34" spans="1:14" ht="19" x14ac:dyDescent="0.25">
      <c r="A34" s="121"/>
      <c r="B34" s="230"/>
      <c r="C34" s="121"/>
      <c r="D34" s="121"/>
      <c r="E34" s="121"/>
      <c r="F34" s="204"/>
      <c r="G34" s="205"/>
      <c r="H34" s="205"/>
      <c r="I34" s="206"/>
      <c r="J34" s="121"/>
      <c r="K34" s="5"/>
      <c r="L34" s="5"/>
      <c r="M34" s="5"/>
      <c r="N34" s="5"/>
    </row>
    <row r="35" spans="1:14" ht="21" x14ac:dyDescent="0.25">
      <c r="A35" s="171">
        <v>43374</v>
      </c>
      <c r="B35" s="238">
        <v>43375</v>
      </c>
      <c r="C35" s="171">
        <v>43376</v>
      </c>
      <c r="D35" s="238">
        <v>43377</v>
      </c>
      <c r="E35" s="171">
        <v>43378</v>
      </c>
      <c r="F35" s="238" t="s">
        <v>55</v>
      </c>
      <c r="G35" s="205"/>
      <c r="H35" s="205"/>
      <c r="I35" s="206"/>
      <c r="J35" s="121"/>
      <c r="K35" s="5"/>
      <c r="L35" s="5"/>
      <c r="M35" s="5"/>
      <c r="N35" s="5"/>
    </row>
    <row r="36" spans="1:14" ht="39" x14ac:dyDescent="0.25">
      <c r="A36" s="232"/>
      <c r="B36" s="229"/>
      <c r="C36" s="232">
        <v>-496</v>
      </c>
      <c r="D36" s="229">
        <v>10</v>
      </c>
      <c r="E36" s="229">
        <v>626</v>
      </c>
      <c r="F36" s="187">
        <f>A36+B36+C36+D36+E36</f>
        <v>140</v>
      </c>
      <c r="G36" s="205"/>
      <c r="H36" s="205"/>
      <c r="I36" s="206"/>
      <c r="J36" s="121"/>
      <c r="K36" s="5"/>
      <c r="L36" s="5"/>
      <c r="M36" s="5"/>
      <c r="N36" s="5"/>
    </row>
    <row r="37" spans="1:14" ht="39" x14ac:dyDescent="0.25">
      <c r="A37" s="242"/>
      <c r="B37" s="229"/>
      <c r="C37" s="242" t="s">
        <v>56</v>
      </c>
      <c r="D37" s="236"/>
      <c r="E37" s="236" t="s">
        <v>57</v>
      </c>
      <c r="F37" s="187"/>
      <c r="G37" s="205"/>
      <c r="H37" s="205"/>
      <c r="I37" s="206"/>
      <c r="J37" s="121"/>
      <c r="K37" s="5"/>
      <c r="L37" s="5"/>
      <c r="M37" s="5"/>
      <c r="N37" s="5"/>
    </row>
    <row r="38" spans="1:14" ht="140" customHeight="1" x14ac:dyDescent="0.25">
      <c r="A38" s="243"/>
      <c r="B38" s="119"/>
      <c r="C38" s="243" t="s">
        <v>58</v>
      </c>
      <c r="D38" s="244" t="s">
        <v>59</v>
      </c>
      <c r="E38" s="245" t="s">
        <v>60</v>
      </c>
      <c r="F38" s="187"/>
      <c r="G38" s="205"/>
      <c r="H38" s="205"/>
      <c r="I38" s="206"/>
      <c r="J38" s="121"/>
      <c r="K38" s="5"/>
      <c r="L38" s="5"/>
      <c r="M38" s="5"/>
      <c r="N38" s="5"/>
    </row>
    <row r="39" spans="1:14" ht="21" x14ac:dyDescent="0.25">
      <c r="A39" s="171" t="s">
        <v>61</v>
      </c>
      <c r="B39" s="238">
        <v>43382</v>
      </c>
      <c r="C39" s="171">
        <v>43383</v>
      </c>
      <c r="D39" s="238">
        <v>43382</v>
      </c>
      <c r="E39" s="171">
        <v>43383</v>
      </c>
      <c r="F39" s="238" t="s">
        <v>55</v>
      </c>
      <c r="G39" s="205"/>
      <c r="H39" s="205"/>
      <c r="I39" s="206"/>
      <c r="J39" s="121"/>
      <c r="K39" s="5"/>
      <c r="L39" s="5"/>
      <c r="M39" s="5"/>
      <c r="N39" s="5"/>
    </row>
    <row r="40" spans="1:14" ht="39" x14ac:dyDescent="0.25">
      <c r="A40" s="232">
        <v>-46</v>
      </c>
      <c r="B40" s="232">
        <v>-22</v>
      </c>
      <c r="C40" s="229">
        <v>562</v>
      </c>
      <c r="D40" s="229">
        <v>32</v>
      </c>
      <c r="E40" s="232">
        <v>-164</v>
      </c>
      <c r="F40" s="187">
        <f>A40+B40+C40+D40+E40</f>
        <v>362</v>
      </c>
      <c r="G40" s="205"/>
      <c r="H40" s="205"/>
      <c r="I40" s="206"/>
      <c r="J40" s="121"/>
      <c r="K40" s="5"/>
      <c r="L40" s="5"/>
      <c r="M40" s="5"/>
      <c r="N40" s="5"/>
    </row>
    <row r="41" spans="1:14" ht="54" x14ac:dyDescent="0.25">
      <c r="A41" s="246" t="s">
        <v>62</v>
      </c>
      <c r="B41" s="232" t="s">
        <v>63</v>
      </c>
      <c r="C41" s="247" t="s">
        <v>64</v>
      </c>
      <c r="D41" s="236" t="s">
        <v>65</v>
      </c>
      <c r="E41" s="248" t="s">
        <v>66</v>
      </c>
      <c r="F41" s="187"/>
      <c r="G41" s="205"/>
      <c r="H41" s="205"/>
      <c r="I41" s="206"/>
      <c r="J41" s="121"/>
      <c r="K41" s="5"/>
      <c r="L41" s="5"/>
      <c r="M41" s="5"/>
      <c r="N41" s="5"/>
    </row>
    <row r="42" spans="1:14" ht="140" customHeight="1" x14ac:dyDescent="0.25">
      <c r="A42" s="243" t="s">
        <v>67</v>
      </c>
      <c r="B42" s="119"/>
      <c r="C42" s="243"/>
      <c r="D42" s="244" t="s">
        <v>68</v>
      </c>
      <c r="E42" s="245" t="s">
        <v>69</v>
      </c>
      <c r="F42" s="187"/>
      <c r="G42" s="205"/>
      <c r="H42" s="205"/>
      <c r="I42" s="206"/>
      <c r="J42" s="121"/>
      <c r="K42" s="5"/>
      <c r="L42" s="5"/>
      <c r="M42" s="5"/>
      <c r="N42" s="5"/>
    </row>
    <row r="43" spans="1:14" ht="21" x14ac:dyDescent="0.25">
      <c r="A43" s="171">
        <v>43388</v>
      </c>
      <c r="B43" s="238">
        <v>43382</v>
      </c>
      <c r="C43" s="171">
        <v>43383</v>
      </c>
      <c r="D43" s="238">
        <v>43382</v>
      </c>
      <c r="E43" s="171">
        <v>43383</v>
      </c>
      <c r="F43" s="238" t="s">
        <v>55</v>
      </c>
      <c r="G43" s="205"/>
      <c r="H43" s="205"/>
      <c r="I43" s="206"/>
      <c r="J43" s="121"/>
      <c r="K43" s="5"/>
      <c r="L43" s="5"/>
      <c r="M43" s="5"/>
      <c r="N43" s="5"/>
    </row>
    <row r="44" spans="1:14" ht="39" x14ac:dyDescent="0.25">
      <c r="A44" s="249">
        <v>96</v>
      </c>
      <c r="B44" s="232">
        <v>-62</v>
      </c>
      <c r="C44" s="229">
        <v>417</v>
      </c>
      <c r="D44" s="232">
        <v>-2600</v>
      </c>
      <c r="E44" s="232"/>
      <c r="F44" s="190">
        <f>A44+B44+C44+D44+E44</f>
        <v>-2149</v>
      </c>
      <c r="G44" s="205"/>
      <c r="H44" s="205"/>
      <c r="I44" s="206"/>
      <c r="J44" s="121"/>
      <c r="K44" s="5"/>
      <c r="L44" s="5"/>
      <c r="M44" s="5"/>
      <c r="N44" s="5"/>
    </row>
    <row r="45" spans="1:14" ht="39" x14ac:dyDescent="0.25">
      <c r="A45" s="249" t="s">
        <v>70</v>
      </c>
      <c r="B45" s="232" t="s">
        <v>71</v>
      </c>
      <c r="C45" s="247" t="s">
        <v>72</v>
      </c>
      <c r="D45" s="236" t="s">
        <v>73</v>
      </c>
      <c r="E45" s="248"/>
      <c r="F45" s="187"/>
      <c r="G45" s="205"/>
      <c r="H45" s="205"/>
      <c r="I45" s="206"/>
      <c r="J45" s="121"/>
      <c r="K45" s="5"/>
      <c r="L45" s="5"/>
      <c r="M45" s="5"/>
      <c r="N45" s="5"/>
    </row>
    <row r="46" spans="1:14" ht="140" customHeight="1" x14ac:dyDescent="0.25">
      <c r="A46" s="245" t="s">
        <v>74</v>
      </c>
      <c r="B46" s="119"/>
      <c r="C46" s="245" t="s">
        <v>75</v>
      </c>
      <c r="D46" s="244"/>
      <c r="E46" s="245"/>
      <c r="F46" s="187"/>
      <c r="G46" s="205"/>
      <c r="H46" s="205"/>
      <c r="I46" s="206"/>
      <c r="J46" s="121"/>
      <c r="K46" s="5"/>
      <c r="L46" s="5"/>
      <c r="M46" s="5"/>
      <c r="N46" s="5"/>
    </row>
    <row r="47" spans="1:14" ht="19" x14ac:dyDescent="0.25">
      <c r="A47" s="121"/>
      <c r="B47" s="230"/>
      <c r="C47" s="121"/>
      <c r="D47" s="121"/>
      <c r="E47" s="121"/>
      <c r="F47" s="204"/>
      <c r="G47" s="205"/>
      <c r="H47" s="205"/>
      <c r="I47" s="206"/>
      <c r="J47" s="121"/>
      <c r="K47" s="5"/>
      <c r="L47" s="5"/>
      <c r="M47" s="5"/>
      <c r="N47" s="5"/>
    </row>
    <row r="48" spans="1:14" ht="21" x14ac:dyDescent="0.25">
      <c r="A48" s="171">
        <v>43388</v>
      </c>
      <c r="B48" s="171">
        <v>43389</v>
      </c>
      <c r="C48" s="171">
        <v>43389</v>
      </c>
      <c r="D48" s="171">
        <v>43389</v>
      </c>
      <c r="E48" s="171">
        <v>43389</v>
      </c>
      <c r="F48" s="238" t="s">
        <v>55</v>
      </c>
      <c r="G48" s="205"/>
      <c r="H48" s="205"/>
      <c r="I48" s="206"/>
      <c r="J48" s="121"/>
      <c r="K48" s="5"/>
      <c r="L48" s="5"/>
      <c r="M48" s="5"/>
      <c r="N48" s="5"/>
    </row>
    <row r="49" spans="1:14" ht="39" x14ac:dyDescent="0.25">
      <c r="A49" s="249">
        <v>38</v>
      </c>
      <c r="B49" s="249">
        <v>165</v>
      </c>
      <c r="C49" s="249">
        <v>499</v>
      </c>
      <c r="D49" s="249">
        <v>36</v>
      </c>
      <c r="E49" s="246">
        <v>-1246</v>
      </c>
      <c r="F49" s="190">
        <f>A49+B49+C49+D49+E49</f>
        <v>-508</v>
      </c>
      <c r="G49" s="205"/>
      <c r="H49" s="205"/>
      <c r="I49" s="206"/>
      <c r="J49" s="121"/>
      <c r="K49" s="5"/>
      <c r="L49" s="5"/>
      <c r="M49" s="5"/>
      <c r="N49" s="5"/>
    </row>
    <row r="50" spans="1:14" ht="60" x14ac:dyDescent="0.25">
      <c r="A50" s="249"/>
      <c r="B50" s="249" t="s">
        <v>76</v>
      </c>
      <c r="C50" s="249" t="s">
        <v>77</v>
      </c>
      <c r="D50" s="249"/>
      <c r="E50" s="249"/>
      <c r="F50" s="187"/>
      <c r="G50" s="205"/>
      <c r="H50" s="205"/>
      <c r="I50" s="206"/>
      <c r="J50" s="121"/>
      <c r="K50" s="5"/>
      <c r="L50" s="5"/>
      <c r="M50" s="5"/>
      <c r="N50" s="5"/>
    </row>
    <row r="51" spans="1:14" ht="21" x14ac:dyDescent="0.25">
      <c r="A51" s="171">
        <v>43388</v>
      </c>
      <c r="B51" s="171">
        <v>43389</v>
      </c>
      <c r="C51" s="171">
        <v>43389</v>
      </c>
      <c r="D51" s="171">
        <v>43389</v>
      </c>
      <c r="E51" s="171">
        <v>43389</v>
      </c>
      <c r="F51" s="238" t="s">
        <v>55</v>
      </c>
      <c r="G51" s="205"/>
      <c r="H51" s="205"/>
      <c r="I51" s="206"/>
      <c r="J51" s="121"/>
      <c r="K51" s="5"/>
      <c r="L51" s="5"/>
      <c r="M51" s="5"/>
      <c r="N51" s="5"/>
    </row>
    <row r="52" spans="1:14" ht="39" x14ac:dyDescent="0.25">
      <c r="A52" s="249">
        <v>0</v>
      </c>
      <c r="B52" s="249">
        <v>92</v>
      </c>
      <c r="C52" s="249">
        <v>33</v>
      </c>
      <c r="D52" s="249">
        <v>82</v>
      </c>
      <c r="E52" s="246"/>
      <c r="F52" s="187">
        <f>A52+B52+C52+D52+E52</f>
        <v>207</v>
      </c>
      <c r="G52" s="205"/>
      <c r="H52" s="205"/>
      <c r="I52" s="206"/>
      <c r="J52" s="121"/>
      <c r="K52" s="5"/>
      <c r="L52" s="5"/>
      <c r="M52" s="5"/>
      <c r="N52" s="5"/>
    </row>
    <row r="53" spans="1:14" ht="19" x14ac:dyDescent="0.25">
      <c r="A53" s="121"/>
      <c r="B53" s="230"/>
      <c r="C53" s="121"/>
      <c r="D53" s="121"/>
      <c r="E53" s="121"/>
      <c r="F53" s="204"/>
      <c r="G53" s="205"/>
      <c r="H53" s="205"/>
      <c r="I53" s="206"/>
      <c r="J53" s="121"/>
      <c r="K53" s="5"/>
      <c r="L53" s="5"/>
      <c r="M53" s="5"/>
      <c r="N53" s="5"/>
    </row>
    <row r="54" spans="1:14" s="172" customFormat="1" ht="46.25" customHeight="1" x14ac:dyDescent="0.25">
      <c r="A54" s="171" t="s">
        <v>78</v>
      </c>
      <c r="B54" s="171">
        <v>43444</v>
      </c>
      <c r="C54" s="171">
        <v>43411</v>
      </c>
      <c r="D54" s="171">
        <v>43412</v>
      </c>
      <c r="E54" s="171">
        <v>43413</v>
      </c>
      <c r="F54" s="171">
        <v>43414</v>
      </c>
      <c r="G54" s="171">
        <v>43415</v>
      </c>
      <c r="H54" s="238" t="s">
        <v>55</v>
      </c>
    </row>
    <row r="55" spans="1:14" s="176" customFormat="1" ht="78" customHeight="1" x14ac:dyDescent="0.2">
      <c r="A55" s="173">
        <v>6</v>
      </c>
      <c r="B55" s="229">
        <v>67</v>
      </c>
      <c r="C55" s="229"/>
      <c r="D55" s="231"/>
      <c r="E55" s="231"/>
      <c r="F55" s="251" t="s">
        <v>79</v>
      </c>
      <c r="G55" s="251" t="s">
        <v>79</v>
      </c>
      <c r="H55" s="187">
        <f>A55+B55+C55+D55+E55</f>
        <v>73</v>
      </c>
      <c r="I55"/>
    </row>
    <row r="56" spans="1:14" ht="20" customHeight="1" x14ac:dyDescent="0.25">
      <c r="A56" s="169"/>
      <c r="B56" s="170"/>
      <c r="C56" s="169"/>
      <c r="D56" s="169"/>
    </row>
    <row r="57" spans="1:14" s="172" customFormat="1" ht="46.25" customHeight="1" x14ac:dyDescent="0.25">
      <c r="A57" s="171">
        <v>43409</v>
      </c>
      <c r="B57" s="171">
        <v>43410</v>
      </c>
      <c r="C57" s="171">
        <v>43411</v>
      </c>
      <c r="D57" s="171">
        <v>43412</v>
      </c>
      <c r="E57" s="171">
        <v>43413</v>
      </c>
      <c r="F57" s="171">
        <v>43414</v>
      </c>
      <c r="G57" s="171">
        <v>43415</v>
      </c>
      <c r="H57" s="238" t="s">
        <v>55</v>
      </c>
    </row>
    <row r="58" spans="1:14" s="176" customFormat="1" ht="78" customHeight="1" x14ac:dyDescent="0.2">
      <c r="A58" s="179">
        <v>-21</v>
      </c>
      <c r="B58" s="229">
        <v>84</v>
      </c>
      <c r="C58" s="229">
        <v>89</v>
      </c>
      <c r="D58" s="231">
        <v>0</v>
      </c>
      <c r="E58" s="231">
        <v>0</v>
      </c>
      <c r="F58" s="251" t="s">
        <v>79</v>
      </c>
      <c r="G58" s="251" t="s">
        <v>79</v>
      </c>
      <c r="H58" s="187">
        <f>A58+B58+C58+D58+E58</f>
        <v>152</v>
      </c>
      <c r="I58"/>
    </row>
    <row r="59" spans="1:14" ht="77" customHeight="1" x14ac:dyDescent="0.2">
      <c r="A59" s="173" t="s">
        <v>80</v>
      </c>
      <c r="B59" s="229" t="s">
        <v>81</v>
      </c>
      <c r="C59" s="236" t="s">
        <v>82</v>
      </c>
      <c r="D59" s="236"/>
      <c r="E59" s="236"/>
      <c r="F59" s="234"/>
      <c r="G59" s="235"/>
      <c r="H59" s="187"/>
    </row>
    <row r="60" spans="1:14" ht="195" customHeight="1" x14ac:dyDescent="0.2">
      <c r="A60" s="171">
        <v>43416</v>
      </c>
      <c r="B60" s="171">
        <v>43417</v>
      </c>
      <c r="C60" s="171">
        <v>43418</v>
      </c>
      <c r="D60" s="171">
        <v>43419</v>
      </c>
      <c r="E60" s="171">
        <v>43420</v>
      </c>
      <c r="F60" s="171">
        <v>43421</v>
      </c>
      <c r="G60" s="171">
        <v>43422</v>
      </c>
      <c r="H60" s="187"/>
    </row>
    <row r="61" spans="1:14" s="172" customFormat="1" ht="46.25" customHeight="1" x14ac:dyDescent="0.2">
      <c r="A61" s="173">
        <v>60</v>
      </c>
      <c r="B61" s="179">
        <v>-359</v>
      </c>
      <c r="C61" s="173">
        <v>90</v>
      </c>
      <c r="D61" s="173">
        <v>33</v>
      </c>
      <c r="E61" s="173">
        <v>203</v>
      </c>
      <c r="F61" s="251" t="s">
        <v>79</v>
      </c>
      <c r="G61" s="251" t="s">
        <v>79</v>
      </c>
      <c r="H61" s="187">
        <f>A61+B61+C61+D61+E61</f>
        <v>27</v>
      </c>
    </row>
    <row r="62" spans="1:14" s="176" customFormat="1" ht="78" customHeight="1" x14ac:dyDescent="0.2">
      <c r="A62" s="250" t="s">
        <v>83</v>
      </c>
      <c r="B62" s="229" t="s">
        <v>84</v>
      </c>
      <c r="C62" s="229"/>
      <c r="D62" s="229"/>
      <c r="E62" s="232"/>
      <c r="F62" s="234"/>
      <c r="G62" s="235"/>
      <c r="H62" s="190">
        <f>H58+H61+H66</f>
        <v>-31</v>
      </c>
      <c r="I62"/>
    </row>
    <row r="63" spans="1:14" ht="77" customHeight="1" x14ac:dyDescent="0.2">
      <c r="A63" s="173"/>
      <c r="B63" s="229"/>
      <c r="C63" s="236"/>
      <c r="D63" s="236"/>
      <c r="E63" s="236"/>
      <c r="F63" s="236"/>
      <c r="G63" s="235"/>
      <c r="H63" s="187"/>
    </row>
    <row r="64" spans="1:14" ht="195" customHeight="1" x14ac:dyDescent="0.25">
      <c r="A64" s="120"/>
      <c r="B64" s="119"/>
      <c r="C64" s="120"/>
      <c r="D64" s="120"/>
      <c r="E64" s="237"/>
      <c r="F64" s="237"/>
      <c r="G64" s="3"/>
      <c r="H64" s="187"/>
    </row>
    <row r="65" spans="1:9" s="172" customFormat="1" ht="46.25" customHeight="1" x14ac:dyDescent="0.25">
      <c r="A65" s="171">
        <v>43423</v>
      </c>
      <c r="B65" s="171">
        <v>43424</v>
      </c>
      <c r="C65" s="171">
        <v>43425</v>
      </c>
      <c r="D65" s="171">
        <v>43426</v>
      </c>
      <c r="E65" s="171">
        <v>43427</v>
      </c>
      <c r="F65" s="171">
        <v>43428</v>
      </c>
      <c r="G65" s="171">
        <v>43429</v>
      </c>
      <c r="H65" s="238" t="s">
        <v>55</v>
      </c>
    </row>
    <row r="66" spans="1:9" s="176" customFormat="1" ht="78" customHeight="1" x14ac:dyDescent="0.2">
      <c r="A66" s="173">
        <v>225</v>
      </c>
      <c r="B66" s="232">
        <v>-815</v>
      </c>
      <c r="C66" s="229">
        <v>380</v>
      </c>
      <c r="D66" s="231">
        <v>0</v>
      </c>
      <c r="E66" s="251">
        <v>0</v>
      </c>
      <c r="F66" s="251" t="s">
        <v>79</v>
      </c>
      <c r="G66" s="251" t="s">
        <v>79</v>
      </c>
      <c r="H66" s="190">
        <f>A66+B66+C66+D66+E66</f>
        <v>-210</v>
      </c>
      <c r="I66"/>
    </row>
    <row r="67" spans="1:9" ht="77" customHeight="1" x14ac:dyDescent="0.2">
      <c r="A67" s="173" t="s">
        <v>85</v>
      </c>
      <c r="B67" s="236" t="s">
        <v>86</v>
      </c>
      <c r="C67" s="236" t="s">
        <v>87</v>
      </c>
      <c r="D67" s="236"/>
      <c r="E67" s="236"/>
      <c r="F67" s="236"/>
      <c r="G67" s="235"/>
      <c r="H67" s="187"/>
    </row>
    <row r="68" spans="1:9" ht="195" customHeight="1" x14ac:dyDescent="0.25">
      <c r="A68" s="120"/>
      <c r="B68" s="237"/>
      <c r="C68" s="237"/>
      <c r="D68" s="120"/>
      <c r="E68" s="237"/>
      <c r="F68" s="237"/>
      <c r="G68" s="3"/>
      <c r="H68" s="187"/>
    </row>
    <row r="69" spans="1:9" s="172" customFormat="1" ht="46.25" customHeight="1" x14ac:dyDescent="0.25">
      <c r="A69" s="171">
        <v>43430</v>
      </c>
      <c r="B69" s="171">
        <v>43431</v>
      </c>
      <c r="C69" s="171">
        <v>43432</v>
      </c>
      <c r="D69" s="171">
        <v>43433</v>
      </c>
      <c r="E69" s="171">
        <v>43434</v>
      </c>
      <c r="F69" s="252" t="s">
        <v>79</v>
      </c>
      <c r="G69" s="252" t="s">
        <v>79</v>
      </c>
      <c r="H69" s="238" t="s">
        <v>55</v>
      </c>
    </row>
    <row r="70" spans="1:9" s="176" customFormat="1" ht="78" customHeight="1" x14ac:dyDescent="0.2">
      <c r="A70" s="173"/>
      <c r="B70" s="229"/>
      <c r="C70" s="232"/>
      <c r="D70" s="232"/>
      <c r="E70" s="232"/>
      <c r="F70" s="234"/>
      <c r="G70" s="235"/>
      <c r="H70" s="190">
        <f>B70+C70+D70</f>
        <v>0</v>
      </c>
      <c r="I70"/>
    </row>
    <row r="71" spans="1:9" ht="165" customHeight="1" x14ac:dyDescent="0.2">
      <c r="A71" s="173"/>
      <c r="B71" s="236"/>
      <c r="C71" s="236"/>
      <c r="D71" s="239" t="s">
        <v>88</v>
      </c>
      <c r="E71" s="236"/>
      <c r="F71" s="236"/>
      <c r="G71" s="235"/>
      <c r="H71" s="187"/>
    </row>
    <row r="72" spans="1:9" ht="195" customHeight="1" x14ac:dyDescent="0.25">
      <c r="A72" s="120" t="s">
        <v>89</v>
      </c>
      <c r="B72" s="237" t="s">
        <v>90</v>
      </c>
      <c r="C72" s="237"/>
      <c r="D72" s="120"/>
      <c r="E72" s="237"/>
      <c r="F72" s="237"/>
      <c r="G72" s="3"/>
      <c r="H72" s="187"/>
    </row>
    <row r="73" spans="1:9" ht="20" customHeight="1" x14ac:dyDescent="0.25">
      <c r="A73" s="169"/>
      <c r="B73" s="170"/>
      <c r="C73" s="169"/>
      <c r="D73" s="169"/>
    </row>
    <row r="74" spans="1:9" ht="20" customHeight="1" x14ac:dyDescent="0.25">
      <c r="A74" s="169"/>
      <c r="B74" s="170"/>
      <c r="C74" s="169"/>
      <c r="D74" s="169"/>
    </row>
    <row r="75" spans="1:9" ht="20" customHeight="1" x14ac:dyDescent="0.25">
      <c r="A75" s="169"/>
      <c r="B75" s="170"/>
      <c r="C75" s="169"/>
      <c r="D75" s="169"/>
    </row>
    <row r="76" spans="1:9" ht="20" customHeight="1" x14ac:dyDescent="0.25">
      <c r="A76" s="169"/>
      <c r="B76" s="170"/>
      <c r="C76" s="169"/>
      <c r="D76" s="169"/>
    </row>
    <row r="77" spans="1:9" ht="20" customHeight="1" x14ac:dyDescent="0.25">
      <c r="A77" s="169" t="s">
        <v>91</v>
      </c>
      <c r="B77" s="170"/>
      <c r="C77" s="169"/>
      <c r="D77" s="169"/>
      <c r="I77" s="172"/>
    </row>
    <row r="78" spans="1:9" s="172" customFormat="1" ht="26" x14ac:dyDescent="0.2">
      <c r="A78" s="171"/>
      <c r="B78" s="171">
        <v>43326</v>
      </c>
      <c r="C78" s="171">
        <v>43327</v>
      </c>
      <c r="D78" s="171">
        <v>43328</v>
      </c>
      <c r="E78" s="171">
        <v>43329</v>
      </c>
      <c r="F78" s="171">
        <v>43330</v>
      </c>
      <c r="G78" s="171" t="s">
        <v>92</v>
      </c>
      <c r="H78" s="171"/>
      <c r="I78" s="186" t="s">
        <v>93</v>
      </c>
    </row>
    <row r="79" spans="1:9" s="176" customFormat="1" ht="51" customHeight="1" x14ac:dyDescent="0.2">
      <c r="A79" s="173"/>
      <c r="B79" s="229"/>
      <c r="C79" s="229">
        <v>90</v>
      </c>
      <c r="D79" s="229">
        <v>175</v>
      </c>
      <c r="E79" s="231">
        <v>0</v>
      </c>
      <c r="F79" s="187"/>
      <c r="G79" s="190"/>
      <c r="H79" s="187">
        <f>B79+C79+D79+E79+F79+G79+A79</f>
        <v>265</v>
      </c>
      <c r="I79" s="172"/>
    </row>
    <row r="80" spans="1:9" s="172" customFormat="1" ht="26" x14ac:dyDescent="0.2">
      <c r="A80" s="171"/>
      <c r="B80" s="171">
        <v>43332</v>
      </c>
      <c r="C80" s="171">
        <v>43333</v>
      </c>
      <c r="D80" s="171">
        <v>43334</v>
      </c>
      <c r="E80" s="171">
        <v>43335</v>
      </c>
      <c r="F80" s="171">
        <v>43336</v>
      </c>
      <c r="G80" s="171">
        <v>43337</v>
      </c>
      <c r="H80" s="171">
        <v>43296</v>
      </c>
      <c r="I80" s="186" t="s">
        <v>93</v>
      </c>
    </row>
    <row r="81" spans="1:12" s="176" customFormat="1" ht="51" customHeight="1" x14ac:dyDescent="0.2">
      <c r="A81" s="173"/>
      <c r="B81" s="232">
        <v>-56</v>
      </c>
      <c r="C81" s="229">
        <v>1656</v>
      </c>
      <c r="D81" s="232">
        <v>-480</v>
      </c>
      <c r="E81" s="231">
        <v>0</v>
      </c>
      <c r="F81" s="190">
        <v>-259</v>
      </c>
      <c r="G81" s="190"/>
      <c r="H81" s="187">
        <f>B81+C81+D81+E81+F81</f>
        <v>861</v>
      </c>
      <c r="I81" s="172"/>
    </row>
    <row r="82" spans="1:12" s="172" customFormat="1" ht="26" x14ac:dyDescent="0.2">
      <c r="A82" s="171"/>
      <c r="B82" s="171">
        <v>43339</v>
      </c>
      <c r="C82" s="171">
        <v>43340</v>
      </c>
      <c r="D82" s="171">
        <v>43341</v>
      </c>
      <c r="E82" s="171">
        <v>43342</v>
      </c>
      <c r="F82" s="171">
        <v>43343</v>
      </c>
      <c r="G82" s="171"/>
      <c r="H82" s="171">
        <v>43296</v>
      </c>
      <c r="I82" s="186" t="s">
        <v>93</v>
      </c>
    </row>
    <row r="83" spans="1:12" s="176" customFormat="1" ht="51" customHeight="1" x14ac:dyDescent="0.2">
      <c r="A83" s="173"/>
      <c r="B83" s="229">
        <v>120</v>
      </c>
      <c r="C83" s="232">
        <v>-1031</v>
      </c>
      <c r="D83" s="232">
        <v>-1091</v>
      </c>
      <c r="E83" s="231"/>
      <c r="F83" s="190"/>
      <c r="G83" s="190"/>
      <c r="H83" s="190">
        <f>B83+C83+D83+E83+F83</f>
        <v>-2002</v>
      </c>
      <c r="I83" s="186"/>
    </row>
    <row r="84" spans="1:12" s="176" customFormat="1" ht="51" customHeight="1" x14ac:dyDescent="0.2">
      <c r="A84" s="207"/>
      <c r="B84" s="207"/>
      <c r="C84" s="207"/>
      <c r="D84" s="208"/>
      <c r="E84" s="207"/>
      <c r="F84" s="209"/>
      <c r="G84" s="209" t="s">
        <v>94</v>
      </c>
      <c r="H84" s="233">
        <f>H79+H81+H83</f>
        <v>-876</v>
      </c>
      <c r="I84" s="186"/>
    </row>
    <row r="85" spans="1:12" s="176" customFormat="1" ht="51" customHeight="1" x14ac:dyDescent="0.2">
      <c r="A85" s="207"/>
      <c r="B85" s="207"/>
      <c r="C85" s="207"/>
      <c r="D85" s="208"/>
      <c r="E85" s="207"/>
      <c r="F85" s="209"/>
      <c r="G85" s="209" t="s">
        <v>94</v>
      </c>
      <c r="H85" s="233">
        <f>H80+H82+H84</f>
        <v>85716</v>
      </c>
      <c r="I85"/>
    </row>
    <row r="86" spans="1:12" ht="20" customHeight="1" x14ac:dyDescent="0.25">
      <c r="A86" s="169"/>
      <c r="B86" s="170"/>
      <c r="C86" s="169"/>
      <c r="D86" s="169"/>
      <c r="I86" s="172"/>
    </row>
    <row r="87" spans="1:12" s="172" customFormat="1" ht="26" x14ac:dyDescent="0.2">
      <c r="A87" s="171"/>
      <c r="B87" s="171">
        <v>43221</v>
      </c>
      <c r="C87" s="171">
        <v>43222</v>
      </c>
      <c r="D87" s="171">
        <v>43223</v>
      </c>
      <c r="E87" s="171">
        <v>43224</v>
      </c>
      <c r="F87" s="171">
        <v>43225</v>
      </c>
      <c r="G87" s="171">
        <v>43226</v>
      </c>
      <c r="H87" s="171" t="s">
        <v>94</v>
      </c>
      <c r="I87" s="186" t="s">
        <v>93</v>
      </c>
    </row>
    <row r="88" spans="1:12" s="176" customFormat="1" ht="51" customHeight="1" x14ac:dyDescent="0.2">
      <c r="A88" s="173"/>
      <c r="B88" s="173">
        <v>467</v>
      </c>
      <c r="C88" s="173">
        <v>769</v>
      </c>
      <c r="D88" s="174">
        <v>-1365</v>
      </c>
      <c r="E88" s="173">
        <v>674</v>
      </c>
      <c r="F88" s="184"/>
      <c r="G88" s="184"/>
      <c r="H88" s="183">
        <f>B88+C88+D88+E88+F88+G88+A88</f>
        <v>545</v>
      </c>
      <c r="I88" s="178"/>
    </row>
    <row r="89" spans="1:12" s="178" customFormat="1" ht="26" x14ac:dyDescent="0.2">
      <c r="A89" s="177">
        <v>43227</v>
      </c>
      <c r="B89" s="177">
        <v>43228</v>
      </c>
      <c r="C89" s="177">
        <v>43229</v>
      </c>
      <c r="D89" s="177">
        <v>43230</v>
      </c>
      <c r="E89" s="177">
        <v>43231</v>
      </c>
      <c r="F89" s="177">
        <v>43232</v>
      </c>
      <c r="G89" s="177">
        <v>43233</v>
      </c>
      <c r="H89" s="177" t="s">
        <v>94</v>
      </c>
      <c r="I89" s="186" t="s">
        <v>95</v>
      </c>
    </row>
    <row r="90" spans="1:12" s="176" customFormat="1" ht="52.25" customHeight="1" x14ac:dyDescent="0.2">
      <c r="A90" s="173">
        <v>335</v>
      </c>
      <c r="B90" s="179">
        <v>-14</v>
      </c>
      <c r="C90" s="173">
        <v>327</v>
      </c>
      <c r="D90" s="173">
        <v>155</v>
      </c>
      <c r="E90" s="173">
        <v>557</v>
      </c>
      <c r="F90" s="184"/>
      <c r="G90" s="183"/>
      <c r="H90" s="187">
        <f>A90+B90+C90+D90+E90</f>
        <v>1360</v>
      </c>
      <c r="I90" s="178"/>
      <c r="J90" s="175"/>
      <c r="K90" s="175"/>
      <c r="L90" s="175"/>
    </row>
    <row r="91" spans="1:12" s="178" customFormat="1" ht="26" x14ac:dyDescent="0.2">
      <c r="A91" s="177">
        <v>43234</v>
      </c>
      <c r="B91" s="177">
        <v>43235</v>
      </c>
      <c r="C91" s="177">
        <v>43236</v>
      </c>
      <c r="D91" s="177">
        <v>43237</v>
      </c>
      <c r="E91" s="177">
        <v>43238</v>
      </c>
      <c r="F91" s="177" t="s">
        <v>96</v>
      </c>
      <c r="G91" s="177">
        <v>43240</v>
      </c>
      <c r="H91" s="177" t="s">
        <v>94</v>
      </c>
      <c r="I91" s="186" t="s">
        <v>97</v>
      </c>
    </row>
    <row r="92" spans="1:12" s="176" customFormat="1" ht="64.25" customHeight="1" x14ac:dyDescent="0.2">
      <c r="A92" s="189">
        <v>-165</v>
      </c>
      <c r="B92" s="173">
        <v>545</v>
      </c>
      <c r="C92" s="173">
        <v>206</v>
      </c>
      <c r="D92" s="173">
        <v>179</v>
      </c>
      <c r="E92" s="173">
        <v>353</v>
      </c>
      <c r="F92" s="183"/>
      <c r="G92" s="184"/>
      <c r="H92" s="187">
        <f>B92+C92+D92+E92+F92+G92+A92</f>
        <v>1118</v>
      </c>
      <c r="I92" s="178"/>
    </row>
    <row r="93" spans="1:12" s="178" customFormat="1" ht="26" x14ac:dyDescent="0.2">
      <c r="A93" s="177">
        <v>43241</v>
      </c>
      <c r="B93" s="177">
        <v>43242</v>
      </c>
      <c r="C93" s="177">
        <v>43243</v>
      </c>
      <c r="D93" s="177">
        <v>43244</v>
      </c>
      <c r="E93" s="177">
        <v>43245</v>
      </c>
      <c r="F93" s="177">
        <v>43246</v>
      </c>
      <c r="G93" s="177">
        <v>43247</v>
      </c>
      <c r="H93" s="177" t="s">
        <v>94</v>
      </c>
      <c r="I93" s="186" t="s">
        <v>98</v>
      </c>
    </row>
    <row r="94" spans="1:12" s="176" customFormat="1" ht="63" customHeight="1" x14ac:dyDescent="0.2">
      <c r="A94" s="174">
        <v>-4773</v>
      </c>
      <c r="B94" s="173">
        <v>362</v>
      </c>
      <c r="C94" s="179">
        <v>-402</v>
      </c>
      <c r="D94" s="179">
        <v>-2117</v>
      </c>
      <c r="E94" s="179"/>
      <c r="F94" s="184"/>
      <c r="G94" s="183" t="s">
        <v>96</v>
      </c>
      <c r="H94" s="190">
        <f>A94+B94+C94+D94</f>
        <v>-6930</v>
      </c>
      <c r="I94" s="178"/>
    </row>
    <row r="95" spans="1:12" s="178" customFormat="1" ht="26" x14ac:dyDescent="0.2">
      <c r="A95" s="177">
        <v>43248</v>
      </c>
      <c r="B95" s="177">
        <v>43249</v>
      </c>
      <c r="C95" s="177">
        <v>43250</v>
      </c>
      <c r="D95" s="177">
        <v>43251</v>
      </c>
      <c r="E95" s="177"/>
      <c r="F95" s="177"/>
      <c r="G95" s="177"/>
      <c r="H95" s="177" t="s">
        <v>94</v>
      </c>
      <c r="I95" s="186" t="s">
        <v>99</v>
      </c>
    </row>
    <row r="96" spans="1:12" s="176" customFormat="1" ht="54" customHeight="1" x14ac:dyDescent="0.2">
      <c r="A96" s="179"/>
      <c r="B96" s="173"/>
      <c r="C96" s="179"/>
      <c r="D96" s="181"/>
      <c r="E96" s="180"/>
      <c r="F96" s="184"/>
      <c r="G96" s="183"/>
      <c r="H96" s="188">
        <f>A96+B96+C96+D96</f>
        <v>0</v>
      </c>
      <c r="I96" s="127"/>
    </row>
    <row r="97" spans="1:12" s="127" customFormat="1" ht="39" x14ac:dyDescent="0.45">
      <c r="A97" s="185"/>
      <c r="B97" s="185"/>
      <c r="C97" s="185"/>
      <c r="D97" s="185"/>
      <c r="E97" s="185"/>
      <c r="F97" s="182"/>
      <c r="G97" s="185"/>
      <c r="H97" s="191">
        <f>H88+H90+H92+H94+H96</f>
        <v>-3907</v>
      </c>
      <c r="I97"/>
    </row>
    <row r="98" spans="1:12" ht="20" customHeight="1" x14ac:dyDescent="0.25">
      <c r="A98" s="169"/>
      <c r="B98" s="170"/>
      <c r="C98" s="169"/>
      <c r="D98" s="169"/>
    </row>
    <row r="99" spans="1:12" ht="17" customHeight="1" x14ac:dyDescent="0.2">
      <c r="I99" s="150"/>
    </row>
    <row r="100" spans="1:12" s="150" customFormat="1" x14ac:dyDescent="0.2">
      <c r="A100" s="133">
        <v>43192</v>
      </c>
      <c r="B100" s="133">
        <v>43193</v>
      </c>
      <c r="C100" s="133">
        <v>43194</v>
      </c>
      <c r="D100" s="133">
        <v>43195</v>
      </c>
      <c r="E100" s="133">
        <v>43196</v>
      </c>
      <c r="F100" s="162">
        <v>43197</v>
      </c>
      <c r="G100" s="133">
        <v>43198</v>
      </c>
      <c r="H100" s="133"/>
      <c r="I100"/>
    </row>
    <row r="101" spans="1:12" ht="39" x14ac:dyDescent="0.45">
      <c r="A101" s="115">
        <v>237</v>
      </c>
      <c r="B101" s="115">
        <v>173</v>
      </c>
      <c r="C101" s="115">
        <v>96</v>
      </c>
      <c r="D101" s="136">
        <v>-1447</v>
      </c>
      <c r="E101" s="115">
        <v>498</v>
      </c>
      <c r="F101" s="163">
        <v>-277</v>
      </c>
      <c r="G101" s="157"/>
      <c r="H101" s="113">
        <f>B101+C101+D101+E101+F101+G101+A101</f>
        <v>-720</v>
      </c>
      <c r="I101" s="150"/>
    </row>
    <row r="102" spans="1:12" s="150" customFormat="1" x14ac:dyDescent="0.2">
      <c r="A102" s="133">
        <v>43199</v>
      </c>
      <c r="B102" s="133">
        <v>43200</v>
      </c>
      <c r="C102" s="133">
        <v>43201</v>
      </c>
      <c r="D102" s="133">
        <v>43202</v>
      </c>
      <c r="E102" s="133">
        <v>43203</v>
      </c>
      <c r="F102" s="162">
        <v>43204</v>
      </c>
      <c r="G102" s="133">
        <v>43205</v>
      </c>
      <c r="H102" s="149"/>
      <c r="I102" s="166" t="s">
        <v>100</v>
      </c>
    </row>
    <row r="103" spans="1:12" ht="39" x14ac:dyDescent="0.45">
      <c r="A103" s="115">
        <v>329</v>
      </c>
      <c r="B103" s="136">
        <v>-737</v>
      </c>
      <c r="C103" s="115">
        <v>472</v>
      </c>
      <c r="D103" s="115">
        <v>517</v>
      </c>
      <c r="E103" s="115">
        <v>19</v>
      </c>
      <c r="F103" s="163"/>
      <c r="G103" s="158"/>
      <c r="H103" s="117">
        <f>A103+B103+C103+D103+E103</f>
        <v>600</v>
      </c>
      <c r="I103" s="150"/>
      <c r="J103" s="166"/>
      <c r="K103" s="166" t="s">
        <v>101</v>
      </c>
      <c r="L103" s="166"/>
    </row>
    <row r="104" spans="1:12" s="150" customFormat="1" x14ac:dyDescent="0.2">
      <c r="A104" s="133">
        <v>43206</v>
      </c>
      <c r="B104" s="133">
        <v>43207</v>
      </c>
      <c r="C104" s="133">
        <v>43208</v>
      </c>
      <c r="D104" s="133">
        <v>43209</v>
      </c>
      <c r="E104" s="133">
        <v>43210</v>
      </c>
      <c r="F104" s="162">
        <v>43211</v>
      </c>
      <c r="G104" s="133">
        <v>43212</v>
      </c>
      <c r="H104" s="149"/>
      <c r="I104" t="s">
        <v>102</v>
      </c>
    </row>
    <row r="105" spans="1:12" ht="39" x14ac:dyDescent="0.45">
      <c r="A105" s="135">
        <v>146</v>
      </c>
      <c r="B105" s="113">
        <v>-172</v>
      </c>
      <c r="C105" s="115">
        <v>226</v>
      </c>
      <c r="D105" s="115">
        <v>1138</v>
      </c>
      <c r="E105" s="113">
        <v>-131</v>
      </c>
      <c r="F105" s="164"/>
      <c r="G105" s="157"/>
      <c r="H105" s="117">
        <f>B105+C105+D105+E105+F105+G105+A105</f>
        <v>1207</v>
      </c>
      <c r="I105" s="150"/>
    </row>
    <row r="106" spans="1:12" s="150" customFormat="1" x14ac:dyDescent="0.2">
      <c r="A106" s="133">
        <v>43213</v>
      </c>
      <c r="B106" s="133">
        <v>43214</v>
      </c>
      <c r="C106" s="133">
        <v>43215</v>
      </c>
      <c r="D106" s="133">
        <v>43216</v>
      </c>
      <c r="E106" s="133">
        <v>43217</v>
      </c>
      <c r="F106" s="162">
        <v>43218</v>
      </c>
      <c r="G106" s="133">
        <v>43219</v>
      </c>
      <c r="H106" s="168"/>
      <c r="I106" t="s">
        <v>103</v>
      </c>
    </row>
    <row r="107" spans="1:12" ht="39" x14ac:dyDescent="0.45">
      <c r="A107" s="114">
        <v>0</v>
      </c>
      <c r="B107" s="115">
        <v>220</v>
      </c>
      <c r="C107" s="115">
        <v>99</v>
      </c>
      <c r="D107" s="113">
        <v>-190</v>
      </c>
      <c r="E107" s="114">
        <v>0</v>
      </c>
      <c r="F107" s="163"/>
      <c r="G107" s="158"/>
      <c r="H107" s="117">
        <f>B107+C107+D107+E107+F107+G107+A107</f>
        <v>129</v>
      </c>
      <c r="I107" s="150" t="s">
        <v>104</v>
      </c>
    </row>
    <row r="108" spans="1:12" s="150" customFormat="1" x14ac:dyDescent="0.2">
      <c r="A108" s="133">
        <v>43220</v>
      </c>
      <c r="B108" s="133"/>
      <c r="C108" s="133"/>
      <c r="D108" s="133"/>
      <c r="E108" s="133"/>
      <c r="F108" s="162"/>
      <c r="G108" s="156"/>
      <c r="H108" s="149"/>
      <c r="I108"/>
    </row>
    <row r="109" spans="1:12" ht="39" x14ac:dyDescent="0.45">
      <c r="A109" s="113">
        <v>-57</v>
      </c>
      <c r="B109" s="115"/>
      <c r="C109" s="113"/>
      <c r="D109" s="167"/>
      <c r="E109" s="114"/>
      <c r="F109" s="163"/>
      <c r="G109" s="158"/>
      <c r="H109" s="116">
        <f>A109+B109+C109+D109</f>
        <v>-57</v>
      </c>
      <c r="I109" t="s">
        <v>105</v>
      </c>
    </row>
    <row r="110" spans="1:12" ht="39" x14ac:dyDescent="0.45">
      <c r="A110" s="115"/>
      <c r="B110" s="115"/>
      <c r="C110" s="115"/>
      <c r="D110" s="115"/>
      <c r="E110" s="115"/>
      <c r="F110" s="163"/>
      <c r="G110" s="158"/>
      <c r="H110" s="117">
        <f>H101+H103+H105+H107+H109</f>
        <v>1159</v>
      </c>
    </row>
    <row r="111" spans="1:12" x14ac:dyDescent="0.2">
      <c r="G111" s="159"/>
    </row>
    <row r="117" spans="1:8" x14ac:dyDescent="0.2">
      <c r="A117" s="19" t="s">
        <v>91</v>
      </c>
      <c r="B117" s="19">
        <v>47119</v>
      </c>
      <c r="C117" s="19">
        <v>47484</v>
      </c>
      <c r="D117" s="19">
        <v>47849</v>
      </c>
      <c r="E117" s="19">
        <v>36923</v>
      </c>
      <c r="F117" s="165">
        <v>37288</v>
      </c>
      <c r="G117" s="19">
        <v>37653</v>
      </c>
      <c r="H117" s="3"/>
    </row>
    <row r="118" spans="1:8" ht="39" x14ac:dyDescent="0.45">
      <c r="B118" s="114"/>
      <c r="C118" s="114"/>
      <c r="D118" s="114"/>
      <c r="E118" s="115"/>
      <c r="F118" s="163"/>
      <c r="G118" s="113"/>
      <c r="H118" s="113">
        <f>E118-F118-G118</f>
        <v>0</v>
      </c>
    </row>
    <row r="119" spans="1:8" x14ac:dyDescent="0.2">
      <c r="A119" s="19">
        <v>38018</v>
      </c>
      <c r="B119" s="19">
        <v>38384</v>
      </c>
      <c r="C119" s="19">
        <v>38749</v>
      </c>
      <c r="D119" s="19">
        <v>39114</v>
      </c>
      <c r="E119" s="19">
        <v>39479</v>
      </c>
      <c r="F119" s="165">
        <v>39845</v>
      </c>
      <c r="G119" s="19">
        <v>40210</v>
      </c>
      <c r="H119" s="3"/>
    </row>
    <row r="120" spans="1:8" ht="39" x14ac:dyDescent="0.45">
      <c r="A120" s="115"/>
      <c r="B120" s="136">
        <v>-4780</v>
      </c>
      <c r="C120" s="115"/>
      <c r="D120" s="114"/>
      <c r="E120" s="113">
        <v>-37</v>
      </c>
      <c r="F120" s="163"/>
      <c r="G120" s="115"/>
      <c r="H120" s="116">
        <f>B120+E120</f>
        <v>-4817</v>
      </c>
    </row>
    <row r="121" spans="1:8" x14ac:dyDescent="0.2">
      <c r="A121" s="19">
        <v>40940</v>
      </c>
      <c r="B121" s="19">
        <v>41306</v>
      </c>
      <c r="C121" s="19">
        <v>41671</v>
      </c>
      <c r="D121" s="19">
        <v>42036</v>
      </c>
      <c r="E121" s="19">
        <v>42401</v>
      </c>
      <c r="F121" s="165">
        <v>42767</v>
      </c>
      <c r="G121" s="19">
        <v>43132</v>
      </c>
      <c r="H121" s="3"/>
    </row>
    <row r="122" spans="1:8" ht="39" x14ac:dyDescent="0.45">
      <c r="A122" s="135">
        <v>44.5</v>
      </c>
      <c r="B122" s="113">
        <v>-193</v>
      </c>
      <c r="C122" s="115">
        <v>166</v>
      </c>
      <c r="D122" s="114">
        <v>0</v>
      </c>
      <c r="E122" s="114">
        <v>0</v>
      </c>
      <c r="F122" s="164"/>
      <c r="G122" s="113"/>
      <c r="H122" s="117">
        <f>B122+C122+D122+E122+F122+G122+A122</f>
        <v>17.5</v>
      </c>
    </row>
    <row r="123" spans="1:8" x14ac:dyDescent="0.2">
      <c r="A123" s="19">
        <v>43132</v>
      </c>
      <c r="B123" s="19">
        <v>43497</v>
      </c>
      <c r="C123" s="19">
        <v>43862</v>
      </c>
      <c r="D123" s="19">
        <v>44228</v>
      </c>
      <c r="E123" s="19">
        <v>44593</v>
      </c>
      <c r="F123" s="165">
        <v>44958</v>
      </c>
      <c r="G123" s="19">
        <v>45323</v>
      </c>
      <c r="H123" s="3"/>
    </row>
    <row r="124" spans="1:8" ht="39" x14ac:dyDescent="0.45">
      <c r="A124" s="114">
        <v>0</v>
      </c>
      <c r="B124" s="114">
        <v>0</v>
      </c>
      <c r="C124" s="115">
        <v>141</v>
      </c>
      <c r="D124" s="113">
        <v>-8</v>
      </c>
      <c r="E124" s="114">
        <v>0</v>
      </c>
      <c r="F124" s="163"/>
      <c r="G124" s="115"/>
      <c r="H124" s="117">
        <f>B124+C124+D124+E124+F124+G124+A124</f>
        <v>133</v>
      </c>
    </row>
    <row r="125" spans="1:8" x14ac:dyDescent="0.2">
      <c r="A125" s="19">
        <v>45689</v>
      </c>
      <c r="B125" s="19">
        <v>46054</v>
      </c>
      <c r="C125" s="19">
        <v>46419</v>
      </c>
      <c r="D125" s="19">
        <v>43162</v>
      </c>
      <c r="E125" s="19"/>
      <c r="F125" s="165"/>
      <c r="G125" s="19"/>
      <c r="H125" s="3"/>
    </row>
    <row r="126" spans="1:8" ht="39" x14ac:dyDescent="0.45">
      <c r="A126" s="114"/>
      <c r="B126" s="115">
        <v>103</v>
      </c>
      <c r="C126" s="115">
        <v>47</v>
      </c>
      <c r="D126" s="114">
        <v>0</v>
      </c>
      <c r="E126" s="115"/>
      <c r="F126" s="163"/>
      <c r="G126" s="115"/>
      <c r="H126" s="117">
        <f>B126+C126+D126+E126+F126+G126+A126</f>
        <v>150</v>
      </c>
    </row>
    <row r="127" spans="1:8" x14ac:dyDescent="0.2">
      <c r="H127" s="3" t="s">
        <v>94</v>
      </c>
    </row>
    <row r="128" spans="1:8" ht="39" x14ac:dyDescent="0.45">
      <c r="H128" s="116">
        <f>H120+H122+H124+H126</f>
        <v>-4516.5</v>
      </c>
    </row>
    <row r="129" spans="1:9" x14ac:dyDescent="0.2">
      <c r="I129" s="150"/>
    </row>
    <row r="130" spans="1:9" s="150" customFormat="1" x14ac:dyDescent="0.2">
      <c r="A130" s="149" t="s">
        <v>91</v>
      </c>
      <c r="B130" s="133"/>
      <c r="C130" s="133"/>
      <c r="D130" s="133">
        <v>43160</v>
      </c>
      <c r="E130" s="133">
        <v>43161</v>
      </c>
      <c r="F130" s="162">
        <v>43162</v>
      </c>
      <c r="G130" s="151">
        <v>43163</v>
      </c>
      <c r="H130" s="133"/>
      <c r="I130" t="s">
        <v>106</v>
      </c>
    </row>
    <row r="131" spans="1:9" ht="39" x14ac:dyDescent="0.45">
      <c r="B131" s="115"/>
      <c r="C131" s="114"/>
      <c r="D131" s="114"/>
      <c r="E131" s="115">
        <v>136</v>
      </c>
      <c r="F131" s="163"/>
      <c r="G131" s="152"/>
      <c r="H131" s="115">
        <f>B131+C131+D131+E131+F131+G131</f>
        <v>136</v>
      </c>
      <c r="I131" s="150"/>
    </row>
    <row r="132" spans="1:9" s="150" customFormat="1" x14ac:dyDescent="0.2">
      <c r="A132" s="133">
        <v>43164</v>
      </c>
      <c r="B132" s="133">
        <v>43165</v>
      </c>
      <c r="C132" s="133">
        <v>43166</v>
      </c>
      <c r="D132" s="133">
        <v>43167</v>
      </c>
      <c r="E132" s="133">
        <v>43168</v>
      </c>
      <c r="F132" s="162">
        <v>43169</v>
      </c>
      <c r="G132" s="151">
        <v>43170</v>
      </c>
      <c r="H132" s="149"/>
      <c r="I132"/>
    </row>
    <row r="133" spans="1:9" ht="39" x14ac:dyDescent="0.45">
      <c r="A133" s="115">
        <v>65</v>
      </c>
      <c r="B133" s="154">
        <v>395</v>
      </c>
      <c r="C133" s="115">
        <v>94</v>
      </c>
      <c r="D133" s="115">
        <v>226</v>
      </c>
      <c r="E133" s="114">
        <v>0</v>
      </c>
      <c r="F133" s="163"/>
      <c r="G133" s="153"/>
      <c r="H133" s="117">
        <f>A133+B133+C133+D133+E133</f>
        <v>780</v>
      </c>
      <c r="I133" s="150"/>
    </row>
    <row r="134" spans="1:9" s="150" customFormat="1" x14ac:dyDescent="0.2">
      <c r="A134" s="133">
        <v>43171</v>
      </c>
      <c r="B134" s="133">
        <v>43172</v>
      </c>
      <c r="C134" s="133">
        <v>43173</v>
      </c>
      <c r="D134" s="133">
        <v>43174</v>
      </c>
      <c r="E134" s="133">
        <v>43175</v>
      </c>
      <c r="F134" s="162">
        <v>43176</v>
      </c>
      <c r="G134" s="151">
        <v>43177</v>
      </c>
      <c r="H134" s="149"/>
      <c r="I134"/>
    </row>
    <row r="135" spans="1:9" ht="39" x14ac:dyDescent="0.45">
      <c r="A135" s="155">
        <v>0</v>
      </c>
      <c r="B135" s="115">
        <v>100</v>
      </c>
      <c r="C135" s="115">
        <v>63</v>
      </c>
      <c r="D135" s="114">
        <v>0</v>
      </c>
      <c r="E135" s="114">
        <v>0</v>
      </c>
      <c r="F135" s="164"/>
      <c r="G135" s="152"/>
      <c r="H135" s="117">
        <f>B135+C135+D135+E135+F135+G135+A135</f>
        <v>163</v>
      </c>
      <c r="I135" s="150"/>
    </row>
    <row r="136" spans="1:9" s="150" customFormat="1" x14ac:dyDescent="0.2">
      <c r="A136" s="133">
        <v>43178</v>
      </c>
      <c r="B136" s="133">
        <v>43179</v>
      </c>
      <c r="C136" s="133">
        <v>43180</v>
      </c>
      <c r="D136" s="133">
        <v>43181</v>
      </c>
      <c r="E136" s="133">
        <v>43182</v>
      </c>
      <c r="F136" s="162">
        <v>43183</v>
      </c>
      <c r="G136" s="151">
        <v>43184</v>
      </c>
      <c r="H136" s="149"/>
      <c r="I136"/>
    </row>
    <row r="137" spans="1:9" ht="39" x14ac:dyDescent="0.45">
      <c r="A137" s="115">
        <v>642</v>
      </c>
      <c r="B137" s="115">
        <v>463</v>
      </c>
      <c r="C137" s="115">
        <v>581</v>
      </c>
      <c r="D137" s="115">
        <v>506</v>
      </c>
      <c r="E137" s="113">
        <v>-1449</v>
      </c>
      <c r="F137" s="163"/>
      <c r="G137" s="153"/>
      <c r="H137" s="117">
        <f>B137+C137+D137+E137+F137+G137+A137</f>
        <v>743</v>
      </c>
      <c r="I137" s="150"/>
    </row>
    <row r="138" spans="1:9" s="150" customFormat="1" x14ac:dyDescent="0.2">
      <c r="A138" s="133">
        <v>43185</v>
      </c>
      <c r="B138" s="133">
        <v>43186</v>
      </c>
      <c r="C138" s="133">
        <v>43187</v>
      </c>
      <c r="D138" s="133">
        <v>43188</v>
      </c>
      <c r="E138" s="133">
        <v>43189</v>
      </c>
      <c r="F138" s="162">
        <v>43190</v>
      </c>
      <c r="G138" s="151"/>
      <c r="H138" s="149"/>
      <c r="I138"/>
    </row>
    <row r="139" spans="1:9" ht="39" x14ac:dyDescent="0.45">
      <c r="A139" s="115">
        <v>341</v>
      </c>
      <c r="B139" s="115">
        <v>561</v>
      </c>
      <c r="C139" s="113">
        <v>-61</v>
      </c>
      <c r="D139" s="115">
        <v>98</v>
      </c>
      <c r="E139" s="114">
        <v>0</v>
      </c>
      <c r="F139" s="163"/>
      <c r="G139" s="153"/>
      <c r="H139" s="117">
        <f>A139+B139+C139+D139</f>
        <v>939</v>
      </c>
    </row>
    <row r="140" spans="1:9" ht="39" x14ac:dyDescent="0.45">
      <c r="A140" s="115"/>
      <c r="B140" s="115"/>
      <c r="C140" s="115"/>
      <c r="D140" s="115"/>
      <c r="E140" s="115"/>
      <c r="F140" s="163"/>
      <c r="G140" s="153"/>
      <c r="H140" s="117">
        <f>H131+H133+H135+H137+H139</f>
        <v>2761</v>
      </c>
    </row>
    <row r="142" spans="1:9" x14ac:dyDescent="0.2">
      <c r="A142" s="134" t="s">
        <v>107</v>
      </c>
      <c r="B142" s="134" t="s">
        <v>108</v>
      </c>
      <c r="C142" s="134" t="s">
        <v>109</v>
      </c>
      <c r="D142" s="134" t="s">
        <v>110</v>
      </c>
      <c r="E142" s="134" t="s">
        <v>111</v>
      </c>
    </row>
    <row r="143" spans="1:9" x14ac:dyDescent="0.2">
      <c r="A143" s="147">
        <v>43143</v>
      </c>
      <c r="B143" s="148" t="s">
        <v>112</v>
      </c>
      <c r="C143" s="148">
        <v>16.5</v>
      </c>
      <c r="D143" s="148">
        <v>61</v>
      </c>
      <c r="E143" s="148">
        <f>D143-C143</f>
        <v>44.5</v>
      </c>
    </row>
    <row r="144" spans="1:9" x14ac:dyDescent="0.2">
      <c r="A144" s="147">
        <v>43144</v>
      </c>
      <c r="B144" s="148" t="s">
        <v>113</v>
      </c>
      <c r="C144" s="148">
        <v>10</v>
      </c>
      <c r="D144" s="148">
        <v>-236</v>
      </c>
      <c r="E144" s="148">
        <v>-246</v>
      </c>
      <c r="F144" s="141">
        <v>700</v>
      </c>
    </row>
    <row r="145" spans="1:5" x14ac:dyDescent="0.2">
      <c r="A145" s="147">
        <v>43144</v>
      </c>
      <c r="B145" s="148" t="s">
        <v>113</v>
      </c>
      <c r="C145" s="148">
        <v>4</v>
      </c>
      <c r="D145" s="148">
        <v>38</v>
      </c>
      <c r="E145" s="148">
        <v>32</v>
      </c>
    </row>
    <row r="146" spans="1:5" x14ac:dyDescent="0.2">
      <c r="A146" s="147">
        <v>43144</v>
      </c>
      <c r="B146" s="148" t="s">
        <v>113</v>
      </c>
      <c r="C146" s="148">
        <v>3</v>
      </c>
      <c r="D146" s="148">
        <v>27</v>
      </c>
      <c r="E146" s="148">
        <v>24</v>
      </c>
    </row>
    <row r="147" spans="1:5" x14ac:dyDescent="0.2">
      <c r="A147" s="147">
        <v>43144</v>
      </c>
      <c r="B147" s="148" t="s">
        <v>114</v>
      </c>
      <c r="C147" s="148"/>
      <c r="D147" s="148">
        <v>-3</v>
      </c>
      <c r="E147" s="148">
        <v>-3</v>
      </c>
    </row>
    <row r="148" spans="1:5" x14ac:dyDescent="0.2">
      <c r="A148" s="133">
        <v>43144</v>
      </c>
      <c r="B148" s="3" t="s">
        <v>115</v>
      </c>
      <c r="C148" s="3">
        <v>15</v>
      </c>
      <c r="D148" s="3">
        <v>47</v>
      </c>
      <c r="E148" s="3">
        <f>D148-C148</f>
        <v>32</v>
      </c>
    </row>
    <row r="149" spans="1:5" x14ac:dyDescent="0.2">
      <c r="A149" s="133">
        <v>43144</v>
      </c>
      <c r="B149" s="3" t="s">
        <v>113</v>
      </c>
      <c r="C149" s="3">
        <v>7</v>
      </c>
      <c r="D149" s="3">
        <v>8</v>
      </c>
      <c r="E149" s="3">
        <v>3</v>
      </c>
    </row>
    <row r="150" spans="1:5" x14ac:dyDescent="0.2">
      <c r="A150" s="133">
        <v>43151</v>
      </c>
      <c r="B150" s="145" t="s">
        <v>116</v>
      </c>
      <c r="C150" s="145">
        <v>15</v>
      </c>
      <c r="D150" s="145">
        <v>18</v>
      </c>
      <c r="E150" s="145">
        <v>3</v>
      </c>
    </row>
    <row r="151" spans="1:5" x14ac:dyDescent="0.2">
      <c r="A151" s="133">
        <v>43151</v>
      </c>
      <c r="B151" s="145" t="s">
        <v>117</v>
      </c>
      <c r="C151" s="3" t="s">
        <v>118</v>
      </c>
      <c r="D151" s="145">
        <v>137</v>
      </c>
      <c r="E151" s="145">
        <v>137</v>
      </c>
    </row>
    <row r="152" spans="1:5" x14ac:dyDescent="0.2">
      <c r="A152" s="133">
        <v>43152</v>
      </c>
      <c r="B152" s="145" t="s">
        <v>119</v>
      </c>
      <c r="C152" s="3">
        <v>3</v>
      </c>
      <c r="D152" s="145">
        <v>20</v>
      </c>
      <c r="E152" s="145">
        <v>17</v>
      </c>
    </row>
    <row r="153" spans="1:5" x14ac:dyDescent="0.2">
      <c r="A153" s="133">
        <v>43152</v>
      </c>
      <c r="B153" s="145" t="s">
        <v>120</v>
      </c>
      <c r="C153" s="3">
        <v>3</v>
      </c>
      <c r="D153" s="145">
        <v>-12</v>
      </c>
      <c r="E153" s="145">
        <v>-15</v>
      </c>
    </row>
    <row r="154" spans="1:5" x14ac:dyDescent="0.2">
      <c r="A154" s="133">
        <v>43152</v>
      </c>
      <c r="B154" s="145" t="s">
        <v>121</v>
      </c>
      <c r="C154" s="3">
        <v>-2</v>
      </c>
      <c r="D154" s="145">
        <v>-4</v>
      </c>
      <c r="E154" s="145">
        <v>-6</v>
      </c>
    </row>
    <row r="155" spans="1:5" x14ac:dyDescent="0.2">
      <c r="A155" s="133">
        <v>43157</v>
      </c>
      <c r="B155" s="145" t="s">
        <v>122</v>
      </c>
      <c r="C155" s="3">
        <v>0</v>
      </c>
      <c r="D155" s="145">
        <v>0</v>
      </c>
      <c r="E155" s="145">
        <v>-70</v>
      </c>
    </row>
    <row r="156" spans="1:5" x14ac:dyDescent="0.2">
      <c r="A156" s="133">
        <v>43157</v>
      </c>
      <c r="B156" s="145" t="s">
        <v>123</v>
      </c>
      <c r="C156" s="3"/>
      <c r="D156" s="145">
        <v>174</v>
      </c>
      <c r="E156" s="145">
        <v>174</v>
      </c>
    </row>
  </sheetData>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I10" sqref="I10"/>
    </sheetView>
  </sheetViews>
  <sheetFormatPr baseColWidth="10" defaultColWidth="11"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I10" sqref="I10"/>
    </sheetView>
  </sheetViews>
  <sheetFormatPr baseColWidth="10" defaultColWidth="11"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I10" sqref="I10"/>
    </sheetView>
  </sheetViews>
  <sheetFormatPr baseColWidth="10" defaultColWidth="11"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I10" sqref="I10"/>
    </sheetView>
  </sheetViews>
  <sheetFormatPr baseColWidth="10" defaultColWidth="11"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I10" sqref="I10"/>
    </sheetView>
  </sheetViews>
  <sheetFormatPr baseColWidth="10" defaultColWidth="11"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6"/>
  <sheetViews>
    <sheetView topLeftCell="A2" workbookViewId="0">
      <selection activeCell="I10" sqref="I10"/>
    </sheetView>
  </sheetViews>
  <sheetFormatPr baseColWidth="10" defaultColWidth="11" defaultRowHeight="16" x14ac:dyDescent="0.2"/>
  <cols>
    <col min="1" max="1" width="18.33203125" style="75" customWidth="1"/>
    <col min="2" max="2" width="13.5" style="75" customWidth="1"/>
    <col min="3" max="4" width="15.83203125" style="75" customWidth="1"/>
    <col min="5" max="6" width="19.33203125" style="75" customWidth="1"/>
    <col min="7" max="7" width="18.6640625" style="75" customWidth="1"/>
    <col min="8" max="8" width="15.6640625" style="75" customWidth="1"/>
  </cols>
  <sheetData>
    <row r="1" spans="1:8" s="198" customFormat="1" ht="39" x14ac:dyDescent="0.45">
      <c r="A1" s="199" t="s">
        <v>124</v>
      </c>
      <c r="B1" s="200"/>
      <c r="C1" s="200"/>
      <c r="D1" s="200"/>
      <c r="E1" s="200"/>
      <c r="F1" s="200"/>
      <c r="G1" s="200"/>
      <c r="H1" s="200"/>
    </row>
    <row r="4" spans="1:8" ht="21" x14ac:dyDescent="0.25">
      <c r="A4" s="122" t="s">
        <v>125</v>
      </c>
      <c r="B4" s="122" t="s">
        <v>126</v>
      </c>
      <c r="C4" s="122" t="s">
        <v>127</v>
      </c>
      <c r="D4" s="122" t="s">
        <v>128</v>
      </c>
      <c r="E4" s="122" t="s">
        <v>127</v>
      </c>
      <c r="F4" s="122" t="s">
        <v>129</v>
      </c>
      <c r="G4" s="122" t="s">
        <v>127</v>
      </c>
      <c r="H4" s="122" t="s">
        <v>130</v>
      </c>
    </row>
    <row r="5" spans="1:8" ht="21" x14ac:dyDescent="0.25">
      <c r="A5" s="112" t="s">
        <v>131</v>
      </c>
      <c r="B5" s="137">
        <v>3200000</v>
      </c>
      <c r="C5" s="131">
        <f t="shared" ref="C5:C11" si="0">(B5/H5)*100</f>
        <v>6.666666666666667</v>
      </c>
      <c r="D5" s="137">
        <v>1400000</v>
      </c>
      <c r="E5" s="131">
        <f t="shared" ref="E5:E11" si="1">(D5/H5)*100</f>
        <v>2.9166666666666665</v>
      </c>
      <c r="F5" s="137">
        <v>5500000</v>
      </c>
      <c r="G5" s="131">
        <f t="shared" ref="G5:G11" si="2">(F5/H5)*100</f>
        <v>11.458333333333332</v>
      </c>
      <c r="H5" s="137">
        <v>48000000</v>
      </c>
    </row>
    <row r="6" spans="1:8" ht="21" x14ac:dyDescent="0.25">
      <c r="A6" s="112" t="s">
        <v>132</v>
      </c>
      <c r="B6" s="137">
        <v>1450000</v>
      </c>
      <c r="C6" s="131">
        <f t="shared" si="0"/>
        <v>3.5926660059464814</v>
      </c>
      <c r="D6" s="137">
        <v>700000</v>
      </c>
      <c r="E6" s="131">
        <f t="shared" si="1"/>
        <v>1.734390485629336</v>
      </c>
      <c r="F6" s="137">
        <v>2400000</v>
      </c>
      <c r="G6" s="131">
        <f t="shared" si="2"/>
        <v>5.9464816650148657</v>
      </c>
      <c r="H6" s="137">
        <v>40360000</v>
      </c>
    </row>
    <row r="7" spans="1:8" s="123" customFormat="1" ht="19" x14ac:dyDescent="0.25">
      <c r="A7" s="124" t="s">
        <v>133</v>
      </c>
      <c r="B7" s="137">
        <v>2200000</v>
      </c>
      <c r="C7" s="131">
        <f t="shared" si="0"/>
        <v>8.7999999999999989</v>
      </c>
      <c r="D7" s="137">
        <v>1050000</v>
      </c>
      <c r="E7" s="131">
        <f t="shared" si="1"/>
        <v>4.2</v>
      </c>
      <c r="F7" s="137">
        <v>3200000</v>
      </c>
      <c r="G7" s="131">
        <f t="shared" si="2"/>
        <v>12.8</v>
      </c>
      <c r="H7" s="137">
        <v>25000000</v>
      </c>
    </row>
    <row r="8" spans="1:8" s="123" customFormat="1" ht="19" x14ac:dyDescent="0.25">
      <c r="A8" s="124" t="s">
        <v>72</v>
      </c>
      <c r="B8" s="137">
        <v>1200000</v>
      </c>
      <c r="C8" s="131">
        <f t="shared" si="0"/>
        <v>7.1428571428571423</v>
      </c>
      <c r="D8" s="137">
        <v>847000</v>
      </c>
      <c r="E8" s="131">
        <f t="shared" si="1"/>
        <v>5.0416666666666661</v>
      </c>
      <c r="F8" s="137">
        <v>2630000</v>
      </c>
      <c r="G8" s="131">
        <f t="shared" si="2"/>
        <v>15.654761904761905</v>
      </c>
      <c r="H8" s="137">
        <v>16800000</v>
      </c>
    </row>
    <row r="9" spans="1:8" s="123" customFormat="1" ht="19" x14ac:dyDescent="0.25">
      <c r="A9" s="124" t="s">
        <v>134</v>
      </c>
      <c r="B9" s="137">
        <v>1200000</v>
      </c>
      <c r="C9" s="131">
        <f t="shared" si="0"/>
        <v>14.285714285714285</v>
      </c>
      <c r="D9" s="137">
        <v>355000</v>
      </c>
      <c r="E9" s="131">
        <f t="shared" si="1"/>
        <v>4.2261904761904763</v>
      </c>
      <c r="F9" s="137">
        <v>1200000</v>
      </c>
      <c r="G9" s="131">
        <f t="shared" si="2"/>
        <v>14.285714285714285</v>
      </c>
      <c r="H9" s="137">
        <v>8400000</v>
      </c>
    </row>
    <row r="10" spans="1:8" s="123" customFormat="1" ht="19" x14ac:dyDescent="0.25">
      <c r="A10" s="124" t="s">
        <v>135</v>
      </c>
      <c r="B10" s="137">
        <v>400000</v>
      </c>
      <c r="C10" s="131">
        <f t="shared" si="0"/>
        <v>8</v>
      </c>
      <c r="D10" s="137">
        <v>50000</v>
      </c>
      <c r="E10" s="131">
        <f t="shared" si="1"/>
        <v>1</v>
      </c>
      <c r="F10" s="137">
        <v>520000</v>
      </c>
      <c r="G10" s="131">
        <f t="shared" si="2"/>
        <v>10.4</v>
      </c>
      <c r="H10" s="137">
        <v>5000000</v>
      </c>
    </row>
    <row r="11" spans="1:8" s="123" customFormat="1" ht="19" x14ac:dyDescent="0.25">
      <c r="A11" s="124" t="s">
        <v>136</v>
      </c>
      <c r="B11" s="137">
        <v>250000</v>
      </c>
      <c r="C11" s="131">
        <f t="shared" si="0"/>
        <v>10</v>
      </c>
      <c r="D11" s="137">
        <v>105000</v>
      </c>
      <c r="E11" s="131">
        <f t="shared" si="1"/>
        <v>4.2</v>
      </c>
      <c r="F11" s="137">
        <v>268000</v>
      </c>
      <c r="G11" s="131">
        <f t="shared" si="2"/>
        <v>10.72</v>
      </c>
      <c r="H11" s="137">
        <v>2500000</v>
      </c>
    </row>
    <row r="12" spans="1:8" s="123" customFormat="1" ht="19" x14ac:dyDescent="0.25">
      <c r="A12" s="124"/>
      <c r="B12" s="137"/>
      <c r="C12" s="131"/>
      <c r="D12" s="137"/>
      <c r="E12" s="131"/>
      <c r="F12" s="137"/>
      <c r="G12" s="131"/>
      <c r="H12" s="137"/>
    </row>
    <row r="13" spans="1:8" s="123" customFormat="1" ht="19" x14ac:dyDescent="0.25">
      <c r="A13" s="124"/>
      <c r="B13" s="137"/>
      <c r="C13" s="131" t="s">
        <v>137</v>
      </c>
      <c r="D13" s="137"/>
      <c r="E13" s="131" t="s">
        <v>138</v>
      </c>
      <c r="F13" s="137"/>
      <c r="G13" s="124" t="s">
        <v>139</v>
      </c>
      <c r="H13" s="146"/>
    </row>
    <row r="14" spans="1:8" x14ac:dyDescent="0.2">
      <c r="B14" s="197"/>
      <c r="D14" s="197"/>
      <c r="F14" s="197"/>
    </row>
    <row r="15" spans="1:8" ht="21" x14ac:dyDescent="0.25">
      <c r="A15" s="122" t="s">
        <v>140</v>
      </c>
      <c r="B15" s="197"/>
      <c r="D15" s="197"/>
      <c r="F15" s="197"/>
    </row>
    <row r="16" spans="1:8" x14ac:dyDescent="0.2">
      <c r="B16" s="197"/>
      <c r="D16" s="197"/>
      <c r="F16" s="197"/>
    </row>
    <row r="17" spans="1:8" ht="21" x14ac:dyDescent="0.25">
      <c r="A17" s="122" t="s">
        <v>125</v>
      </c>
      <c r="B17" s="122" t="s">
        <v>126</v>
      </c>
      <c r="C17" s="122" t="s">
        <v>128</v>
      </c>
      <c r="D17" s="122" t="s">
        <v>129</v>
      </c>
      <c r="E17" s="122" t="s">
        <v>130</v>
      </c>
      <c r="F17" s="201"/>
      <c r="G17" s="202"/>
      <c r="H17"/>
    </row>
    <row r="18" spans="1:8" ht="21" x14ac:dyDescent="0.25">
      <c r="A18" s="112" t="s">
        <v>108</v>
      </c>
      <c r="B18" s="203">
        <v>3000000</v>
      </c>
      <c r="C18" s="137">
        <f>E18/25</f>
        <v>1440000</v>
      </c>
      <c r="D18" s="137">
        <f>E18/9</f>
        <v>4000000</v>
      </c>
      <c r="E18" s="137">
        <f>B18*12</f>
        <v>36000000</v>
      </c>
      <c r="H18"/>
    </row>
    <row r="19" spans="1:8" x14ac:dyDescent="0.2">
      <c r="B19" s="197"/>
      <c r="D19" s="197"/>
      <c r="F19" s="197"/>
    </row>
    <row r="20" spans="1:8" x14ac:dyDescent="0.2">
      <c r="B20" s="197"/>
      <c r="D20" s="197"/>
      <c r="F20" s="197"/>
    </row>
    <row r="21" spans="1:8" ht="21" x14ac:dyDescent="0.25">
      <c r="A21" s="122" t="s">
        <v>140</v>
      </c>
      <c r="B21" s="197"/>
      <c r="D21" s="197"/>
      <c r="F21" s="197"/>
    </row>
    <row r="22" spans="1:8" x14ac:dyDescent="0.2">
      <c r="B22" s="197"/>
      <c r="D22" s="197"/>
      <c r="F22" s="197"/>
    </row>
    <row r="23" spans="1:8" ht="21" x14ac:dyDescent="0.25">
      <c r="A23" s="122" t="s">
        <v>125</v>
      </c>
      <c r="B23" s="122" t="s">
        <v>128</v>
      </c>
      <c r="C23" s="122" t="s">
        <v>129</v>
      </c>
      <c r="D23" s="122" t="s">
        <v>130</v>
      </c>
      <c r="E23" s="197"/>
      <c r="H23"/>
    </row>
    <row r="24" spans="1:8" ht="21" x14ac:dyDescent="0.25">
      <c r="A24" s="112" t="s">
        <v>108</v>
      </c>
      <c r="B24" s="203">
        <v>300000</v>
      </c>
      <c r="C24" s="137">
        <f>D24/9</f>
        <v>833333.33333333337</v>
      </c>
      <c r="D24" s="137">
        <f>B24*25</f>
        <v>7500000</v>
      </c>
      <c r="E24" s="197"/>
      <c r="H24"/>
    </row>
    <row r="25" spans="1:8" x14ac:dyDescent="0.2">
      <c r="B25" s="197"/>
      <c r="D25" s="197"/>
      <c r="F25" s="197"/>
    </row>
    <row r="26" spans="1:8" ht="21" x14ac:dyDescent="0.25">
      <c r="A26" s="122" t="s">
        <v>140</v>
      </c>
      <c r="B26" s="197"/>
      <c r="D26" s="197"/>
      <c r="F26" s="197"/>
    </row>
    <row r="27" spans="1:8" x14ac:dyDescent="0.2">
      <c r="B27" s="197"/>
      <c r="D27" s="197"/>
      <c r="F27" s="197"/>
    </row>
    <row r="28" spans="1:8" ht="21" x14ac:dyDescent="0.25">
      <c r="A28" s="122" t="s">
        <v>125</v>
      </c>
      <c r="B28" s="122" t="s">
        <v>129</v>
      </c>
      <c r="C28" s="122" t="s">
        <v>130</v>
      </c>
      <c r="E28" s="197"/>
      <c r="H28"/>
    </row>
    <row r="29" spans="1:8" ht="21" x14ac:dyDescent="0.25">
      <c r="A29" s="112" t="s">
        <v>108</v>
      </c>
      <c r="B29" s="203">
        <v>550000</v>
      </c>
      <c r="C29" s="137">
        <f>B29*9</f>
        <v>4950000</v>
      </c>
      <c r="E29" s="197"/>
      <c r="H29"/>
    </row>
    <row r="30" spans="1:8" x14ac:dyDescent="0.2">
      <c r="B30" s="197"/>
      <c r="D30" s="197"/>
      <c r="F30" s="197"/>
    </row>
    <row r="31" spans="1:8" x14ac:dyDescent="0.2">
      <c r="B31" s="197"/>
      <c r="D31" s="197"/>
      <c r="F31" s="197"/>
    </row>
    <row r="32" spans="1:8" x14ac:dyDescent="0.2">
      <c r="A32" s="75" t="s">
        <v>141</v>
      </c>
      <c r="B32" s="197"/>
    </row>
    <row r="33" spans="1:2" x14ac:dyDescent="0.2">
      <c r="B33" s="197"/>
    </row>
    <row r="34" spans="1:2" x14ac:dyDescent="0.2">
      <c r="A34" s="75" t="s">
        <v>142</v>
      </c>
      <c r="B34" s="197"/>
    </row>
    <row r="35" spans="1:2" x14ac:dyDescent="0.2">
      <c r="A35" s="75" t="s">
        <v>143</v>
      </c>
    </row>
    <row r="36" spans="1:2" x14ac:dyDescent="0.2">
      <c r="A36" s="75" t="s">
        <v>144</v>
      </c>
      <c r="B36" s="75" t="s">
        <v>145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
  <sheetViews>
    <sheetView workbookViewId="0">
      <selection activeCell="I10" sqref="I10"/>
    </sheetView>
  </sheetViews>
  <sheetFormatPr baseColWidth="10" defaultColWidth="11" defaultRowHeight="16" x14ac:dyDescent="0.2"/>
  <cols>
    <col min="2" max="2" width="14.83203125" customWidth="1"/>
    <col min="3" max="3" width="11.83203125" customWidth="1"/>
    <col min="4" max="4" width="17.6640625" customWidth="1"/>
    <col min="5" max="5" width="18.33203125" customWidth="1"/>
    <col min="6" max="6" width="19.6640625" customWidth="1"/>
    <col min="8" max="8" width="14.83203125" customWidth="1"/>
    <col min="9" max="9" width="61" customWidth="1"/>
  </cols>
  <sheetData>
    <row r="1" spans="1:13" ht="21" x14ac:dyDescent="0.25">
      <c r="A1" s="139" t="s">
        <v>107</v>
      </c>
      <c r="B1" s="132" t="s">
        <v>108</v>
      </c>
      <c r="C1" s="129" t="s">
        <v>146</v>
      </c>
      <c r="D1" s="193" t="s">
        <v>147</v>
      </c>
      <c r="E1" s="192" t="s">
        <v>148</v>
      </c>
      <c r="F1" s="194" t="s">
        <v>143</v>
      </c>
      <c r="G1" s="195" t="s">
        <v>149</v>
      </c>
      <c r="H1" s="129" t="s">
        <v>150</v>
      </c>
      <c r="I1" s="129" t="s">
        <v>151</v>
      </c>
      <c r="J1" s="142"/>
      <c r="K1" s="130"/>
      <c r="L1" s="130"/>
      <c r="M1" s="130"/>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047955"/>
  <sheetViews>
    <sheetView tabSelected="1" zoomScale="80" zoomScaleNormal="80" workbookViewId="0">
      <selection activeCell="M269" sqref="M269"/>
    </sheetView>
  </sheetViews>
  <sheetFormatPr baseColWidth="10" defaultColWidth="11" defaultRowHeight="19" x14ac:dyDescent="0.25"/>
  <cols>
    <col min="1" max="6" width="16.1640625" customWidth="1"/>
    <col min="7" max="11" width="16.1640625" style="14" customWidth="1"/>
    <col min="12" max="13" width="16.1640625" customWidth="1"/>
    <col min="14" max="14" width="16.1640625" style="92" customWidth="1"/>
    <col min="15" max="15" width="15.6640625" style="258" customWidth="1"/>
    <col min="16" max="16" width="21.5" customWidth="1"/>
    <col min="17" max="17" width="41.6640625" style="258" customWidth="1"/>
  </cols>
  <sheetData>
    <row r="1" spans="1:17" ht="21" x14ac:dyDescent="0.25">
      <c r="A1" s="139" t="s">
        <v>108</v>
      </c>
      <c r="B1" s="139" t="s">
        <v>107</v>
      </c>
      <c r="C1" s="139" t="s">
        <v>152</v>
      </c>
      <c r="D1" s="139" t="s">
        <v>153</v>
      </c>
      <c r="E1" s="139" t="s">
        <v>154</v>
      </c>
      <c r="F1" s="139" t="s">
        <v>155</v>
      </c>
      <c r="G1" s="263" t="s">
        <v>156</v>
      </c>
      <c r="H1" s="263" t="s">
        <v>157</v>
      </c>
      <c r="I1" s="263" t="s">
        <v>158</v>
      </c>
      <c r="J1" s="263" t="s">
        <v>159</v>
      </c>
      <c r="K1" s="263" t="s">
        <v>160</v>
      </c>
      <c r="L1" s="139" t="s">
        <v>161</v>
      </c>
      <c r="M1" s="139" t="s">
        <v>162</v>
      </c>
      <c r="N1" s="291" t="s">
        <v>163</v>
      </c>
      <c r="O1" s="285" t="s">
        <v>164</v>
      </c>
      <c r="P1" s="139" t="s">
        <v>165</v>
      </c>
      <c r="Q1" s="325" t="s">
        <v>833</v>
      </c>
    </row>
    <row r="2" spans="1:17" x14ac:dyDescent="0.25">
      <c r="A2" s="124" t="s">
        <v>166</v>
      </c>
      <c r="B2" s="261">
        <v>44120</v>
      </c>
      <c r="C2" s="124">
        <v>1.04</v>
      </c>
      <c r="D2" s="124">
        <v>2.37</v>
      </c>
      <c r="E2" s="392">
        <f>(D2-C2)/C2*100</f>
        <v>127.8846153846154</v>
      </c>
      <c r="F2" s="137">
        <v>1000000000</v>
      </c>
      <c r="G2" s="131">
        <v>2.85</v>
      </c>
      <c r="H2" s="267">
        <f t="shared" ref="H2" si="0">(G2-D2)/D2*100</f>
        <v>20.253164556962027</v>
      </c>
      <c r="I2" s="131">
        <v>2.85</v>
      </c>
      <c r="J2" s="267">
        <f t="shared" ref="J2" si="1">(I2-D2)/D2*100</f>
        <v>20.253164556962027</v>
      </c>
      <c r="K2" s="280">
        <v>0.3979166666666667</v>
      </c>
      <c r="L2" s="124">
        <v>2.69</v>
      </c>
      <c r="M2" s="269">
        <f>(D2-L2)/D2*100</f>
        <v>-13.502109704641343</v>
      </c>
      <c r="N2" s="137">
        <v>140000000</v>
      </c>
      <c r="O2" s="124" t="s">
        <v>167</v>
      </c>
      <c r="P2" s="146">
        <f t="shared" ref="P2" si="2">E2+J2</f>
        <v>148.13777994157743</v>
      </c>
      <c r="Q2" s="124"/>
    </row>
    <row r="3" spans="1:17" x14ac:dyDescent="0.25">
      <c r="A3" s="260" t="s">
        <v>168</v>
      </c>
      <c r="B3" s="261">
        <v>43966</v>
      </c>
      <c r="C3" s="124">
        <v>2.66</v>
      </c>
      <c r="D3" s="124">
        <v>4.2699999999999996</v>
      </c>
      <c r="E3" s="392">
        <f>(D3-C3)/C3*100</f>
        <v>60.526315789473664</v>
      </c>
      <c r="F3" s="137">
        <v>510000000</v>
      </c>
      <c r="G3" s="131">
        <v>4.66</v>
      </c>
      <c r="H3" s="267">
        <f>(G3-D3)/D3*100</f>
        <v>9.1334894613583284</v>
      </c>
      <c r="I3" s="131">
        <v>9</v>
      </c>
      <c r="J3" s="267">
        <f>(I3-D3)/D3*100</f>
        <v>110.77283372365341</v>
      </c>
      <c r="K3" s="280">
        <v>0.54166666666666663</v>
      </c>
      <c r="L3" s="284">
        <v>6.73</v>
      </c>
      <c r="M3" s="269">
        <f t="shared" ref="M3:M6" si="3">(D3-L3)/D3*100</f>
        <v>-57.611241217798629</v>
      </c>
      <c r="N3" s="137">
        <v>180000000</v>
      </c>
      <c r="O3" s="124" t="s">
        <v>167</v>
      </c>
      <c r="P3" s="146">
        <f>E3+J3</f>
        <v>171.29914951312708</v>
      </c>
      <c r="Q3" s="124"/>
    </row>
    <row r="4" spans="1:17" s="141" customFormat="1" x14ac:dyDescent="0.25">
      <c r="A4" s="138" t="s">
        <v>169</v>
      </c>
      <c r="B4" s="143">
        <v>44097</v>
      </c>
      <c r="C4" s="138">
        <v>1.23</v>
      </c>
      <c r="D4" s="138">
        <v>3.54</v>
      </c>
      <c r="E4" s="398">
        <f>(D4-C4)/C4*100</f>
        <v>187.80487804878049</v>
      </c>
      <c r="F4" s="256">
        <v>348000000</v>
      </c>
      <c r="G4" s="144">
        <v>4.22</v>
      </c>
      <c r="H4" s="267">
        <f>(G4-D4)/D4*100</f>
        <v>19.209039548022592</v>
      </c>
      <c r="I4" s="144">
        <v>46.56</v>
      </c>
      <c r="J4" s="267">
        <f>(I4-D4)/D4*100</f>
        <v>1215.2542372881358</v>
      </c>
      <c r="K4" s="265">
        <v>0.58611111111111114</v>
      </c>
      <c r="L4" s="419">
        <v>16.47</v>
      </c>
      <c r="M4" s="269">
        <f t="shared" si="3"/>
        <v>-365.25423728813558</v>
      </c>
      <c r="N4" s="256">
        <v>7000000</v>
      </c>
      <c r="O4" s="138" t="s">
        <v>170</v>
      </c>
      <c r="P4" s="417">
        <f>E4+J4</f>
        <v>1403.0591153369162</v>
      </c>
      <c r="Q4" s="138"/>
    </row>
    <row r="5" spans="1:17" x14ac:dyDescent="0.25">
      <c r="A5" s="124" t="s">
        <v>893</v>
      </c>
      <c r="B5" s="261">
        <v>44173</v>
      </c>
      <c r="C5" s="124">
        <v>1.45</v>
      </c>
      <c r="D5" s="124">
        <v>5.43</v>
      </c>
      <c r="E5" s="317">
        <f t="shared" ref="E5" si="4">(D5-C5)/C5*100</f>
        <v>274.48275862068965</v>
      </c>
      <c r="F5" s="137">
        <v>326000000</v>
      </c>
      <c r="G5" s="131">
        <v>7.05</v>
      </c>
      <c r="H5" s="317">
        <f t="shared" ref="H5" si="5">(G5-D5)/D5*100</f>
        <v>29.834254143646412</v>
      </c>
      <c r="I5" s="131">
        <v>7.85</v>
      </c>
      <c r="J5" s="317">
        <f t="shared" ref="J5" si="6">(I5-D5)/D5*100</f>
        <v>44.567219152854513</v>
      </c>
      <c r="K5" s="280">
        <v>0.41319444444444442</v>
      </c>
      <c r="L5" s="124">
        <v>6.5</v>
      </c>
      <c r="M5" s="387">
        <f t="shared" si="3"/>
        <v>-19.705340699815842</v>
      </c>
      <c r="N5" s="137">
        <v>20000000</v>
      </c>
      <c r="O5" s="124" t="s">
        <v>170</v>
      </c>
      <c r="P5" s="146">
        <f>E5+J5</f>
        <v>319.04997777354419</v>
      </c>
      <c r="Q5" s="124"/>
    </row>
    <row r="6" spans="1:17" x14ac:dyDescent="0.25">
      <c r="A6" s="124" t="s">
        <v>172</v>
      </c>
      <c r="B6" s="261">
        <v>44110</v>
      </c>
      <c r="C6" s="131">
        <v>1.6</v>
      </c>
      <c r="D6" s="124">
        <v>3.24</v>
      </c>
      <c r="E6" s="392">
        <f>(D6-C6)/C6*100</f>
        <v>102.49999999999999</v>
      </c>
      <c r="F6" s="137">
        <v>320000000</v>
      </c>
      <c r="G6" s="131">
        <v>3.24</v>
      </c>
      <c r="H6" s="267">
        <f>(G6-D6)/D6*100</f>
        <v>0</v>
      </c>
      <c r="I6" s="131">
        <v>9.48</v>
      </c>
      <c r="J6" s="267">
        <f>(I6-D6)/D6*100</f>
        <v>192.59259259259258</v>
      </c>
      <c r="K6" s="288">
        <v>0.46180555555555558</v>
      </c>
      <c r="L6" s="286">
        <v>4.82</v>
      </c>
      <c r="M6" s="269">
        <f t="shared" si="3"/>
        <v>-48.76543209876543</v>
      </c>
      <c r="N6" s="287">
        <v>15000000</v>
      </c>
      <c r="O6" s="286" t="s">
        <v>167</v>
      </c>
      <c r="P6" s="146">
        <f>E6+J6</f>
        <v>295.09259259259255</v>
      </c>
      <c r="Q6" s="124"/>
    </row>
    <row r="7" spans="1:17" s="141" customFormat="1" ht="21" x14ac:dyDescent="0.25">
      <c r="A7" s="262" t="s">
        <v>173</v>
      </c>
      <c r="B7" s="272"/>
      <c r="C7" s="274">
        <f t="shared" ref="C7:I7" si="7">(C3+C4+C6++C2+C5)/5</f>
        <v>1.5960000000000001</v>
      </c>
      <c r="D7" s="274">
        <f t="shared" si="7"/>
        <v>3.7700000000000005</v>
      </c>
      <c r="E7" s="274">
        <f t="shared" si="7"/>
        <v>150.63971356871184</v>
      </c>
      <c r="F7" s="274">
        <f t="shared" si="7"/>
        <v>500800000</v>
      </c>
      <c r="G7" s="274">
        <f t="shared" si="7"/>
        <v>4.4039999999999999</v>
      </c>
      <c r="H7" s="274">
        <f t="shared" si="7"/>
        <v>15.685989541997873</v>
      </c>
      <c r="I7" s="274">
        <f t="shared" si="7"/>
        <v>15.148</v>
      </c>
      <c r="J7" s="274">
        <f>(J3+J4+J6++J2+J5)/5</f>
        <v>316.68800946283966</v>
      </c>
      <c r="K7" s="274">
        <f t="shared" ref="K7:P7" si="8">(K3+K4+K6++K2+K5)/5</f>
        <v>0.48013888888888889</v>
      </c>
      <c r="L7" s="274">
        <f t="shared" si="8"/>
        <v>7.4420000000000002</v>
      </c>
      <c r="M7" s="274">
        <f t="shared" si="8"/>
        <v>-100.96767220183136</v>
      </c>
      <c r="N7" s="274">
        <f t="shared" si="8"/>
        <v>72400000</v>
      </c>
      <c r="O7" s="274" t="e">
        <f t="shared" si="8"/>
        <v>#VALUE!</v>
      </c>
      <c r="P7" s="274">
        <f t="shared" si="8"/>
        <v>467.3277230315515</v>
      </c>
      <c r="Q7" s="388">
        <f>(5/5)*100</f>
        <v>100</v>
      </c>
    </row>
    <row r="8" spans="1:17" ht="21" x14ac:dyDescent="0.25">
      <c r="A8" s="139" t="s">
        <v>108</v>
      </c>
      <c r="B8" s="139" t="s">
        <v>107</v>
      </c>
      <c r="C8" s="139" t="s">
        <v>152</v>
      </c>
      <c r="D8" s="139" t="s">
        <v>153</v>
      </c>
      <c r="E8" s="139" t="s">
        <v>154</v>
      </c>
      <c r="F8" s="139" t="s">
        <v>155</v>
      </c>
      <c r="G8" s="263" t="s">
        <v>156</v>
      </c>
      <c r="H8" s="263" t="s">
        <v>157</v>
      </c>
      <c r="I8" s="263" t="s">
        <v>158</v>
      </c>
      <c r="J8" s="263" t="s">
        <v>159</v>
      </c>
      <c r="K8" s="263" t="s">
        <v>160</v>
      </c>
      <c r="L8" s="139" t="s">
        <v>161</v>
      </c>
      <c r="M8" s="139" t="s">
        <v>162</v>
      </c>
      <c r="N8" s="291" t="s">
        <v>163</v>
      </c>
      <c r="O8" s="285" t="s">
        <v>164</v>
      </c>
      <c r="P8" s="285" t="s">
        <v>174</v>
      </c>
      <c r="Q8" s="124"/>
    </row>
    <row r="9" spans="1:17" x14ac:dyDescent="0.25">
      <c r="A9" s="124" t="s">
        <v>762</v>
      </c>
      <c r="B9" s="261">
        <v>44175</v>
      </c>
      <c r="C9" s="124">
        <v>2.16</v>
      </c>
      <c r="D9" s="124">
        <v>7.01</v>
      </c>
      <c r="E9" s="317">
        <f t="shared" ref="E9" si="9">(D9-C9)/C9*100</f>
        <v>224.53703703703701</v>
      </c>
      <c r="F9" s="137">
        <v>285000000</v>
      </c>
      <c r="G9" s="131">
        <v>7.63</v>
      </c>
      <c r="H9" s="317">
        <f t="shared" ref="H9" si="10">(G9-D9)/D9*100</f>
        <v>8.8445078459343804</v>
      </c>
      <c r="I9" s="131">
        <v>7.94</v>
      </c>
      <c r="J9" s="317">
        <f t="shared" ref="J9" si="11">(I9-D9)/D9*100</f>
        <v>13.266761768901578</v>
      </c>
      <c r="K9" s="280">
        <v>0.40277777777777773</v>
      </c>
      <c r="L9" s="124">
        <v>5.69</v>
      </c>
      <c r="M9" s="331">
        <f t="shared" ref="M9" si="12">(D9-L9)/D9*100</f>
        <v>18.830242510698994</v>
      </c>
      <c r="N9" s="137">
        <v>23000000</v>
      </c>
      <c r="O9" s="124" t="s">
        <v>170</v>
      </c>
      <c r="P9" s="316">
        <f t="shared" ref="P9:P16" si="13">E9+J9</f>
        <v>237.80379880593858</v>
      </c>
      <c r="Q9" s="124"/>
    </row>
    <row r="10" spans="1:17" s="141" customFormat="1" x14ac:dyDescent="0.25">
      <c r="A10" s="138" t="s">
        <v>175</v>
      </c>
      <c r="B10" s="143">
        <v>44040</v>
      </c>
      <c r="C10" s="138">
        <v>2.4</v>
      </c>
      <c r="D10" s="138">
        <v>9.5</v>
      </c>
      <c r="E10" s="398">
        <f>(D10-C10)/C10*100</f>
        <v>295.83333333333337</v>
      </c>
      <c r="F10" s="256">
        <v>284000000</v>
      </c>
      <c r="G10" s="144">
        <v>10.77</v>
      </c>
      <c r="H10" s="267">
        <f>(G10-D10)/D10*100</f>
        <v>13.368421052631573</v>
      </c>
      <c r="I10" s="144">
        <v>11.8</v>
      </c>
      <c r="J10" s="267">
        <f t="shared" ref="J10:J16" si="14">(I10-D10)/D10*100</f>
        <v>24.210526315789483</v>
      </c>
      <c r="K10" s="265">
        <v>0.41805555555555557</v>
      </c>
      <c r="L10" s="138">
        <v>7.8</v>
      </c>
      <c r="M10" s="271">
        <f>(D10-L10)/D10*100</f>
        <v>17.894736842105267</v>
      </c>
      <c r="N10" s="256">
        <v>8000000</v>
      </c>
      <c r="O10" s="138" t="s">
        <v>170</v>
      </c>
      <c r="P10" s="417">
        <f t="shared" si="13"/>
        <v>320.04385964912285</v>
      </c>
      <c r="Q10" s="138"/>
    </row>
    <row r="11" spans="1:17" x14ac:dyDescent="0.25">
      <c r="A11" s="124" t="s">
        <v>178</v>
      </c>
      <c r="B11" s="261">
        <v>44018</v>
      </c>
      <c r="C11" s="124">
        <v>3.28</v>
      </c>
      <c r="D11" s="124">
        <v>4.9800000000000004</v>
      </c>
      <c r="E11" s="397">
        <f>(D11-C11)/C11*100</f>
        <v>51.829268292682954</v>
      </c>
      <c r="F11" s="137">
        <v>229000000</v>
      </c>
      <c r="G11" s="131">
        <v>5.41</v>
      </c>
      <c r="H11" s="267">
        <f t="shared" ref="H11:H16" si="15">(G11-D11)/D11*100</f>
        <v>8.6345381526104354</v>
      </c>
      <c r="I11" s="144">
        <v>8.16</v>
      </c>
      <c r="J11" s="267">
        <f t="shared" si="14"/>
        <v>63.855421686746972</v>
      </c>
      <c r="K11" s="265">
        <v>0.47222222222222227</v>
      </c>
      <c r="L11" s="124">
        <v>5.37</v>
      </c>
      <c r="M11" s="269">
        <f t="shared" ref="M11:M14" si="16">(D11-L11)/D11*100</f>
        <v>-7.8313253012048127</v>
      </c>
      <c r="N11" s="137">
        <v>8000000</v>
      </c>
      <c r="O11" s="124" t="s">
        <v>170</v>
      </c>
      <c r="P11" s="146">
        <f t="shared" si="13"/>
        <v>115.68468997942992</v>
      </c>
      <c r="Q11" s="124"/>
    </row>
    <row r="12" spans="1:17" x14ac:dyDescent="0.25">
      <c r="A12" s="124" t="s">
        <v>210</v>
      </c>
      <c r="B12" s="261">
        <v>44168</v>
      </c>
      <c r="C12" s="124">
        <v>2.38</v>
      </c>
      <c r="D12" s="124">
        <v>4.33</v>
      </c>
      <c r="E12" s="317">
        <f t="shared" ref="E12" si="17">(D12-C12)/C12*100</f>
        <v>81.932773109243712</v>
      </c>
      <c r="F12" s="137">
        <v>229000000</v>
      </c>
      <c r="G12" s="131">
        <v>4.79</v>
      </c>
      <c r="H12" s="317">
        <f t="shared" si="15"/>
        <v>10.623556581986142</v>
      </c>
      <c r="I12" s="131">
        <v>5.88</v>
      </c>
      <c r="J12" s="317">
        <f t="shared" si="14"/>
        <v>35.796766743648959</v>
      </c>
      <c r="K12" s="280">
        <v>0.4513888888888889</v>
      </c>
      <c r="L12" s="124">
        <v>4.93</v>
      </c>
      <c r="M12" s="387">
        <f t="shared" si="16"/>
        <v>-13.856812933025395</v>
      </c>
      <c r="N12" s="137">
        <v>22000000</v>
      </c>
      <c r="O12" s="124" t="s">
        <v>167</v>
      </c>
      <c r="P12" s="146">
        <f t="shared" si="13"/>
        <v>117.72953985289267</v>
      </c>
      <c r="Q12" s="124"/>
    </row>
    <row r="13" spans="1:17" x14ac:dyDescent="0.25">
      <c r="A13" s="124" t="s">
        <v>180</v>
      </c>
      <c r="B13" s="261">
        <v>44035</v>
      </c>
      <c r="C13" s="124">
        <v>3.46</v>
      </c>
      <c r="D13" s="124">
        <v>7.65</v>
      </c>
      <c r="E13" s="392">
        <f>(D13-C13)/C13*100</f>
        <v>121.09826589595376</v>
      </c>
      <c r="F13" s="137">
        <v>225000000</v>
      </c>
      <c r="G13" s="131">
        <v>9.08</v>
      </c>
      <c r="H13" s="267">
        <f t="shared" si="15"/>
        <v>18.692810457516334</v>
      </c>
      <c r="I13" s="144">
        <v>10.01</v>
      </c>
      <c r="J13" s="267">
        <f t="shared" si="14"/>
        <v>30.849673202614369</v>
      </c>
      <c r="K13" s="265">
        <v>0.60416666666666663</v>
      </c>
      <c r="L13" s="124">
        <v>8.99</v>
      </c>
      <c r="M13" s="269">
        <f t="shared" si="16"/>
        <v>-17.51633986928104</v>
      </c>
      <c r="N13" s="137">
        <v>70000000</v>
      </c>
      <c r="O13" s="124" t="s">
        <v>167</v>
      </c>
      <c r="P13" s="146">
        <f t="shared" si="13"/>
        <v>151.94793909856813</v>
      </c>
      <c r="Q13" s="124"/>
    </row>
    <row r="14" spans="1:17" x14ac:dyDescent="0.25">
      <c r="A14" s="124" t="s">
        <v>890</v>
      </c>
      <c r="B14" s="261">
        <v>44173</v>
      </c>
      <c r="C14" s="124">
        <v>1.07</v>
      </c>
      <c r="D14" s="124">
        <v>1.55</v>
      </c>
      <c r="E14" s="317">
        <f t="shared" ref="E14" si="18">(D14-C14)/C14*100</f>
        <v>44.85981308411214</v>
      </c>
      <c r="F14" s="137">
        <v>215000000</v>
      </c>
      <c r="G14" s="131">
        <v>1.58</v>
      </c>
      <c r="H14" s="317">
        <f t="shared" si="15"/>
        <v>1.9354838709677438</v>
      </c>
      <c r="I14" s="131">
        <v>3.12</v>
      </c>
      <c r="J14" s="317">
        <f t="shared" si="14"/>
        <v>101.29032258064517</v>
      </c>
      <c r="K14" s="280">
        <v>3.12</v>
      </c>
      <c r="L14" s="124">
        <v>2.2999999999999998</v>
      </c>
      <c r="M14" s="387">
        <f t="shared" si="16"/>
        <v>-48.38709677419353</v>
      </c>
      <c r="N14" s="137">
        <v>4000000</v>
      </c>
      <c r="O14" s="124" t="s">
        <v>167</v>
      </c>
      <c r="P14" s="146">
        <f t="shared" si="13"/>
        <v>146.1501356647573</v>
      </c>
      <c r="Q14" s="124"/>
    </row>
    <row r="15" spans="1:17" x14ac:dyDescent="0.25">
      <c r="A15" s="124" t="s">
        <v>526</v>
      </c>
      <c r="B15" s="261">
        <v>44132</v>
      </c>
      <c r="C15" s="124">
        <v>1.48</v>
      </c>
      <c r="D15" s="124">
        <v>2.29</v>
      </c>
      <c r="E15" s="317">
        <f>(D15-C15)/C15*100</f>
        <v>54.72972972972974</v>
      </c>
      <c r="F15" s="137">
        <v>213000000</v>
      </c>
      <c r="G15" s="131">
        <v>2.38</v>
      </c>
      <c r="H15" s="317">
        <f t="shared" si="15"/>
        <v>3.9301310043668063</v>
      </c>
      <c r="I15" s="131">
        <v>3.1</v>
      </c>
      <c r="J15" s="317">
        <f t="shared" si="14"/>
        <v>35.37117903930131</v>
      </c>
      <c r="K15" s="280">
        <v>0.48958333333333331</v>
      </c>
      <c r="L15" s="124">
        <v>1.98</v>
      </c>
      <c r="M15" s="331">
        <f>(D15-L15)/D15*100</f>
        <v>13.537117903930133</v>
      </c>
      <c r="N15" s="137">
        <v>14000000</v>
      </c>
      <c r="O15" s="124" t="s">
        <v>167</v>
      </c>
      <c r="P15" s="146">
        <f t="shared" si="13"/>
        <v>90.100908769031051</v>
      </c>
      <c r="Q15" s="124"/>
    </row>
    <row r="16" spans="1:17" x14ac:dyDescent="0.25">
      <c r="A16" s="124" t="s">
        <v>862</v>
      </c>
      <c r="B16" s="261">
        <v>44173</v>
      </c>
      <c r="C16" s="124">
        <v>1.74</v>
      </c>
      <c r="D16" s="124">
        <v>2.36</v>
      </c>
      <c r="E16" s="317">
        <f t="shared" ref="E16" si="19">(D16-C16)/C16*100</f>
        <v>35.632183908045974</v>
      </c>
      <c r="F16" s="137">
        <v>204000000</v>
      </c>
      <c r="G16" s="131">
        <v>2.38</v>
      </c>
      <c r="H16" s="317">
        <f t="shared" si="15"/>
        <v>0.84745762711864492</v>
      </c>
      <c r="I16" s="131">
        <v>4.03</v>
      </c>
      <c r="J16" s="317">
        <f t="shared" si="14"/>
        <v>70.762711864406796</v>
      </c>
      <c r="K16" s="280">
        <v>0.49305555555555558</v>
      </c>
      <c r="L16" s="124">
        <v>3.09</v>
      </c>
      <c r="M16" s="387">
        <f t="shared" ref="M16" si="20">(D16-L16)/D16*100</f>
        <v>-30.932203389830509</v>
      </c>
      <c r="N16" s="137">
        <v>5000000</v>
      </c>
      <c r="O16" s="124" t="s">
        <v>167</v>
      </c>
      <c r="P16" s="146">
        <f t="shared" si="13"/>
        <v>106.39489577245277</v>
      </c>
      <c r="Q16" s="124"/>
    </row>
    <row r="17" spans="1:17" s="141" customFormat="1" ht="21" x14ac:dyDescent="0.25">
      <c r="A17" s="262" t="s">
        <v>183</v>
      </c>
      <c r="B17" s="274">
        <f t="shared" ref="B17:I17" si="21">(B10+B11+B13+B15+B12+B16+B14+B9)/8</f>
        <v>44114.25</v>
      </c>
      <c r="C17" s="274">
        <f t="shared" si="21"/>
        <v>2.2462499999999999</v>
      </c>
      <c r="D17" s="274">
        <f t="shared" si="21"/>
        <v>4.9587499999999993</v>
      </c>
      <c r="E17" s="274">
        <f t="shared" si="21"/>
        <v>113.80655054876735</v>
      </c>
      <c r="F17" s="274">
        <f t="shared" si="21"/>
        <v>235500000</v>
      </c>
      <c r="G17" s="274">
        <f t="shared" si="21"/>
        <v>5.5025000000000004</v>
      </c>
      <c r="H17" s="274">
        <f t="shared" si="21"/>
        <v>8.359613324141506</v>
      </c>
      <c r="I17" s="274">
        <f t="shared" si="21"/>
        <v>6.7549999999999999</v>
      </c>
      <c r="J17" s="274">
        <f>(J10+J11+J13+J15+J12+J16+J14+J9)/8</f>
        <v>46.925420400256833</v>
      </c>
      <c r="K17" s="274">
        <f t="shared" ref="K17:P17" si="22">(K10+K11+K13+K15+K12+K16+K14+K9)/8</f>
        <v>0.80640624999999999</v>
      </c>
      <c r="L17" s="274">
        <f t="shared" si="22"/>
        <v>5.0187499999999989</v>
      </c>
      <c r="M17" s="274">
        <f t="shared" si="22"/>
        <v>-8.5327101263501124</v>
      </c>
      <c r="N17" s="274">
        <f t="shared" si="22"/>
        <v>19250000</v>
      </c>
      <c r="O17" s="274" t="e">
        <f t="shared" si="22"/>
        <v>#VALUE!</v>
      </c>
      <c r="P17" s="274">
        <f t="shared" si="22"/>
        <v>160.73197094902417</v>
      </c>
      <c r="Q17" s="388">
        <f>(5/8)*100</f>
        <v>62.5</v>
      </c>
    </row>
    <row r="18" spans="1:17" ht="21" x14ac:dyDescent="0.25">
      <c r="A18" s="139" t="s">
        <v>108</v>
      </c>
      <c r="B18" s="139" t="s">
        <v>107</v>
      </c>
      <c r="C18" s="139" t="s">
        <v>152</v>
      </c>
      <c r="D18" s="139" t="s">
        <v>153</v>
      </c>
      <c r="E18" s="139" t="s">
        <v>154</v>
      </c>
      <c r="F18" s="139" t="s">
        <v>155</v>
      </c>
      <c r="G18" s="263" t="s">
        <v>156</v>
      </c>
      <c r="H18" s="263" t="s">
        <v>157</v>
      </c>
      <c r="I18" s="263" t="s">
        <v>158</v>
      </c>
      <c r="J18" s="263" t="s">
        <v>159</v>
      </c>
      <c r="K18" s="263" t="s">
        <v>160</v>
      </c>
      <c r="L18" s="139" t="s">
        <v>161</v>
      </c>
      <c r="M18" s="139" t="s">
        <v>162</v>
      </c>
      <c r="N18" s="291" t="s">
        <v>163</v>
      </c>
      <c r="O18" s="285" t="s">
        <v>164</v>
      </c>
      <c r="P18" s="285" t="s">
        <v>174</v>
      </c>
      <c r="Q18" s="124"/>
    </row>
    <row r="19" spans="1:17" s="339" customFormat="1" x14ac:dyDescent="0.25">
      <c r="A19" s="332" t="s">
        <v>184</v>
      </c>
      <c r="B19" s="333">
        <v>43950</v>
      </c>
      <c r="C19" s="332">
        <v>2.5299999999999998</v>
      </c>
      <c r="D19" s="332">
        <v>5.0999999999999996</v>
      </c>
      <c r="E19" s="394">
        <f>(D19-C19)/C19*100</f>
        <v>101.58102766798419</v>
      </c>
      <c r="F19" s="335">
        <v>199000000</v>
      </c>
      <c r="G19" s="334">
        <v>5.0999999999999996</v>
      </c>
      <c r="H19" s="336">
        <f t="shared" ref="H19:H30" si="23">(G19-D19)/D19*100</f>
        <v>0</v>
      </c>
      <c r="I19" s="334">
        <v>11</v>
      </c>
      <c r="J19" s="336">
        <f t="shared" ref="J19:J30" si="24">(I19-D19)/D19*100</f>
        <v>115.68627450980394</v>
      </c>
      <c r="K19" s="337">
        <v>0.5625</v>
      </c>
      <c r="L19" s="332">
        <v>8.48</v>
      </c>
      <c r="M19" s="346">
        <f>(D19-L19)/D19*100</f>
        <v>-66.274509803921589</v>
      </c>
      <c r="N19" s="335">
        <v>20000000</v>
      </c>
      <c r="O19" s="332" t="s">
        <v>185</v>
      </c>
      <c r="P19" s="338">
        <f t="shared" ref="P19:P28" si="25">E19+J19</f>
        <v>217.26730217778811</v>
      </c>
      <c r="Q19" s="332" t="s">
        <v>832</v>
      </c>
    </row>
    <row r="20" spans="1:17" x14ac:dyDescent="0.25">
      <c r="A20" s="124" t="s">
        <v>186</v>
      </c>
      <c r="B20" s="261">
        <v>44070</v>
      </c>
      <c r="C20" s="124">
        <v>3.21</v>
      </c>
      <c r="D20" s="124">
        <v>4.13</v>
      </c>
      <c r="E20" s="392">
        <f t="shared" ref="E20:E30" si="26">(D20-C20)/C20*100</f>
        <v>28.660436137071649</v>
      </c>
      <c r="F20" s="137">
        <v>199000000</v>
      </c>
      <c r="G20" s="131">
        <v>4.43</v>
      </c>
      <c r="H20" s="267">
        <f t="shared" si="23"/>
        <v>7.2639225181598013</v>
      </c>
      <c r="I20" s="144">
        <v>5.22</v>
      </c>
      <c r="J20" s="267">
        <f t="shared" si="24"/>
        <v>26.392251815980629</v>
      </c>
      <c r="K20" s="265">
        <v>0.4375</v>
      </c>
      <c r="L20" s="137">
        <v>4.29</v>
      </c>
      <c r="M20" s="269">
        <f t="shared" ref="M20:M30" si="27">(D20-L20)/D20*100</f>
        <v>-3.8740920096852336</v>
      </c>
      <c r="N20" s="137">
        <v>75000000</v>
      </c>
      <c r="O20" s="124" t="s">
        <v>167</v>
      </c>
      <c r="P20" s="146">
        <f t="shared" si="25"/>
        <v>55.052687953052278</v>
      </c>
      <c r="Q20" s="124"/>
    </row>
    <row r="21" spans="1:17" x14ac:dyDescent="0.25">
      <c r="A21" s="124" t="s">
        <v>187</v>
      </c>
      <c r="B21" s="261">
        <v>44105</v>
      </c>
      <c r="C21" s="124">
        <v>2</v>
      </c>
      <c r="D21" s="124">
        <v>5.2</v>
      </c>
      <c r="E21" s="392">
        <f t="shared" si="26"/>
        <v>160</v>
      </c>
      <c r="F21" s="137">
        <v>194000000</v>
      </c>
      <c r="G21" s="131">
        <v>5.86</v>
      </c>
      <c r="H21" s="267">
        <f t="shared" si="23"/>
        <v>12.692307692307695</v>
      </c>
      <c r="I21" s="144">
        <v>6.1</v>
      </c>
      <c r="J21" s="267">
        <f t="shared" si="24"/>
        <v>17.307692307692296</v>
      </c>
      <c r="K21" s="265">
        <v>0.40972222222222227</v>
      </c>
      <c r="L21" s="124">
        <v>3.47</v>
      </c>
      <c r="M21" s="271">
        <f t="shared" si="27"/>
        <v>33.269230769230766</v>
      </c>
      <c r="N21" s="137">
        <v>6000000</v>
      </c>
      <c r="O21" s="124" t="s">
        <v>167</v>
      </c>
      <c r="P21" s="146">
        <f t="shared" si="25"/>
        <v>177.30769230769229</v>
      </c>
      <c r="Q21" s="124"/>
    </row>
    <row r="22" spans="1:17" x14ac:dyDescent="0.25">
      <c r="A22" s="138" t="s">
        <v>189</v>
      </c>
      <c r="B22" s="261">
        <v>44117</v>
      </c>
      <c r="C22" s="124">
        <v>1.87</v>
      </c>
      <c r="D22" s="124">
        <v>3.02</v>
      </c>
      <c r="E22" s="392">
        <f t="shared" si="26"/>
        <v>61.497326203208544</v>
      </c>
      <c r="F22" s="137">
        <v>193000000</v>
      </c>
      <c r="G22" s="131">
        <v>3.29</v>
      </c>
      <c r="H22" s="267">
        <f t="shared" si="23"/>
        <v>8.9403973509933774</v>
      </c>
      <c r="I22" s="131">
        <v>3.99</v>
      </c>
      <c r="J22" s="267">
        <f t="shared" si="24"/>
        <v>32.119205298013256</v>
      </c>
      <c r="K22" s="280">
        <v>2.9</v>
      </c>
      <c r="L22" s="124">
        <v>2.87</v>
      </c>
      <c r="M22" s="271">
        <f t="shared" si="27"/>
        <v>4.9668874172185395</v>
      </c>
      <c r="N22" s="137">
        <v>3000000</v>
      </c>
      <c r="O22" s="124" t="s">
        <v>167</v>
      </c>
      <c r="P22" s="146">
        <f t="shared" si="25"/>
        <v>93.6165315012218</v>
      </c>
      <c r="Q22" s="124"/>
    </row>
    <row r="23" spans="1:17" x14ac:dyDescent="0.25">
      <c r="A23" s="124" t="s">
        <v>175</v>
      </c>
      <c r="B23" s="261">
        <v>44090</v>
      </c>
      <c r="C23" s="124">
        <v>6.2</v>
      </c>
      <c r="D23" s="124">
        <v>9.5399999999999991</v>
      </c>
      <c r="E23" s="392">
        <f t="shared" si="26"/>
        <v>53.870967741935459</v>
      </c>
      <c r="F23" s="137">
        <v>188000000</v>
      </c>
      <c r="G23" s="131">
        <v>11.43</v>
      </c>
      <c r="H23" s="267">
        <f t="shared" si="23"/>
        <v>19.811320754716988</v>
      </c>
      <c r="I23" s="144">
        <v>11.43</v>
      </c>
      <c r="J23" s="267">
        <f t="shared" si="24"/>
        <v>19.811320754716988</v>
      </c>
      <c r="K23" s="265">
        <v>0.3979166666666667</v>
      </c>
      <c r="L23" s="124">
        <v>8.5</v>
      </c>
      <c r="M23" s="271">
        <f t="shared" si="27"/>
        <v>10.901467505241081</v>
      </c>
      <c r="N23" s="137">
        <v>50000000</v>
      </c>
      <c r="O23" s="124" t="s">
        <v>190</v>
      </c>
      <c r="P23" s="146">
        <f t="shared" si="25"/>
        <v>73.682288496652447</v>
      </c>
      <c r="Q23" s="124"/>
    </row>
    <row r="24" spans="1:17" x14ac:dyDescent="0.25">
      <c r="A24" s="124" t="s">
        <v>191</v>
      </c>
      <c r="B24" s="261">
        <v>44043</v>
      </c>
      <c r="C24" s="124">
        <v>8.59</v>
      </c>
      <c r="D24" s="124">
        <v>13.92</v>
      </c>
      <c r="E24" s="397">
        <f t="shared" si="26"/>
        <v>62.048894062863802</v>
      </c>
      <c r="F24" s="137">
        <v>187000000</v>
      </c>
      <c r="G24" s="131">
        <v>14.33</v>
      </c>
      <c r="H24" s="267">
        <f t="shared" si="23"/>
        <v>2.9454022988505755</v>
      </c>
      <c r="I24" s="144">
        <v>17.16</v>
      </c>
      <c r="J24" s="267">
        <f t="shared" si="24"/>
        <v>23.27586206896552</v>
      </c>
      <c r="K24" s="265">
        <v>0.41666666666666669</v>
      </c>
      <c r="L24" s="124">
        <v>13.43</v>
      </c>
      <c r="M24" s="271">
        <f t="shared" si="27"/>
        <v>3.5201149425287368</v>
      </c>
      <c r="N24" s="137">
        <v>90000000</v>
      </c>
      <c r="O24" s="124" t="s">
        <v>170</v>
      </c>
      <c r="P24" s="146">
        <f t="shared" si="25"/>
        <v>85.324756131829318</v>
      </c>
      <c r="Q24" s="124"/>
    </row>
    <row r="25" spans="1:17" x14ac:dyDescent="0.25">
      <c r="A25" s="124" t="s">
        <v>897</v>
      </c>
      <c r="B25" s="261">
        <v>44174</v>
      </c>
      <c r="C25" s="124">
        <v>1.0900000000000001</v>
      </c>
      <c r="D25" s="124">
        <v>3.89</v>
      </c>
      <c r="E25" s="317">
        <f t="shared" si="26"/>
        <v>256.8807339449541</v>
      </c>
      <c r="F25" s="137">
        <v>183000000</v>
      </c>
      <c r="G25" s="131">
        <v>4.5999999999999996</v>
      </c>
      <c r="H25" s="317">
        <f t="shared" si="23"/>
        <v>18.25192802056554</v>
      </c>
      <c r="I25" s="131">
        <v>5.86</v>
      </c>
      <c r="J25" s="317">
        <f t="shared" si="24"/>
        <v>50.642673521850902</v>
      </c>
      <c r="K25" s="280">
        <v>0.45833333333333331</v>
      </c>
      <c r="L25" s="124">
        <v>3.16</v>
      </c>
      <c r="M25" s="271">
        <f t="shared" si="27"/>
        <v>18.766066838046271</v>
      </c>
      <c r="N25" s="137">
        <v>5000000</v>
      </c>
      <c r="O25" s="124" t="s">
        <v>170</v>
      </c>
      <c r="P25" s="146">
        <f t="shared" si="25"/>
        <v>307.523407466805</v>
      </c>
      <c r="Q25" s="124"/>
    </row>
    <row r="26" spans="1:17" s="141" customFormat="1" x14ac:dyDescent="0.25">
      <c r="A26" s="138" t="s">
        <v>192</v>
      </c>
      <c r="B26" s="143">
        <v>44088</v>
      </c>
      <c r="C26" s="138">
        <v>3.31</v>
      </c>
      <c r="D26" s="138">
        <v>7.11</v>
      </c>
      <c r="E26" s="398">
        <f t="shared" si="26"/>
        <v>114.8036253776435</v>
      </c>
      <c r="F26" s="256">
        <v>175000000</v>
      </c>
      <c r="G26" s="144">
        <v>7.46</v>
      </c>
      <c r="H26" s="268">
        <f t="shared" si="23"/>
        <v>4.9226441631504869</v>
      </c>
      <c r="I26" s="144">
        <v>8.4</v>
      </c>
      <c r="J26" s="267">
        <f t="shared" si="24"/>
        <v>18.143459915611814</v>
      </c>
      <c r="K26" s="265">
        <v>0.66666666666666663</v>
      </c>
      <c r="L26" s="138">
        <v>7.75</v>
      </c>
      <c r="M26" s="269">
        <f t="shared" si="27"/>
        <v>-9.0014064697608944</v>
      </c>
      <c r="N26" s="256">
        <v>18000000</v>
      </c>
      <c r="O26" s="138" t="s">
        <v>167</v>
      </c>
      <c r="P26" s="146">
        <f t="shared" si="25"/>
        <v>132.94708529325533</v>
      </c>
      <c r="Q26" s="138"/>
    </row>
    <row r="27" spans="1:17" s="141" customFormat="1" x14ac:dyDescent="0.25">
      <c r="A27" s="138" t="s">
        <v>828</v>
      </c>
      <c r="B27" s="143">
        <v>44127</v>
      </c>
      <c r="C27" s="138">
        <v>1.43</v>
      </c>
      <c r="D27" s="138">
        <v>3.8</v>
      </c>
      <c r="E27" s="267">
        <f t="shared" si="26"/>
        <v>165.73426573426576</v>
      </c>
      <c r="F27" s="256">
        <v>170000000</v>
      </c>
      <c r="G27" s="420">
        <v>4.4000000000000004</v>
      </c>
      <c r="H27" s="267">
        <f t="shared" si="23"/>
        <v>15.789473684210542</v>
      </c>
      <c r="I27" s="144">
        <v>4.51</v>
      </c>
      <c r="J27" s="267">
        <f t="shared" si="24"/>
        <v>18.684210526315788</v>
      </c>
      <c r="K27" s="265">
        <v>0.37847222222222227</v>
      </c>
      <c r="L27" s="138">
        <v>2.5499999999999998</v>
      </c>
      <c r="M27" s="271">
        <f t="shared" si="27"/>
        <v>32.894736842105267</v>
      </c>
      <c r="N27" s="256">
        <v>2000000</v>
      </c>
      <c r="O27" s="138" t="s">
        <v>216</v>
      </c>
      <c r="P27" s="417">
        <f t="shared" si="25"/>
        <v>184.41847626058154</v>
      </c>
      <c r="Q27" s="138"/>
    </row>
    <row r="28" spans="1:17" x14ac:dyDescent="0.25">
      <c r="A28" s="124" t="s">
        <v>194</v>
      </c>
      <c r="B28" s="261">
        <v>44082</v>
      </c>
      <c r="C28" s="131">
        <v>1.03</v>
      </c>
      <c r="D28" s="124">
        <v>1.9</v>
      </c>
      <c r="E28" s="392">
        <f t="shared" si="26"/>
        <v>84.466019417475707</v>
      </c>
      <c r="F28" s="137">
        <v>166000000</v>
      </c>
      <c r="G28" s="131">
        <v>2.09</v>
      </c>
      <c r="H28" s="267">
        <f t="shared" si="23"/>
        <v>9.9999999999999982</v>
      </c>
      <c r="I28" s="131">
        <v>2.33</v>
      </c>
      <c r="J28" s="267">
        <f t="shared" si="24"/>
        <v>22.631578947368432</v>
      </c>
      <c r="K28" s="280">
        <v>0.5625</v>
      </c>
      <c r="L28" s="124">
        <v>2.2200000000000002</v>
      </c>
      <c r="M28" s="269">
        <f t="shared" si="27"/>
        <v>-16.842105263157912</v>
      </c>
      <c r="N28" s="137">
        <v>10000000</v>
      </c>
      <c r="O28" s="124" t="s">
        <v>167</v>
      </c>
      <c r="P28" s="146">
        <f t="shared" si="25"/>
        <v>107.09759836484415</v>
      </c>
      <c r="Q28" s="124"/>
    </row>
    <row r="29" spans="1:17" x14ac:dyDescent="0.25">
      <c r="A29" s="124" t="s">
        <v>195</v>
      </c>
      <c r="B29" s="261">
        <v>44111</v>
      </c>
      <c r="C29" s="131">
        <v>1.64</v>
      </c>
      <c r="D29" s="124">
        <v>3.11</v>
      </c>
      <c r="E29" s="392">
        <f t="shared" si="26"/>
        <v>89.634146341463421</v>
      </c>
      <c r="F29" s="137">
        <v>161000000</v>
      </c>
      <c r="G29" s="131">
        <v>3.49</v>
      </c>
      <c r="H29" s="267">
        <f t="shared" si="23"/>
        <v>12.218649517684899</v>
      </c>
      <c r="I29" s="131">
        <v>4.92</v>
      </c>
      <c r="J29" s="267">
        <f t="shared" si="24"/>
        <v>58.199356913183287</v>
      </c>
      <c r="K29" s="280">
        <v>0.40972222222222227</v>
      </c>
      <c r="L29" s="124">
        <v>2.54</v>
      </c>
      <c r="M29" s="271">
        <f t="shared" si="27"/>
        <v>18.327974276527325</v>
      </c>
      <c r="N29" s="137">
        <v>3000000</v>
      </c>
      <c r="O29" s="124" t="s">
        <v>170</v>
      </c>
      <c r="P29" s="131">
        <f>J29+E29</f>
        <v>147.8335032546467</v>
      </c>
      <c r="Q29" s="124"/>
    </row>
    <row r="30" spans="1:17" s="141" customFormat="1" x14ac:dyDescent="0.25">
      <c r="A30" s="138" t="s">
        <v>197</v>
      </c>
      <c r="B30" s="143">
        <v>44022</v>
      </c>
      <c r="C30" s="138">
        <v>3.94</v>
      </c>
      <c r="D30" s="138">
        <v>7.74</v>
      </c>
      <c r="E30" s="398">
        <f t="shared" si="26"/>
        <v>96.446700507614224</v>
      </c>
      <c r="F30" s="256">
        <v>153000000</v>
      </c>
      <c r="G30" s="144">
        <v>8.02</v>
      </c>
      <c r="H30" s="267">
        <f t="shared" si="23"/>
        <v>3.617571059431516</v>
      </c>
      <c r="I30" s="144">
        <v>15.2</v>
      </c>
      <c r="J30" s="267">
        <f t="shared" si="24"/>
        <v>96.38242894056846</v>
      </c>
      <c r="K30" s="265">
        <v>0.65972222222222221</v>
      </c>
      <c r="L30" s="138">
        <v>15.2</v>
      </c>
      <c r="M30" s="269">
        <f t="shared" si="27"/>
        <v>-96.38242894056846</v>
      </c>
      <c r="N30" s="256">
        <v>12000000</v>
      </c>
      <c r="O30" s="138" t="s">
        <v>170</v>
      </c>
      <c r="P30" s="146">
        <f>E30+J30</f>
        <v>192.8291294481827</v>
      </c>
      <c r="Q30" s="138"/>
    </row>
    <row r="31" spans="1:17" s="141" customFormat="1" ht="21" x14ac:dyDescent="0.25">
      <c r="A31" s="262" t="s">
        <v>198</v>
      </c>
      <c r="B31" s="272"/>
      <c r="C31" s="274">
        <f t="shared" ref="C31:I31" si="28">(C19+C20+C21+C22+C23+C24+C26+C27+C28+C29+C30+C25)/12</f>
        <v>3.0700000000000003</v>
      </c>
      <c r="D31" s="274">
        <f t="shared" si="28"/>
        <v>5.7049999999999992</v>
      </c>
      <c r="E31" s="274">
        <f t="shared" si="28"/>
        <v>106.30201192804003</v>
      </c>
      <c r="F31" s="274">
        <f t="shared" si="28"/>
        <v>180666666.66666666</v>
      </c>
      <c r="G31" s="274">
        <f t="shared" si="28"/>
        <v>6.208333333333333</v>
      </c>
      <c r="H31" s="274">
        <f t="shared" si="28"/>
        <v>9.7044680883392846</v>
      </c>
      <c r="I31" s="274">
        <f t="shared" si="28"/>
        <v>8.01</v>
      </c>
      <c r="J31" s="274">
        <f>(J19+J20+J21+J22+J23+J24+J26+J27+J28+J29+J30+J25)/12</f>
        <v>41.606359626672607</v>
      </c>
      <c r="K31" s="274">
        <f t="shared" ref="K31:P31" si="29">(K19+K20+K21+K22+K23+K24+K26+K27+K28+K29+K30+K25)/12</f>
        <v>0.68831018518518527</v>
      </c>
      <c r="L31" s="274">
        <f t="shared" si="29"/>
        <v>6.2049999999999992</v>
      </c>
      <c r="M31" s="274">
        <f t="shared" si="29"/>
        <v>-5.8106719913496745</v>
      </c>
      <c r="N31" s="274">
        <f t="shared" si="29"/>
        <v>24500000</v>
      </c>
      <c r="O31" s="274" t="e">
        <f t="shared" si="29"/>
        <v>#VALUE!</v>
      </c>
      <c r="P31" s="274">
        <f t="shared" si="29"/>
        <v>147.90837155471263</v>
      </c>
      <c r="Q31" s="411">
        <f>(5/12)*100</f>
        <v>41.666666666666671</v>
      </c>
    </row>
    <row r="32" spans="1:17" ht="21" x14ac:dyDescent="0.25">
      <c r="A32" s="139" t="s">
        <v>108</v>
      </c>
      <c r="B32" s="139" t="s">
        <v>107</v>
      </c>
      <c r="C32" s="139" t="s">
        <v>152</v>
      </c>
      <c r="D32" s="139" t="s">
        <v>153</v>
      </c>
      <c r="E32" s="139" t="s">
        <v>154</v>
      </c>
      <c r="F32" s="139" t="s">
        <v>155</v>
      </c>
      <c r="G32" s="263" t="s">
        <v>156</v>
      </c>
      <c r="H32" s="263" t="s">
        <v>157</v>
      </c>
      <c r="I32" s="263" t="s">
        <v>158</v>
      </c>
      <c r="J32" s="263" t="s">
        <v>159</v>
      </c>
      <c r="K32" s="263" t="s">
        <v>160</v>
      </c>
      <c r="L32" s="139" t="s">
        <v>161</v>
      </c>
      <c r="M32" s="139" t="s">
        <v>162</v>
      </c>
      <c r="N32" s="291" t="s">
        <v>163</v>
      </c>
      <c r="O32" s="285" t="s">
        <v>164</v>
      </c>
      <c r="P32" s="285" t="s">
        <v>174</v>
      </c>
      <c r="Q32" s="124"/>
    </row>
    <row r="33" spans="1:17" x14ac:dyDescent="0.25">
      <c r="A33" s="376" t="s">
        <v>821</v>
      </c>
      <c r="B33" s="261">
        <v>44126</v>
      </c>
      <c r="C33" s="124">
        <v>1.1399999999999999</v>
      </c>
      <c r="D33" s="124">
        <v>2.5299999999999998</v>
      </c>
      <c r="E33" s="317">
        <f t="shared" ref="E33:E59" si="30">(D33-C33)/C33*100</f>
        <v>121.92982456140351</v>
      </c>
      <c r="F33" s="137">
        <v>149000000</v>
      </c>
      <c r="G33" s="318">
        <v>3.44</v>
      </c>
      <c r="H33" s="317">
        <f t="shared" ref="H33" si="31">(G33-D33)/D33*100</f>
        <v>35.968379446640327</v>
      </c>
      <c r="I33" s="131">
        <v>3.69</v>
      </c>
      <c r="J33" s="317">
        <f t="shared" ref="J33" si="32">(I33-D33)/D33*100</f>
        <v>45.849802371541507</v>
      </c>
      <c r="K33" s="280">
        <v>0.44444444444444442</v>
      </c>
      <c r="L33" s="367">
        <v>2.76</v>
      </c>
      <c r="M33" s="387">
        <f>(D33-L33)/D33*100</f>
        <v>-9.0909090909090917</v>
      </c>
      <c r="N33" s="137">
        <v>3000000</v>
      </c>
      <c r="O33" s="124" t="s">
        <v>167</v>
      </c>
      <c r="P33" s="146">
        <f t="shared" ref="P33:P34" si="33">E33+J33</f>
        <v>167.77962693294501</v>
      </c>
      <c r="Q33" s="124"/>
    </row>
    <row r="34" spans="1:17" x14ac:dyDescent="0.25">
      <c r="A34" s="376" t="s">
        <v>753</v>
      </c>
      <c r="B34" s="261">
        <v>44124</v>
      </c>
      <c r="C34" s="124">
        <v>2.16</v>
      </c>
      <c r="D34" s="124">
        <v>4.5199999999999996</v>
      </c>
      <c r="E34" s="392">
        <f t="shared" si="30"/>
        <v>109.25925925925924</v>
      </c>
      <c r="F34" s="137">
        <v>147000000</v>
      </c>
      <c r="G34" s="131">
        <v>4.87</v>
      </c>
      <c r="H34" s="267">
        <f t="shared" ref="H34:H35" si="34">(G34-D34)/D34*100</f>
        <v>7.7433628318584189</v>
      </c>
      <c r="I34" s="131">
        <v>5.43</v>
      </c>
      <c r="J34" s="267">
        <f t="shared" ref="J34:J35" si="35">(I34-D34)/D34*100</f>
        <v>20.132743362831864</v>
      </c>
      <c r="K34" s="280">
        <v>0.4201388888888889</v>
      </c>
      <c r="L34" s="367">
        <v>3.15</v>
      </c>
      <c r="M34" s="331">
        <f t="shared" ref="M34:M59" si="36">(D34-L34)/D34*100</f>
        <v>30.309734513274332</v>
      </c>
      <c r="N34" s="137">
        <v>4000000</v>
      </c>
      <c r="O34" s="124" t="s">
        <v>167</v>
      </c>
      <c r="P34" s="146">
        <f t="shared" si="33"/>
        <v>129.3920026220911</v>
      </c>
      <c r="Q34" s="124"/>
    </row>
    <row r="35" spans="1:17" x14ac:dyDescent="0.25">
      <c r="A35" s="124" t="s">
        <v>881</v>
      </c>
      <c r="B35" s="261">
        <v>44160</v>
      </c>
      <c r="C35" s="124">
        <v>1.2</v>
      </c>
      <c r="D35" s="124">
        <v>2.4900000000000002</v>
      </c>
      <c r="E35" s="317">
        <f t="shared" si="30"/>
        <v>107.50000000000001</v>
      </c>
      <c r="F35" s="137">
        <v>144000000</v>
      </c>
      <c r="G35" s="131">
        <v>2.75</v>
      </c>
      <c r="H35" s="317">
        <f t="shared" si="34"/>
        <v>10.441767068273084</v>
      </c>
      <c r="I35" s="131">
        <v>2.77</v>
      </c>
      <c r="J35" s="317">
        <f t="shared" si="35"/>
        <v>11.244979919678705</v>
      </c>
      <c r="K35" s="280">
        <v>0.40069444444444446</v>
      </c>
      <c r="L35" s="124">
        <v>2.0299999999999998</v>
      </c>
      <c r="M35" s="331">
        <f t="shared" si="36"/>
        <v>18.473895582329334</v>
      </c>
      <c r="N35" s="137">
        <v>7000000</v>
      </c>
      <c r="O35" s="124" t="s">
        <v>167</v>
      </c>
      <c r="P35" s="146">
        <f t="shared" ref="P35:P59" si="37">E35+J35</f>
        <v>118.74497991967871</v>
      </c>
      <c r="Q35" s="124"/>
    </row>
    <row r="36" spans="1:17" x14ac:dyDescent="0.25">
      <c r="A36" s="378" t="s">
        <v>201</v>
      </c>
      <c r="B36" s="261">
        <v>44062</v>
      </c>
      <c r="C36" s="124">
        <v>1.38</v>
      </c>
      <c r="D36" s="124">
        <v>1.71</v>
      </c>
      <c r="E36" s="392">
        <f t="shared" si="30"/>
        <v>23.913043478260875</v>
      </c>
      <c r="F36" s="137">
        <v>140000000</v>
      </c>
      <c r="G36" s="131">
        <v>1.85</v>
      </c>
      <c r="H36" s="267">
        <f t="shared" ref="H36:H52" si="38">(G36-D36)/D36*100</f>
        <v>8.1871345029239837</v>
      </c>
      <c r="I36" s="131">
        <v>2.87</v>
      </c>
      <c r="J36" s="267">
        <f t="shared" ref="J36:J52" si="39">(I36-D36)/D36*100</f>
        <v>67.83625730994153</v>
      </c>
      <c r="K36" s="280">
        <v>0.54166666666666663</v>
      </c>
      <c r="L36" s="367">
        <v>1.8</v>
      </c>
      <c r="M36" s="387">
        <f t="shared" si="36"/>
        <v>-5.2631578947368469</v>
      </c>
      <c r="N36" s="137">
        <v>11000000</v>
      </c>
      <c r="O36" s="124" t="s">
        <v>167</v>
      </c>
      <c r="P36" s="146">
        <f t="shared" si="37"/>
        <v>91.749300788202405</v>
      </c>
      <c r="Q36" s="124"/>
    </row>
    <row r="37" spans="1:17" x14ac:dyDescent="0.25">
      <c r="A37" s="124" t="s">
        <v>175</v>
      </c>
      <c r="B37" s="261">
        <v>44172</v>
      </c>
      <c r="C37" s="124">
        <v>7.55</v>
      </c>
      <c r="D37" s="124">
        <v>12.59</v>
      </c>
      <c r="E37" s="317">
        <f t="shared" si="30"/>
        <v>66.754966887417226</v>
      </c>
      <c r="F37" s="137">
        <v>135000000</v>
      </c>
      <c r="G37" s="131">
        <v>13.62</v>
      </c>
      <c r="H37" s="317">
        <f t="shared" si="38"/>
        <v>8.1810961080222349</v>
      </c>
      <c r="I37" s="131">
        <v>13.62</v>
      </c>
      <c r="J37" s="317">
        <f t="shared" si="39"/>
        <v>8.1810961080222349</v>
      </c>
      <c r="K37" s="280">
        <v>0.40277777777777773</v>
      </c>
      <c r="L37" s="124">
        <v>12</v>
      </c>
      <c r="M37" s="331">
        <f t="shared" si="36"/>
        <v>4.6862589356632238</v>
      </c>
      <c r="N37" s="137">
        <v>22000000</v>
      </c>
      <c r="O37" s="124" t="s">
        <v>190</v>
      </c>
      <c r="P37" s="146">
        <f t="shared" si="37"/>
        <v>74.936062995439457</v>
      </c>
      <c r="Q37" s="124"/>
    </row>
    <row r="38" spans="1:17" x14ac:dyDescent="0.25">
      <c r="A38" s="376" t="s">
        <v>203</v>
      </c>
      <c r="B38" s="261">
        <v>44064</v>
      </c>
      <c r="C38" s="124">
        <v>3.67</v>
      </c>
      <c r="D38" s="124">
        <v>4.71</v>
      </c>
      <c r="E38" s="392">
        <f t="shared" si="30"/>
        <v>28.337874659400548</v>
      </c>
      <c r="F38" s="137">
        <v>133000000</v>
      </c>
      <c r="G38" s="131">
        <v>4.71</v>
      </c>
      <c r="H38" s="267">
        <f t="shared" si="38"/>
        <v>0</v>
      </c>
      <c r="I38" s="144">
        <v>6.2</v>
      </c>
      <c r="J38" s="267">
        <f t="shared" si="39"/>
        <v>31.634819532908708</v>
      </c>
      <c r="K38" s="265">
        <v>0.43055555555555558</v>
      </c>
      <c r="L38" s="390">
        <v>4.26</v>
      </c>
      <c r="M38" s="331">
        <f t="shared" si="36"/>
        <v>9.5541401273885391</v>
      </c>
      <c r="N38" s="137">
        <v>2400000</v>
      </c>
      <c r="O38" s="124" t="s">
        <v>167</v>
      </c>
      <c r="P38" s="146">
        <f t="shared" si="37"/>
        <v>59.972694192309255</v>
      </c>
      <c r="Q38" s="124"/>
    </row>
    <row r="39" spans="1:17" x14ac:dyDescent="0.25">
      <c r="A39" s="258" t="s">
        <v>204</v>
      </c>
      <c r="B39" s="261">
        <v>44109</v>
      </c>
      <c r="C39" s="124">
        <v>1.0900000000000001</v>
      </c>
      <c r="D39" s="124">
        <v>2.46</v>
      </c>
      <c r="E39" s="392">
        <f t="shared" si="30"/>
        <v>125.68807339449539</v>
      </c>
      <c r="F39" s="137">
        <v>133000000</v>
      </c>
      <c r="G39" s="131">
        <v>2.74</v>
      </c>
      <c r="H39" s="267">
        <f t="shared" si="38"/>
        <v>11.382113821138223</v>
      </c>
      <c r="I39" s="131">
        <v>2.74</v>
      </c>
      <c r="J39" s="267">
        <f t="shared" si="39"/>
        <v>11.382113821138223</v>
      </c>
      <c r="K39" s="280">
        <v>0.4375</v>
      </c>
      <c r="L39" s="258">
        <v>1.85</v>
      </c>
      <c r="M39" s="331">
        <f t="shared" si="36"/>
        <v>24.796747967479671</v>
      </c>
      <c r="N39" s="281">
        <v>16000000</v>
      </c>
      <c r="O39" s="258" t="s">
        <v>167</v>
      </c>
      <c r="P39" s="146">
        <f t="shared" si="37"/>
        <v>137.07018721563361</v>
      </c>
      <c r="Q39" s="124"/>
    </row>
    <row r="40" spans="1:17" x14ac:dyDescent="0.25">
      <c r="A40" s="124" t="s">
        <v>270</v>
      </c>
      <c r="B40" s="261">
        <v>44144</v>
      </c>
      <c r="C40" s="124">
        <v>2.4900000000000002</v>
      </c>
      <c r="D40" s="124">
        <v>4.3099999999999996</v>
      </c>
      <c r="E40" s="317">
        <f t="shared" si="30"/>
        <v>73.092369477911618</v>
      </c>
      <c r="F40" s="137">
        <v>133000000</v>
      </c>
      <c r="G40" s="131">
        <v>4.38</v>
      </c>
      <c r="H40" s="317">
        <f t="shared" si="38"/>
        <v>1.6241299303944383</v>
      </c>
      <c r="I40" s="131">
        <v>4.4000000000000004</v>
      </c>
      <c r="J40" s="317">
        <f t="shared" si="39"/>
        <v>2.0881670533642867</v>
      </c>
      <c r="K40" s="280">
        <v>0.3979166666666667</v>
      </c>
      <c r="L40" s="124">
        <v>3.77</v>
      </c>
      <c r="M40" s="331">
        <f t="shared" si="36"/>
        <v>12.529002320185606</v>
      </c>
      <c r="N40" s="137">
        <v>35000000</v>
      </c>
      <c r="O40" s="124" t="s">
        <v>167</v>
      </c>
      <c r="P40" s="146">
        <f>E40+J40</f>
        <v>75.180536531275905</v>
      </c>
      <c r="Q40" s="124"/>
    </row>
    <row r="41" spans="1:17" s="141" customFormat="1" x14ac:dyDescent="0.25">
      <c r="A41" s="138" t="s">
        <v>765</v>
      </c>
      <c r="B41" s="143">
        <v>44145</v>
      </c>
      <c r="C41" s="138">
        <v>2.13</v>
      </c>
      <c r="D41" s="138">
        <v>3.02</v>
      </c>
      <c r="E41" s="267">
        <f t="shared" si="30"/>
        <v>41.784037558685455</v>
      </c>
      <c r="F41" s="256">
        <v>132000000</v>
      </c>
      <c r="G41" s="144">
        <v>3.14</v>
      </c>
      <c r="H41" s="267">
        <f t="shared" si="38"/>
        <v>3.9735099337748379</v>
      </c>
      <c r="I41" s="144">
        <v>3.89</v>
      </c>
      <c r="J41" s="267">
        <f t="shared" si="39"/>
        <v>28.807947019867552</v>
      </c>
      <c r="K41" s="265">
        <v>0.49305555555555558</v>
      </c>
      <c r="L41" s="138">
        <v>3.64</v>
      </c>
      <c r="M41" s="269">
        <f t="shared" si="36"/>
        <v>-20.529801324503314</v>
      </c>
      <c r="N41" s="256">
        <v>5000000</v>
      </c>
      <c r="O41" s="138" t="s">
        <v>167</v>
      </c>
      <c r="P41" s="417">
        <f>E41+J41</f>
        <v>70.59198457855301</v>
      </c>
      <c r="Q41" s="138"/>
    </row>
    <row r="42" spans="1:17" x14ac:dyDescent="0.25">
      <c r="A42" s="124" t="s">
        <v>843</v>
      </c>
      <c r="B42" s="261">
        <v>44138</v>
      </c>
      <c r="C42" s="124">
        <v>1.23</v>
      </c>
      <c r="D42" s="124">
        <v>1.89</v>
      </c>
      <c r="E42" s="317">
        <f t="shared" si="30"/>
        <v>53.658536585365844</v>
      </c>
      <c r="F42" s="137">
        <v>128000000</v>
      </c>
      <c r="G42" s="131">
        <v>2.0299999999999998</v>
      </c>
      <c r="H42" s="317">
        <f t="shared" si="38"/>
        <v>7.407407407407403</v>
      </c>
      <c r="I42" s="131">
        <v>2.02</v>
      </c>
      <c r="J42" s="317">
        <f t="shared" si="39"/>
        <v>6.8783068783068853</v>
      </c>
      <c r="K42" s="280">
        <v>0.3979166666666667</v>
      </c>
      <c r="L42" s="124">
        <v>1.69</v>
      </c>
      <c r="M42" s="331">
        <f t="shared" si="36"/>
        <v>10.582010582010581</v>
      </c>
      <c r="N42" s="137">
        <v>7000000</v>
      </c>
      <c r="O42" s="124" t="s">
        <v>216</v>
      </c>
      <c r="P42" s="146">
        <f>E42+J42</f>
        <v>60.536843463672732</v>
      </c>
      <c r="Q42" s="124"/>
    </row>
    <row r="43" spans="1:17" x14ac:dyDescent="0.25">
      <c r="A43" s="124" t="s">
        <v>172</v>
      </c>
      <c r="B43" s="261">
        <v>44169</v>
      </c>
      <c r="C43" s="124">
        <v>3.57</v>
      </c>
      <c r="D43" s="124">
        <v>5.03</v>
      </c>
      <c r="E43" s="317">
        <f t="shared" si="30"/>
        <v>40.896358543417385</v>
      </c>
      <c r="F43" s="137">
        <v>123000000</v>
      </c>
      <c r="G43" s="131">
        <v>5.14</v>
      </c>
      <c r="H43" s="317">
        <f t="shared" si="38"/>
        <v>2.1868787276341837</v>
      </c>
      <c r="I43" s="131">
        <v>6.16</v>
      </c>
      <c r="J43" s="317">
        <f t="shared" si="39"/>
        <v>22.465208747514907</v>
      </c>
      <c r="K43" s="280">
        <v>0.57291666666666663</v>
      </c>
      <c r="L43" s="124">
        <v>4.37</v>
      </c>
      <c r="M43" s="331">
        <f t="shared" si="36"/>
        <v>13.12127236580517</v>
      </c>
      <c r="N43" s="137">
        <v>2000000</v>
      </c>
      <c r="O43" s="124" t="s">
        <v>190</v>
      </c>
      <c r="P43" s="146">
        <f t="shared" ref="P43:P44" si="40">E43+J43</f>
        <v>63.361567290932292</v>
      </c>
      <c r="Q43" s="124"/>
    </row>
    <row r="44" spans="1:17" x14ac:dyDescent="0.25">
      <c r="A44" s="124" t="s">
        <v>887</v>
      </c>
      <c r="B44" s="261">
        <v>44169</v>
      </c>
      <c r="C44" s="124">
        <v>1.76</v>
      </c>
      <c r="D44" s="124">
        <v>4.03</v>
      </c>
      <c r="E44" s="317">
        <f t="shared" si="30"/>
        <v>128.97727272727275</v>
      </c>
      <c r="F44" s="137">
        <v>122000000</v>
      </c>
      <c r="G44" s="131">
        <v>4.37</v>
      </c>
      <c r="H44" s="317">
        <f>(G44-D44)/D44*100</f>
        <v>8.4367245657568208</v>
      </c>
      <c r="I44" s="131">
        <v>5.4</v>
      </c>
      <c r="J44" s="317">
        <f t="shared" si="39"/>
        <v>33.99503722084367</v>
      </c>
      <c r="K44" s="280">
        <v>0.42708333333333331</v>
      </c>
      <c r="L44" s="124">
        <v>2.6</v>
      </c>
      <c r="M44" s="331">
        <f t="shared" si="36"/>
        <v>35.483870967741936</v>
      </c>
      <c r="N44" s="137">
        <v>6000000</v>
      </c>
      <c r="O44" s="124" t="s">
        <v>167</v>
      </c>
      <c r="P44" s="146">
        <f t="shared" si="40"/>
        <v>162.97230994811642</v>
      </c>
      <c r="Q44" s="124"/>
    </row>
    <row r="45" spans="1:17" x14ac:dyDescent="0.25">
      <c r="A45" s="376" t="s">
        <v>829</v>
      </c>
      <c r="B45" s="261">
        <v>44130</v>
      </c>
      <c r="C45" s="124">
        <v>4.03</v>
      </c>
      <c r="D45" s="124">
        <v>5.44</v>
      </c>
      <c r="E45" s="317">
        <f t="shared" si="30"/>
        <v>34.987593052109183</v>
      </c>
      <c r="F45" s="137">
        <v>119000000</v>
      </c>
      <c r="G45" s="319">
        <v>5.74</v>
      </c>
      <c r="H45" s="317">
        <f t="shared" si="38"/>
        <v>5.5147058823529376</v>
      </c>
      <c r="I45" s="131">
        <v>7.62</v>
      </c>
      <c r="J45" s="317">
        <f t="shared" si="39"/>
        <v>40.073529411764696</v>
      </c>
      <c r="K45" s="280">
        <v>0.65069444444444446</v>
      </c>
      <c r="L45" s="367">
        <v>7.6</v>
      </c>
      <c r="M45" s="387">
        <f t="shared" si="36"/>
        <v>-39.70588235294116</v>
      </c>
      <c r="N45" s="137">
        <v>4000000</v>
      </c>
      <c r="O45" s="124" t="s">
        <v>216</v>
      </c>
      <c r="P45" s="146">
        <f>E45+J45</f>
        <v>75.061122463873886</v>
      </c>
      <c r="Q45" s="124"/>
    </row>
    <row r="46" spans="1:17" x14ac:dyDescent="0.25">
      <c r="A46" s="376" t="s">
        <v>209</v>
      </c>
      <c r="B46" s="261">
        <v>44050</v>
      </c>
      <c r="C46" s="131">
        <v>2.2599999999999998</v>
      </c>
      <c r="D46" s="138">
        <v>3.85</v>
      </c>
      <c r="E46" s="392">
        <f t="shared" si="30"/>
        <v>70.353982300884979</v>
      </c>
      <c r="F46" s="137">
        <v>117000000</v>
      </c>
      <c r="G46" s="131">
        <v>3.85</v>
      </c>
      <c r="H46" s="267">
        <f t="shared" si="38"/>
        <v>0</v>
      </c>
      <c r="I46" s="131">
        <v>4.6399999999999997</v>
      </c>
      <c r="J46" s="267">
        <f t="shared" si="39"/>
        <v>20.51948051948051</v>
      </c>
      <c r="K46" s="280">
        <v>0.42708333333333331</v>
      </c>
      <c r="L46" s="391">
        <v>4.13</v>
      </c>
      <c r="M46" s="387">
        <f t="shared" si="36"/>
        <v>-7.2727272727272672</v>
      </c>
      <c r="N46" s="281">
        <v>5000000</v>
      </c>
      <c r="O46" s="124" t="s">
        <v>167</v>
      </c>
      <c r="P46" s="146">
        <f>E46+J46</f>
        <v>90.873462820365489</v>
      </c>
      <c r="Q46" s="124"/>
    </row>
    <row r="47" spans="1:17" x14ac:dyDescent="0.25">
      <c r="A47" s="124" t="s">
        <v>859</v>
      </c>
      <c r="B47" s="261">
        <v>44151</v>
      </c>
      <c r="C47" s="124">
        <v>1.1599999999999999</v>
      </c>
      <c r="D47" s="124">
        <v>2.91</v>
      </c>
      <c r="E47" s="317">
        <f t="shared" si="30"/>
        <v>150.8620689655173</v>
      </c>
      <c r="F47" s="137">
        <v>115000000</v>
      </c>
      <c r="G47" s="131">
        <v>3.58</v>
      </c>
      <c r="H47" s="317">
        <f t="shared" si="38"/>
        <v>23.024054982817866</v>
      </c>
      <c r="I47" s="131">
        <v>3.58</v>
      </c>
      <c r="J47" s="317">
        <f t="shared" si="39"/>
        <v>23.024054982817866</v>
      </c>
      <c r="K47" s="280">
        <v>0.40416666666666662</v>
      </c>
      <c r="L47" s="124">
        <v>2.84</v>
      </c>
      <c r="M47" s="331">
        <f t="shared" si="36"/>
        <v>2.4054982817869512</v>
      </c>
      <c r="N47" s="137">
        <v>11000000</v>
      </c>
      <c r="O47" s="124" t="s">
        <v>167</v>
      </c>
      <c r="P47" s="146">
        <f t="shared" si="37"/>
        <v>173.88612394833515</v>
      </c>
      <c r="Q47" s="124"/>
    </row>
    <row r="48" spans="1:17" x14ac:dyDescent="0.25">
      <c r="A48" s="389" t="s">
        <v>210</v>
      </c>
      <c r="B48" s="261">
        <v>44116</v>
      </c>
      <c r="C48" s="124">
        <v>2.68</v>
      </c>
      <c r="D48" s="124">
        <v>3.93</v>
      </c>
      <c r="E48" s="392">
        <f t="shared" si="30"/>
        <v>46.641791044776113</v>
      </c>
      <c r="F48" s="137">
        <v>111000000</v>
      </c>
      <c r="G48" s="131">
        <v>3.94</v>
      </c>
      <c r="H48" s="267">
        <f t="shared" si="38"/>
        <v>0.25445292620864596</v>
      </c>
      <c r="I48" s="131">
        <v>4.7</v>
      </c>
      <c r="J48" s="267">
        <f t="shared" si="39"/>
        <v>19.592875318066159</v>
      </c>
      <c r="K48" s="280">
        <v>4.74</v>
      </c>
      <c r="L48" s="367">
        <v>3.14</v>
      </c>
      <c r="M48" s="331">
        <f t="shared" si="36"/>
        <v>20.101781170483459</v>
      </c>
      <c r="N48" s="137">
        <v>20000000</v>
      </c>
      <c r="O48" s="124" t="s">
        <v>167</v>
      </c>
      <c r="P48" s="146">
        <f t="shared" si="37"/>
        <v>66.234666362842276</v>
      </c>
      <c r="Q48" s="124"/>
    </row>
    <row r="49" spans="1:17" x14ac:dyDescent="0.25">
      <c r="A49" s="289" t="s">
        <v>211</v>
      </c>
      <c r="B49" s="261">
        <v>44113</v>
      </c>
      <c r="C49" s="131">
        <v>10.43</v>
      </c>
      <c r="D49" s="124">
        <v>15.78</v>
      </c>
      <c r="E49" s="392">
        <f t="shared" si="30"/>
        <v>51.294343240651962</v>
      </c>
      <c r="F49" s="137">
        <v>111000000</v>
      </c>
      <c r="G49" s="131">
        <v>17.899999999999999</v>
      </c>
      <c r="H49" s="267">
        <f t="shared" si="38"/>
        <v>13.434727503168563</v>
      </c>
      <c r="I49" s="131">
        <v>24.24</v>
      </c>
      <c r="J49" s="267">
        <f t="shared" si="39"/>
        <v>53.612167300380221</v>
      </c>
      <c r="K49" s="280">
        <v>0.50277777777777777</v>
      </c>
      <c r="L49" s="258">
        <v>16.22</v>
      </c>
      <c r="M49" s="387">
        <f t="shared" si="36"/>
        <v>-2.7883396704689449</v>
      </c>
      <c r="N49" s="281">
        <v>2000000</v>
      </c>
      <c r="O49" s="258" t="s">
        <v>170</v>
      </c>
      <c r="P49" s="146">
        <f t="shared" si="37"/>
        <v>104.90651054103219</v>
      </c>
      <c r="Q49" s="124"/>
    </row>
    <row r="50" spans="1:17" x14ac:dyDescent="0.25">
      <c r="A50" s="124" t="s">
        <v>751</v>
      </c>
      <c r="B50" s="261">
        <v>44124</v>
      </c>
      <c r="C50" s="124">
        <v>0.69</v>
      </c>
      <c r="D50" s="124">
        <v>1.22</v>
      </c>
      <c r="E50" s="392">
        <f t="shared" si="30"/>
        <v>76.811594202898561</v>
      </c>
      <c r="F50" s="137">
        <v>110000000</v>
      </c>
      <c r="G50" s="131">
        <v>1.37</v>
      </c>
      <c r="H50" s="267">
        <f t="shared" si="38"/>
        <v>12.295081967213125</v>
      </c>
      <c r="I50" s="131">
        <v>1.64</v>
      </c>
      <c r="J50" s="267">
        <f t="shared" si="39"/>
        <v>34.426229508196712</v>
      </c>
      <c r="K50" s="280">
        <v>0.40277777777777773</v>
      </c>
      <c r="L50" s="124">
        <v>0.96</v>
      </c>
      <c r="M50" s="331">
        <f t="shared" si="36"/>
        <v>21.311475409836067</v>
      </c>
      <c r="N50" s="137">
        <v>30000000</v>
      </c>
      <c r="O50" s="124" t="s">
        <v>167</v>
      </c>
      <c r="P50" s="146">
        <f t="shared" si="37"/>
        <v>111.23782371109527</v>
      </c>
      <c r="Q50" s="124"/>
    </row>
    <row r="51" spans="1:17" x14ac:dyDescent="0.25">
      <c r="A51" s="124" t="s">
        <v>213</v>
      </c>
      <c r="B51" s="261">
        <v>44053</v>
      </c>
      <c r="C51" s="131">
        <v>2.36</v>
      </c>
      <c r="D51" s="124">
        <v>3.58</v>
      </c>
      <c r="E51" s="392">
        <f t="shared" si="30"/>
        <v>51.694915254237294</v>
      </c>
      <c r="F51" s="137">
        <v>108000000</v>
      </c>
      <c r="G51" s="131">
        <v>3.67</v>
      </c>
      <c r="H51" s="267">
        <f t="shared" si="38"/>
        <v>2.5139664804469235</v>
      </c>
      <c r="I51" s="131">
        <v>3.67</v>
      </c>
      <c r="J51" s="267">
        <f t="shared" si="39"/>
        <v>2.5139664804469235</v>
      </c>
      <c r="K51" s="280">
        <v>0.39861111111111108</v>
      </c>
      <c r="L51" s="124">
        <v>3.1</v>
      </c>
      <c r="M51" s="331">
        <f t="shared" si="36"/>
        <v>13.407821229050279</v>
      </c>
      <c r="N51" s="281">
        <v>140000000</v>
      </c>
      <c r="O51" s="124" t="s">
        <v>170</v>
      </c>
      <c r="P51" s="146">
        <f t="shared" si="37"/>
        <v>54.208881734684219</v>
      </c>
      <c r="Q51" s="124"/>
    </row>
    <row r="52" spans="1:17" x14ac:dyDescent="0.25">
      <c r="A52" s="124" t="s">
        <v>821</v>
      </c>
      <c r="B52" s="261">
        <v>44167</v>
      </c>
      <c r="C52" s="124">
        <v>2.1</v>
      </c>
      <c r="D52" s="124">
        <v>5.75</v>
      </c>
      <c r="E52" s="317">
        <f t="shared" si="30"/>
        <v>173.8095238095238</v>
      </c>
      <c r="F52" s="137">
        <v>108000000</v>
      </c>
      <c r="G52" s="131">
        <v>6.36</v>
      </c>
      <c r="H52" s="317">
        <f t="shared" si="38"/>
        <v>10.608695652173919</v>
      </c>
      <c r="I52" s="131">
        <v>8.3000000000000007</v>
      </c>
      <c r="J52" s="317">
        <f t="shared" si="39"/>
        <v>44.34782608695653</v>
      </c>
      <c r="K52" s="280">
        <v>0.4826388888888889</v>
      </c>
      <c r="L52" s="124">
        <v>5.29</v>
      </c>
      <c r="M52" s="331">
        <f t="shared" si="36"/>
        <v>7.9999999999999991</v>
      </c>
      <c r="N52" s="137">
        <v>4000000</v>
      </c>
      <c r="O52" s="124" t="s">
        <v>167</v>
      </c>
      <c r="P52" s="146">
        <f t="shared" si="37"/>
        <v>218.15734989648033</v>
      </c>
      <c r="Q52" s="124"/>
    </row>
    <row r="53" spans="1:17" x14ac:dyDescent="0.25">
      <c r="A53" s="289" t="s">
        <v>211</v>
      </c>
      <c r="B53" s="259">
        <v>44113</v>
      </c>
      <c r="C53" s="282">
        <v>10.43</v>
      </c>
      <c r="D53" s="258">
        <v>15.78</v>
      </c>
      <c r="E53" s="392">
        <f t="shared" si="30"/>
        <v>51.294343240651962</v>
      </c>
      <c r="F53" s="281">
        <v>111000000</v>
      </c>
      <c r="G53" s="282">
        <v>17.899999999999999</v>
      </c>
      <c r="H53" s="267">
        <f t="shared" ref="H53:H59" si="41">(G53-D53)/D53*100</f>
        <v>13.434727503168563</v>
      </c>
      <c r="I53" s="282">
        <v>24.24</v>
      </c>
      <c r="J53" s="267">
        <f t="shared" ref="J53:J59" si="42">(I53-D53)/D53*100</f>
        <v>53.612167300380221</v>
      </c>
      <c r="K53" s="283">
        <v>0.50277777777777777</v>
      </c>
      <c r="L53" s="258">
        <v>16.22</v>
      </c>
      <c r="M53" s="387">
        <f t="shared" si="36"/>
        <v>-2.7883396704689449</v>
      </c>
      <c r="N53" s="281">
        <v>2000000</v>
      </c>
      <c r="O53" s="258" t="s">
        <v>170</v>
      </c>
      <c r="P53" s="146">
        <f t="shared" si="37"/>
        <v>104.90651054103219</v>
      </c>
      <c r="Q53" s="124"/>
    </row>
    <row r="54" spans="1:17" s="339" customFormat="1" x14ac:dyDescent="0.25">
      <c r="A54" s="332" t="s">
        <v>215</v>
      </c>
      <c r="B54" s="333">
        <v>44042</v>
      </c>
      <c r="C54" s="332">
        <v>2.16</v>
      </c>
      <c r="D54" s="332">
        <v>4</v>
      </c>
      <c r="E54" s="394">
        <f t="shared" si="30"/>
        <v>85.185185185185176</v>
      </c>
      <c r="F54" s="335">
        <v>110000000</v>
      </c>
      <c r="G54" s="334">
        <v>4.16</v>
      </c>
      <c r="H54" s="336">
        <f t="shared" si="41"/>
        <v>4.0000000000000036</v>
      </c>
      <c r="I54" s="334">
        <v>15</v>
      </c>
      <c r="J54" s="336">
        <f>(I54-D54)/D54*100</f>
        <v>275</v>
      </c>
      <c r="K54" s="337">
        <v>0.47916666666666669</v>
      </c>
      <c r="L54" s="332">
        <v>8.84</v>
      </c>
      <c r="M54" s="346">
        <f t="shared" si="36"/>
        <v>-121</v>
      </c>
      <c r="N54" s="335">
        <v>4200000</v>
      </c>
      <c r="O54" s="332" t="s">
        <v>216</v>
      </c>
      <c r="P54" s="338">
        <f t="shared" si="37"/>
        <v>360.18518518518516</v>
      </c>
      <c r="Q54" s="332" t="s">
        <v>832</v>
      </c>
    </row>
    <row r="55" spans="1:17" x14ac:dyDescent="0.25">
      <c r="A55" s="260" t="s">
        <v>217</v>
      </c>
      <c r="B55" s="261">
        <v>44047</v>
      </c>
      <c r="C55" s="124">
        <v>1.37</v>
      </c>
      <c r="D55" s="124">
        <v>3.83</v>
      </c>
      <c r="E55" s="392">
        <f t="shared" si="30"/>
        <v>179.56204379562041</v>
      </c>
      <c r="F55" s="137">
        <v>110000000</v>
      </c>
      <c r="G55" s="131">
        <v>3.83</v>
      </c>
      <c r="H55" s="267">
        <f t="shared" si="41"/>
        <v>0</v>
      </c>
      <c r="I55" s="131">
        <v>5.14</v>
      </c>
      <c r="J55" s="267">
        <f t="shared" si="42"/>
        <v>34.203655352480403</v>
      </c>
      <c r="K55" s="280">
        <v>0.44166666666666665</v>
      </c>
      <c r="L55" s="124">
        <v>3.42</v>
      </c>
      <c r="M55" s="331">
        <f t="shared" si="36"/>
        <v>10.704960835509143</v>
      </c>
      <c r="N55" s="137">
        <v>9000000</v>
      </c>
      <c r="O55" s="124" t="s">
        <v>170</v>
      </c>
      <c r="P55" s="146">
        <f t="shared" si="37"/>
        <v>213.76569914810082</v>
      </c>
      <c r="Q55" s="124"/>
    </row>
    <row r="56" spans="1:17" x14ac:dyDescent="0.25">
      <c r="A56" s="124" t="s">
        <v>134</v>
      </c>
      <c r="B56" s="261">
        <v>44176</v>
      </c>
      <c r="C56" s="131">
        <v>2.1800000000000002</v>
      </c>
      <c r="D56" s="124">
        <v>4.1100000000000003</v>
      </c>
      <c r="E56" s="317">
        <f t="shared" si="30"/>
        <v>88.532110091743121</v>
      </c>
      <c r="F56" s="137">
        <v>109000000</v>
      </c>
      <c r="G56" s="131">
        <v>4.34</v>
      </c>
      <c r="H56" s="317">
        <f t="shared" si="41"/>
        <v>5.5961070559610588</v>
      </c>
      <c r="I56" s="131">
        <v>4.76</v>
      </c>
      <c r="J56" s="317">
        <f t="shared" si="42"/>
        <v>15.815085158150838</v>
      </c>
      <c r="K56" s="280">
        <v>0.41666666666666669</v>
      </c>
      <c r="L56" s="124">
        <v>3.11</v>
      </c>
      <c r="M56" s="331">
        <f t="shared" si="36"/>
        <v>24.33090024330901</v>
      </c>
      <c r="N56" s="137">
        <v>13000000</v>
      </c>
      <c r="O56" s="124" t="s">
        <v>170</v>
      </c>
      <c r="P56" s="146">
        <f t="shared" si="37"/>
        <v>104.34719524989396</v>
      </c>
      <c r="Q56" s="124"/>
    </row>
    <row r="57" spans="1:17" x14ac:dyDescent="0.25">
      <c r="A57" s="254" t="s">
        <v>218</v>
      </c>
      <c r="B57" s="255">
        <v>44104</v>
      </c>
      <c r="C57" s="254">
        <v>1.04</v>
      </c>
      <c r="D57" s="254">
        <v>2.3199999999999998</v>
      </c>
      <c r="E57" s="392">
        <f t="shared" si="30"/>
        <v>123.07692307692307</v>
      </c>
      <c r="F57" s="257">
        <v>107000000</v>
      </c>
      <c r="G57" s="253">
        <v>2.57</v>
      </c>
      <c r="H57" s="267">
        <f t="shared" si="41"/>
        <v>10.775862068965518</v>
      </c>
      <c r="I57" s="144">
        <v>2.63</v>
      </c>
      <c r="J57" s="267">
        <f t="shared" si="42"/>
        <v>13.362068965517246</v>
      </c>
      <c r="K57" s="265">
        <v>0.41805555555555557</v>
      </c>
      <c r="L57" s="254">
        <v>2.14</v>
      </c>
      <c r="M57" s="331">
        <f t="shared" si="36"/>
        <v>7.7586206896551602</v>
      </c>
      <c r="N57" s="257">
        <v>33000000</v>
      </c>
      <c r="O57" s="124" t="s">
        <v>170</v>
      </c>
      <c r="P57" s="146">
        <f t="shared" si="37"/>
        <v>136.4389920424403</v>
      </c>
      <c r="Q57" s="124"/>
    </row>
    <row r="58" spans="1:17" x14ac:dyDescent="0.25">
      <c r="A58" s="260" t="s">
        <v>219</v>
      </c>
      <c r="B58" s="261">
        <v>44063</v>
      </c>
      <c r="C58" s="124">
        <v>2.09</v>
      </c>
      <c r="D58" s="124">
        <v>3.54</v>
      </c>
      <c r="E58" s="392">
        <f t="shared" si="30"/>
        <v>69.37799043062202</v>
      </c>
      <c r="F58" s="137">
        <v>103000000</v>
      </c>
      <c r="G58" s="131">
        <v>3.55</v>
      </c>
      <c r="H58" s="267">
        <f t="shared" si="41"/>
        <v>0.28248587570620864</v>
      </c>
      <c r="I58" s="131">
        <v>3.55</v>
      </c>
      <c r="J58" s="267">
        <f t="shared" si="42"/>
        <v>0.28248587570620864</v>
      </c>
      <c r="K58" s="280">
        <v>0.39583333333333331</v>
      </c>
      <c r="L58" s="124">
        <v>2.65</v>
      </c>
      <c r="M58" s="331">
        <f t="shared" si="36"/>
        <v>25.141242937853107</v>
      </c>
      <c r="N58" s="137">
        <v>18000000</v>
      </c>
      <c r="O58" s="124" t="s">
        <v>190</v>
      </c>
      <c r="P58" s="146">
        <f t="shared" si="37"/>
        <v>69.660476306328235</v>
      </c>
      <c r="Q58" s="124"/>
    </row>
    <row r="59" spans="1:17" x14ac:dyDescent="0.25">
      <c r="A59" s="124" t="s">
        <v>862</v>
      </c>
      <c r="B59" s="261">
        <v>44121</v>
      </c>
      <c r="C59" s="124">
        <v>1.29</v>
      </c>
      <c r="D59" s="124">
        <v>2.25</v>
      </c>
      <c r="E59" s="317">
        <f t="shared" si="30"/>
        <v>74.418604651162795</v>
      </c>
      <c r="F59" s="137">
        <v>102000000</v>
      </c>
      <c r="G59" s="131">
        <v>2.3199999999999998</v>
      </c>
      <c r="H59" s="317">
        <f t="shared" si="41"/>
        <v>3.1111111111111041</v>
      </c>
      <c r="I59" s="131">
        <v>2.38</v>
      </c>
      <c r="J59" s="317">
        <f t="shared" si="42"/>
        <v>5.7777777777777732</v>
      </c>
      <c r="K59" s="280">
        <v>0.42638888888888887</v>
      </c>
      <c r="L59" s="124">
        <v>1.81</v>
      </c>
      <c r="M59" s="331">
        <f t="shared" si="36"/>
        <v>19.555555555555554</v>
      </c>
      <c r="N59" s="137">
        <v>500000000</v>
      </c>
      <c r="O59" s="124" t="s">
        <v>167</v>
      </c>
      <c r="P59" s="146">
        <f t="shared" si="37"/>
        <v>80.196382428940566</v>
      </c>
      <c r="Q59" s="124"/>
    </row>
    <row r="60" spans="1:17" s="141" customFormat="1" ht="21" x14ac:dyDescent="0.25">
      <c r="A60" s="274" t="s">
        <v>875</v>
      </c>
      <c r="B60" s="274">
        <f t="shared" ref="B60" si="43">(B33+B34+B36+B38+B39+B45+B46+B48+B49+B50+B51+B53+B54+B57+B55+B58+B42+B40+B41+B47+B59+B35+B43+B44+B52+B37)/26</f>
        <v>44114.461538461539</v>
      </c>
      <c r="C60" s="274">
        <f t="shared" ref="C60:I60" si="44">(C33+C34+C36+C38+C39+C45+C46+C48+C49+C50+C51+C53+C54+C57+C55+C58+C42+C40+C41+C47+C59+C35+C43+C44+C52+C37+C56)/27</f>
        <v>2.8014814814814817</v>
      </c>
      <c r="D60" s="274">
        <f t="shared" si="44"/>
        <v>4.7251851851851843</v>
      </c>
      <c r="E60" s="274">
        <f t="shared" si="44"/>
        <v>83.322023313903614</v>
      </c>
      <c r="F60" s="274">
        <f t="shared" si="44"/>
        <v>121111111.1111111</v>
      </c>
      <c r="G60" s="274">
        <f t="shared" si="44"/>
        <v>5.115555555555555</v>
      </c>
      <c r="H60" s="274">
        <f t="shared" si="44"/>
        <v>7.7917956797451264</v>
      </c>
      <c r="I60" s="274">
        <f t="shared" si="44"/>
        <v>6.4918518518518518</v>
      </c>
      <c r="J60" s="274">
        <f>(J33+J34+J36+J38+J39+J45+J46+J48+J49+J50+J51+J53+J54+J57+J55+J58+J42+J40+J41+J47+J59+J35+J43+J44+J52+J37+J56)/27</f>
        <v>34.320735162373417</v>
      </c>
      <c r="K60" s="274">
        <f t="shared" ref="K60:P60" si="45">(K33+K34+K36+K38+K39+K45+K46+K48+K49+K50+K51+K53+K54+K57+K55+K58+K42+K40+K41+K47+K59+K35+K43+K44+K52+K37+K56)/27</f>
        <v>0.60948045267489726</v>
      </c>
      <c r="L60" s="274">
        <f t="shared" si="45"/>
        <v>4.6440740740740747</v>
      </c>
      <c r="M60" s="274">
        <f t="shared" si="45"/>
        <v>3.8450234236356136</v>
      </c>
      <c r="N60" s="274">
        <f t="shared" si="45"/>
        <v>33911111.111111112</v>
      </c>
      <c r="O60" s="274" t="e">
        <f t="shared" si="45"/>
        <v>#VALUE!</v>
      </c>
      <c r="P60" s="274">
        <f t="shared" si="45"/>
        <v>117.64275847627705</v>
      </c>
      <c r="Q60" s="411">
        <f>(8/27)*100</f>
        <v>29.629629629629626</v>
      </c>
    </row>
    <row r="61" spans="1:17" ht="21" x14ac:dyDescent="0.25">
      <c r="A61" s="139" t="s">
        <v>108</v>
      </c>
      <c r="B61" s="139" t="s">
        <v>107</v>
      </c>
      <c r="C61" s="139" t="s">
        <v>152</v>
      </c>
      <c r="D61" s="139" t="s">
        <v>153</v>
      </c>
      <c r="E61" s="139" t="s">
        <v>154</v>
      </c>
      <c r="F61" s="139" t="s">
        <v>155</v>
      </c>
      <c r="G61" s="263" t="s">
        <v>156</v>
      </c>
      <c r="H61" s="263" t="s">
        <v>157</v>
      </c>
      <c r="I61" s="263" t="s">
        <v>158</v>
      </c>
      <c r="J61" s="263" t="s">
        <v>159</v>
      </c>
      <c r="K61" s="263" t="s">
        <v>160</v>
      </c>
      <c r="L61" s="139" t="s">
        <v>161</v>
      </c>
      <c r="M61" s="139" t="s">
        <v>162</v>
      </c>
      <c r="N61" s="291" t="s">
        <v>163</v>
      </c>
      <c r="O61" s="285" t="s">
        <v>164</v>
      </c>
      <c r="P61" s="285" t="s">
        <v>174</v>
      </c>
      <c r="Q61" s="124"/>
    </row>
    <row r="62" spans="1:17" s="306" customFormat="1" x14ac:dyDescent="0.25">
      <c r="A62" s="307" t="s">
        <v>223</v>
      </c>
      <c r="B62" s="308">
        <v>44019</v>
      </c>
      <c r="C62" s="201">
        <v>2.76</v>
      </c>
      <c r="D62" s="307">
        <v>5.0199999999999996</v>
      </c>
      <c r="E62" s="393">
        <f t="shared" ref="E62:E74" si="46">(D62-C62)/C62*100</f>
        <v>81.884057971014485</v>
      </c>
      <c r="F62" s="202">
        <v>97000000</v>
      </c>
      <c r="G62" s="201">
        <v>5.6</v>
      </c>
      <c r="H62" s="312">
        <f t="shared" ref="H62" si="47">(G62-D62)/D62*100</f>
        <v>11.553784860557771</v>
      </c>
      <c r="I62" s="201">
        <v>6.9</v>
      </c>
      <c r="J62" s="312">
        <f t="shared" ref="J62" si="48">(I62-D62)/D62*100</f>
        <v>37.450199203187267</v>
      </c>
      <c r="K62" s="314">
        <v>0.45833333333333331</v>
      </c>
      <c r="L62" s="307">
        <v>4.97</v>
      </c>
      <c r="M62" s="311">
        <f>(D62-L62)/D62*100</f>
        <v>0.99601593625497664</v>
      </c>
      <c r="N62" s="202">
        <v>5000000</v>
      </c>
      <c r="O62" s="307" t="s">
        <v>167</v>
      </c>
      <c r="P62" s="316">
        <f t="shared" ref="P62:P74" si="49">E62+J62</f>
        <v>119.33425717420175</v>
      </c>
      <c r="Q62" s="307"/>
    </row>
    <row r="63" spans="1:17" s="339" customFormat="1" x14ac:dyDescent="0.25">
      <c r="A63" s="332" t="s">
        <v>224</v>
      </c>
      <c r="B63" s="333">
        <v>43899</v>
      </c>
      <c r="C63" s="334">
        <v>2.13</v>
      </c>
      <c r="D63" s="332">
        <v>3.52</v>
      </c>
      <c r="E63" s="394">
        <f t="shared" si="46"/>
        <v>65.258215962441326</v>
      </c>
      <c r="F63" s="335">
        <v>96000000</v>
      </c>
      <c r="G63" s="334">
        <v>3.52</v>
      </c>
      <c r="H63" s="336">
        <f t="shared" ref="H63:H86" si="50">(G63-D63)/D63*100</f>
        <v>0</v>
      </c>
      <c r="I63" s="334">
        <v>7.08</v>
      </c>
      <c r="J63" s="336">
        <f t="shared" ref="J63:J86" si="51">(I63-D63)/D63*100</f>
        <v>101.13636363636364</v>
      </c>
      <c r="K63" s="337">
        <v>0.10416666666666667</v>
      </c>
      <c r="L63" s="332">
        <v>6.17</v>
      </c>
      <c r="M63" s="366">
        <f t="shared" ref="M63:M74" si="52">(D63-L63)/D63*100</f>
        <v>-75.284090909090907</v>
      </c>
      <c r="N63" s="335">
        <v>38000000</v>
      </c>
      <c r="O63" s="332" t="s">
        <v>167</v>
      </c>
      <c r="P63" s="338">
        <f t="shared" si="49"/>
        <v>166.39457959880497</v>
      </c>
      <c r="Q63" s="332" t="s">
        <v>832</v>
      </c>
    </row>
    <row r="64" spans="1:17" s="339" customFormat="1" x14ac:dyDescent="0.25">
      <c r="A64" s="332" t="s">
        <v>226</v>
      </c>
      <c r="B64" s="333">
        <v>44053</v>
      </c>
      <c r="C64" s="332">
        <v>4.51</v>
      </c>
      <c r="D64" s="332">
        <v>20.14</v>
      </c>
      <c r="E64" s="395">
        <f t="shared" si="46"/>
        <v>346.56319290465632</v>
      </c>
      <c r="F64" s="335">
        <v>96000000</v>
      </c>
      <c r="G64" s="334">
        <v>21.89</v>
      </c>
      <c r="H64" s="336">
        <f t="shared" si="50"/>
        <v>8.6891757696127119</v>
      </c>
      <c r="I64" s="334">
        <v>32.96</v>
      </c>
      <c r="J64" s="336">
        <f t="shared" si="51"/>
        <v>63.65441906653426</v>
      </c>
      <c r="K64" s="337">
        <v>0.4152777777777778</v>
      </c>
      <c r="L64" s="332">
        <v>22.65</v>
      </c>
      <c r="M64" s="366">
        <f t="shared" si="52"/>
        <v>-12.462760675273078</v>
      </c>
      <c r="N64" s="335">
        <v>7000000</v>
      </c>
      <c r="O64" s="332" t="s">
        <v>170</v>
      </c>
      <c r="P64" s="338">
        <f t="shared" si="49"/>
        <v>410.21761197119059</v>
      </c>
      <c r="Q64" s="332" t="s">
        <v>832</v>
      </c>
    </row>
    <row r="65" spans="1:17" s="141" customFormat="1" x14ac:dyDescent="0.25">
      <c r="A65" s="138" t="s">
        <v>847</v>
      </c>
      <c r="B65" s="143">
        <v>44140</v>
      </c>
      <c r="C65" s="138">
        <v>1.92</v>
      </c>
      <c r="D65" s="138">
        <v>2.94</v>
      </c>
      <c r="E65" s="267">
        <f t="shared" si="46"/>
        <v>53.125</v>
      </c>
      <c r="F65" s="256">
        <v>94000000</v>
      </c>
      <c r="G65" s="144">
        <v>3.85</v>
      </c>
      <c r="H65" s="267">
        <f t="shared" si="50"/>
        <v>30.95238095238096</v>
      </c>
      <c r="I65" s="144">
        <v>6.51</v>
      </c>
      <c r="J65" s="267">
        <f t="shared" si="51"/>
        <v>121.42857142857142</v>
      </c>
      <c r="K65" s="265">
        <v>0.43402777777777773</v>
      </c>
      <c r="L65" s="138">
        <v>3.3</v>
      </c>
      <c r="M65" s="269">
        <f t="shared" si="52"/>
        <v>-12.244897959183669</v>
      </c>
      <c r="N65" s="256">
        <v>3000000</v>
      </c>
      <c r="O65" s="138" t="s">
        <v>167</v>
      </c>
      <c r="P65" s="417">
        <f t="shared" si="49"/>
        <v>174.55357142857142</v>
      </c>
      <c r="Q65" s="138"/>
    </row>
    <row r="66" spans="1:17" x14ac:dyDescent="0.25">
      <c r="A66" s="124" t="s">
        <v>882</v>
      </c>
      <c r="B66" s="261">
        <v>44165</v>
      </c>
      <c r="C66" s="124">
        <v>3.86</v>
      </c>
      <c r="D66" s="124">
        <v>7.46</v>
      </c>
      <c r="E66" s="317">
        <f t="shared" si="46"/>
        <v>93.264248704663217</v>
      </c>
      <c r="F66" s="137">
        <v>94000000</v>
      </c>
      <c r="G66" s="131">
        <v>7.69</v>
      </c>
      <c r="H66" s="317">
        <f t="shared" si="50"/>
        <v>3.0831099195710516</v>
      </c>
      <c r="I66" s="131">
        <v>10.95</v>
      </c>
      <c r="J66" s="317">
        <f t="shared" si="51"/>
        <v>46.782841823056295</v>
      </c>
      <c r="K66" s="280">
        <v>0.65208333333333335</v>
      </c>
      <c r="L66" s="124">
        <v>10.47</v>
      </c>
      <c r="M66" s="387">
        <f t="shared" si="52"/>
        <v>-40.348525469168912</v>
      </c>
      <c r="N66" s="137">
        <v>11000000</v>
      </c>
      <c r="O66" s="124" t="s">
        <v>170</v>
      </c>
      <c r="P66" s="316">
        <f t="shared" si="49"/>
        <v>140.04709052771952</v>
      </c>
      <c r="Q66" s="124"/>
    </row>
    <row r="67" spans="1:17" x14ac:dyDescent="0.25">
      <c r="A67" s="124" t="s">
        <v>909</v>
      </c>
      <c r="B67" s="261">
        <v>44180</v>
      </c>
      <c r="C67" s="124">
        <v>1.52</v>
      </c>
      <c r="D67" s="124">
        <v>4.2</v>
      </c>
      <c r="E67" s="317">
        <f t="shared" si="46"/>
        <v>176.31578947368422</v>
      </c>
      <c r="F67" s="137">
        <v>92000000</v>
      </c>
      <c r="G67" s="131">
        <v>4.45</v>
      </c>
      <c r="H67" s="317">
        <f t="shared" si="50"/>
        <v>5.9523809523809517</v>
      </c>
      <c r="I67" s="131">
        <v>5.49</v>
      </c>
      <c r="J67" s="317">
        <f t="shared" si="51"/>
        <v>30.714285714285715</v>
      </c>
      <c r="K67" s="280">
        <v>0.42708333333333331</v>
      </c>
      <c r="L67" s="124">
        <v>2.88</v>
      </c>
      <c r="M67" s="331">
        <f t="shared" si="52"/>
        <v>31.428571428571434</v>
      </c>
      <c r="N67" s="137">
        <v>3000000</v>
      </c>
      <c r="O67" s="124" t="s">
        <v>170</v>
      </c>
      <c r="P67" s="316">
        <f t="shared" si="49"/>
        <v>207.03007518796994</v>
      </c>
    </row>
    <row r="68" spans="1:17" s="306" customFormat="1" x14ac:dyDescent="0.25">
      <c r="A68" s="307" t="s">
        <v>227</v>
      </c>
      <c r="B68" s="308">
        <v>44123</v>
      </c>
      <c r="C68" s="307">
        <v>1.98</v>
      </c>
      <c r="D68" s="307">
        <v>3.73</v>
      </c>
      <c r="E68" s="393">
        <f t="shared" si="46"/>
        <v>88.383838383838381</v>
      </c>
      <c r="F68" s="202">
        <v>91000000</v>
      </c>
      <c r="G68" s="201">
        <v>4.0999999999999996</v>
      </c>
      <c r="H68" s="312">
        <f t="shared" si="50"/>
        <v>9.919571045576399</v>
      </c>
      <c r="I68" s="201">
        <v>4.0999999999999996</v>
      </c>
      <c r="J68" s="312">
        <f t="shared" si="51"/>
        <v>9.919571045576399</v>
      </c>
      <c r="K68" s="314">
        <v>0.3979166666666667</v>
      </c>
      <c r="L68" s="307">
        <v>2.63</v>
      </c>
      <c r="M68" s="311">
        <f t="shared" si="52"/>
        <v>29.490616621983918</v>
      </c>
      <c r="N68" s="202">
        <v>3000000</v>
      </c>
      <c r="O68" s="307" t="s">
        <v>216</v>
      </c>
      <c r="P68" s="316">
        <f t="shared" si="49"/>
        <v>98.303409429414785</v>
      </c>
      <c r="Q68" s="307"/>
    </row>
    <row r="69" spans="1:17" s="306" customFormat="1" x14ac:dyDescent="0.25">
      <c r="A69" s="307" t="s">
        <v>228</v>
      </c>
      <c r="B69" s="308">
        <v>44111</v>
      </c>
      <c r="C69" s="201">
        <v>2.84</v>
      </c>
      <c r="D69" s="307">
        <v>4.6500000000000004</v>
      </c>
      <c r="E69" s="393">
        <f t="shared" si="46"/>
        <v>63.732394366197212</v>
      </c>
      <c r="F69" s="202">
        <v>88000000</v>
      </c>
      <c r="G69" s="201">
        <v>4.84</v>
      </c>
      <c r="H69" s="312">
        <f t="shared" si="50"/>
        <v>4.0860215053763334</v>
      </c>
      <c r="I69" s="201">
        <v>4.84</v>
      </c>
      <c r="J69" s="312">
        <f t="shared" si="51"/>
        <v>4.0860215053763334</v>
      </c>
      <c r="K69" s="314">
        <v>0.39861111111111108</v>
      </c>
      <c r="L69" s="307">
        <v>4.0599999999999996</v>
      </c>
      <c r="M69" s="311">
        <f t="shared" si="52"/>
        <v>12.688172043010768</v>
      </c>
      <c r="N69" s="202">
        <v>15000000</v>
      </c>
      <c r="O69" s="307" t="s">
        <v>190</v>
      </c>
      <c r="P69" s="316">
        <f t="shared" si="49"/>
        <v>67.818415871573549</v>
      </c>
      <c r="Q69" s="307"/>
    </row>
    <row r="70" spans="1:17" s="306" customFormat="1" x14ac:dyDescent="0.25">
      <c r="A70" s="307" t="s">
        <v>229</v>
      </c>
      <c r="B70" s="308">
        <v>44077</v>
      </c>
      <c r="C70" s="307">
        <v>9.9499999999999993</v>
      </c>
      <c r="D70" s="307">
        <v>16.09</v>
      </c>
      <c r="E70" s="396">
        <f>(D70-C70)/C70*100</f>
        <v>61.708542713567851</v>
      </c>
      <c r="F70" s="202">
        <v>87000000</v>
      </c>
      <c r="G70" s="201">
        <v>17.260000000000002</v>
      </c>
      <c r="H70" s="312">
        <f t="shared" si="50"/>
        <v>7.2715972653822361</v>
      </c>
      <c r="I70" s="201">
        <v>18.68</v>
      </c>
      <c r="J70" s="312">
        <f t="shared" si="51"/>
        <v>16.096954630205097</v>
      </c>
      <c r="K70" s="314">
        <v>0.65972222222222221</v>
      </c>
      <c r="L70" s="307">
        <v>18.82</v>
      </c>
      <c r="M70" s="366">
        <f t="shared" si="52"/>
        <v>-16.967060285891861</v>
      </c>
      <c r="N70" s="202">
        <v>20000000</v>
      </c>
      <c r="O70" s="307">
        <v>52</v>
      </c>
      <c r="P70" s="316">
        <f t="shared" si="49"/>
        <v>77.805497343772942</v>
      </c>
      <c r="Q70" s="307"/>
    </row>
    <row r="71" spans="1:17" x14ac:dyDescent="0.25">
      <c r="A71" s="261" t="s">
        <v>850</v>
      </c>
      <c r="B71" s="261">
        <v>44172</v>
      </c>
      <c r="C71" s="124">
        <v>2.68</v>
      </c>
      <c r="D71" s="124">
        <v>3.95</v>
      </c>
      <c r="E71" s="317">
        <f t="shared" ref="E71" si="53">(D71-C71)/C71*100</f>
        <v>47.388059701492537</v>
      </c>
      <c r="F71" s="137">
        <v>85000000</v>
      </c>
      <c r="G71" s="131">
        <v>4.34</v>
      </c>
      <c r="H71" s="317">
        <f t="shared" si="50"/>
        <v>9.8734177215189796</v>
      </c>
      <c r="I71" s="131">
        <v>4.8600000000000003</v>
      </c>
      <c r="J71" s="317">
        <f t="shared" si="51"/>
        <v>23.037974683544306</v>
      </c>
      <c r="K71" s="280">
        <v>0.47569444444444442</v>
      </c>
      <c r="L71" s="124">
        <v>4</v>
      </c>
      <c r="M71" s="331">
        <f t="shared" si="52"/>
        <v>-1.265822784810122</v>
      </c>
      <c r="N71" s="137">
        <v>15000000</v>
      </c>
      <c r="O71" s="124" t="s">
        <v>167</v>
      </c>
      <c r="P71" s="316">
        <f t="shared" si="49"/>
        <v>70.426034385036843</v>
      </c>
      <c r="Q71" s="124"/>
    </row>
    <row r="72" spans="1:17" x14ac:dyDescent="0.25">
      <c r="A72" s="124" t="s">
        <v>885</v>
      </c>
      <c r="B72" s="261">
        <v>44162</v>
      </c>
      <c r="C72" s="124">
        <v>1.55</v>
      </c>
      <c r="D72" s="124">
        <v>2.44</v>
      </c>
      <c r="E72" s="317">
        <f t="shared" si="46"/>
        <v>57.419354838709666</v>
      </c>
      <c r="F72" s="137">
        <v>84000000</v>
      </c>
      <c r="G72" s="131">
        <v>2.5499999999999998</v>
      </c>
      <c r="H72" s="317">
        <f t="shared" si="50"/>
        <v>4.5081967213114709</v>
      </c>
      <c r="I72" s="131">
        <v>2.63</v>
      </c>
      <c r="J72" s="317">
        <f t="shared" si="51"/>
        <v>7.7868852459016367</v>
      </c>
      <c r="K72" s="280">
        <v>0.41319444444444442</v>
      </c>
      <c r="L72" s="124">
        <v>2.2200000000000002</v>
      </c>
      <c r="M72" s="331">
        <f t="shared" si="52"/>
        <v>9.0163934426229417</v>
      </c>
      <c r="N72" s="137">
        <v>7000000</v>
      </c>
      <c r="O72" s="124" t="s">
        <v>190</v>
      </c>
      <c r="P72" s="316">
        <f t="shared" si="49"/>
        <v>65.206240084611295</v>
      </c>
      <c r="Q72" s="124"/>
    </row>
    <row r="73" spans="1:17" s="306" customFormat="1" x14ac:dyDescent="0.25">
      <c r="A73" s="347" t="s">
        <v>230</v>
      </c>
      <c r="B73" s="348">
        <v>44092</v>
      </c>
      <c r="C73" s="347">
        <v>1.64</v>
      </c>
      <c r="D73" s="347">
        <v>2.0499999999999998</v>
      </c>
      <c r="E73" s="393">
        <f t="shared" si="46"/>
        <v>24.999999999999996</v>
      </c>
      <c r="F73" s="349">
        <v>80000000</v>
      </c>
      <c r="G73" s="350">
        <v>2.1800000000000002</v>
      </c>
      <c r="H73" s="312">
        <f t="shared" si="50"/>
        <v>6.3414634146341626</v>
      </c>
      <c r="I73" s="201">
        <v>2.42</v>
      </c>
      <c r="J73" s="312">
        <f t="shared" si="51"/>
        <v>18.048780487804887</v>
      </c>
      <c r="K73" s="314">
        <v>0.40416666666666662</v>
      </c>
      <c r="L73" s="347">
        <v>2.2599999999999998</v>
      </c>
      <c r="M73" s="366">
        <f t="shared" si="52"/>
        <v>-10.24390243902439</v>
      </c>
      <c r="N73" s="349">
        <v>80000000</v>
      </c>
      <c r="O73" s="307" t="s">
        <v>167</v>
      </c>
      <c r="P73" s="316">
        <f t="shared" si="49"/>
        <v>43.048780487804883</v>
      </c>
      <c r="Q73" s="307"/>
    </row>
    <row r="74" spans="1:17" x14ac:dyDescent="0.25">
      <c r="A74" s="124" t="s">
        <v>858</v>
      </c>
      <c r="B74" s="261">
        <v>44146</v>
      </c>
      <c r="C74" s="124">
        <v>5.44</v>
      </c>
      <c r="D74" s="124">
        <v>22.64</v>
      </c>
      <c r="E74" s="317">
        <f t="shared" si="46"/>
        <v>316.17647058823525</v>
      </c>
      <c r="F74" s="137">
        <v>80000000</v>
      </c>
      <c r="G74" s="131">
        <v>23.05</v>
      </c>
      <c r="H74" s="317">
        <f t="shared" si="50"/>
        <v>1.8109540636042409</v>
      </c>
      <c r="I74" s="131">
        <v>23.99</v>
      </c>
      <c r="J74" s="317">
        <f t="shared" si="51"/>
        <v>5.9628975265017568</v>
      </c>
      <c r="K74" s="280">
        <v>0.39930555555555558</v>
      </c>
      <c r="L74" s="124">
        <v>18.059999999999999</v>
      </c>
      <c r="M74" s="331">
        <f t="shared" si="52"/>
        <v>20.229681978798595</v>
      </c>
      <c r="N74" s="137">
        <v>6000000</v>
      </c>
      <c r="O74" s="124" t="s">
        <v>170</v>
      </c>
      <c r="P74" s="316">
        <f t="shared" si="49"/>
        <v>322.13936811473701</v>
      </c>
      <c r="Q74" s="124"/>
    </row>
    <row r="75" spans="1:17" s="141" customFormat="1" ht="21" x14ac:dyDescent="0.25">
      <c r="A75" s="262" t="s">
        <v>313</v>
      </c>
      <c r="B75" s="275"/>
      <c r="C75" s="273">
        <f t="shared" ref="C75:I75" si="54">(C62+C63+C64+C68+C69+C70+C73+C65+C74+C66+C72+C71+C67)/13</f>
        <v>3.2907692307692304</v>
      </c>
      <c r="D75" s="273">
        <f t="shared" si="54"/>
        <v>7.6023076923076909</v>
      </c>
      <c r="E75" s="273">
        <f t="shared" si="54"/>
        <v>113.5553204314231</v>
      </c>
      <c r="F75" s="273">
        <f t="shared" si="54"/>
        <v>89538461.538461536</v>
      </c>
      <c r="G75" s="273">
        <f t="shared" si="54"/>
        <v>8.1015384615384622</v>
      </c>
      <c r="H75" s="273">
        <f t="shared" si="54"/>
        <v>8.0032349378390197</v>
      </c>
      <c r="I75" s="273">
        <f t="shared" si="54"/>
        <v>10.108461538461539</v>
      </c>
      <c r="J75" s="273">
        <f>(J62+J63+J64+J68+J69+J70+J73+J65+J74+J66+J72+J71+J67)/13</f>
        <v>37.392751230531459</v>
      </c>
      <c r="K75" s="273">
        <f t="shared" ref="K75:P75" si="55">(K62+K63+K64+K68+K69+K70+K73+K65+K74+K66+K72+K71+K67)/13</f>
        <v>0.43381410256410258</v>
      </c>
      <c r="L75" s="273">
        <f t="shared" si="55"/>
        <v>7.8838461538461537</v>
      </c>
      <c r="M75" s="273">
        <f t="shared" si="55"/>
        <v>-4.9975083900923316</v>
      </c>
      <c r="N75" s="273">
        <f t="shared" si="55"/>
        <v>16384615.384615384</v>
      </c>
      <c r="O75" s="273" t="e">
        <f t="shared" si="55"/>
        <v>#VALUE!</v>
      </c>
      <c r="P75" s="273">
        <f t="shared" si="55"/>
        <v>150.94807166195457</v>
      </c>
      <c r="Q75" s="411">
        <f>(6/13)*100</f>
        <v>46.153846153846153</v>
      </c>
    </row>
    <row r="76" spans="1:17" ht="21" x14ac:dyDescent="0.25">
      <c r="A76" s="139" t="s">
        <v>108</v>
      </c>
      <c r="B76" s="139" t="s">
        <v>107</v>
      </c>
      <c r="C76" s="139" t="s">
        <v>152</v>
      </c>
      <c r="D76" s="139" t="s">
        <v>153</v>
      </c>
      <c r="E76" s="139" t="s">
        <v>154</v>
      </c>
      <c r="F76" s="139" t="s">
        <v>155</v>
      </c>
      <c r="G76" s="263" t="s">
        <v>156</v>
      </c>
      <c r="H76" s="263" t="s">
        <v>157</v>
      </c>
      <c r="I76" s="263" t="s">
        <v>158</v>
      </c>
      <c r="J76" s="263" t="s">
        <v>159</v>
      </c>
      <c r="K76" s="263" t="s">
        <v>160</v>
      </c>
      <c r="L76" s="139" t="s">
        <v>161</v>
      </c>
      <c r="M76" s="139" t="s">
        <v>162</v>
      </c>
      <c r="N76" s="291" t="s">
        <v>163</v>
      </c>
      <c r="O76" s="285" t="s">
        <v>164</v>
      </c>
      <c r="P76" s="285" t="s">
        <v>174</v>
      </c>
      <c r="Q76" s="124"/>
    </row>
    <row r="77" spans="1:17" x14ac:dyDescent="0.25">
      <c r="A77" s="260" t="s">
        <v>231</v>
      </c>
      <c r="B77" s="261">
        <v>44039</v>
      </c>
      <c r="C77" s="124">
        <v>1.07</v>
      </c>
      <c r="D77" s="124">
        <v>1.35</v>
      </c>
      <c r="E77" s="392">
        <f t="shared" ref="E77:E88" si="56">(D77-C77)/C77*100</f>
        <v>26.168224299065422</v>
      </c>
      <c r="F77" s="137">
        <v>77000000</v>
      </c>
      <c r="G77" s="131">
        <v>1.45</v>
      </c>
      <c r="H77" s="267">
        <f t="shared" si="50"/>
        <v>7.4074074074073977</v>
      </c>
      <c r="I77" s="131">
        <v>1.7</v>
      </c>
      <c r="J77" s="267">
        <f t="shared" si="51"/>
        <v>25.925925925925913</v>
      </c>
      <c r="K77" s="280">
        <v>0.54166666666666663</v>
      </c>
      <c r="L77" s="124">
        <v>1.41</v>
      </c>
      <c r="M77" s="269">
        <f>(D77-L77)/D77*100</f>
        <v>-4.4444444444444313</v>
      </c>
      <c r="N77" s="137">
        <v>28000000</v>
      </c>
      <c r="O77" s="124" t="s">
        <v>167</v>
      </c>
      <c r="P77" s="146">
        <f t="shared" ref="P77:P88" si="57">E77+J77</f>
        <v>52.094150224991338</v>
      </c>
      <c r="Q77" s="124"/>
    </row>
    <row r="78" spans="1:17" s="306" customFormat="1" ht="19.5" customHeight="1" x14ac:dyDescent="0.25">
      <c r="A78" s="307" t="s">
        <v>841</v>
      </c>
      <c r="B78" s="308">
        <v>44137</v>
      </c>
      <c r="C78" s="307">
        <v>1.4</v>
      </c>
      <c r="D78" s="307">
        <v>2.5299999999999998</v>
      </c>
      <c r="E78" s="312">
        <f t="shared" si="56"/>
        <v>80.714285714285722</v>
      </c>
      <c r="F78" s="202">
        <v>75000000</v>
      </c>
      <c r="G78" s="201">
        <v>2.5499999999999998</v>
      </c>
      <c r="H78" s="312">
        <f t="shared" si="50"/>
        <v>0.79051383399209563</v>
      </c>
      <c r="I78" s="201">
        <v>2.62</v>
      </c>
      <c r="J78" s="312">
        <f t="shared" si="51"/>
        <v>3.5573122529644388</v>
      </c>
      <c r="K78" s="314">
        <v>0.42222222222222222</v>
      </c>
      <c r="L78" s="307">
        <v>1.81</v>
      </c>
      <c r="M78" s="311">
        <f t="shared" ref="M78" si="58">(D78-L78)/D78*100</f>
        <v>28.458498023715407</v>
      </c>
      <c r="N78" s="202">
        <v>20000000</v>
      </c>
      <c r="O78" s="307" t="s">
        <v>167</v>
      </c>
      <c r="P78" s="316">
        <f t="shared" si="57"/>
        <v>84.271597967250159</v>
      </c>
      <c r="Q78" s="307"/>
    </row>
    <row r="79" spans="1:17" s="141" customFormat="1" x14ac:dyDescent="0.25">
      <c r="A79" s="138" t="s">
        <v>837</v>
      </c>
      <c r="B79" s="143">
        <v>44132</v>
      </c>
      <c r="C79" s="138">
        <v>2</v>
      </c>
      <c r="D79" s="138">
        <v>4.55</v>
      </c>
      <c r="E79" s="267">
        <f t="shared" si="56"/>
        <v>127.49999999999999</v>
      </c>
      <c r="F79" s="256">
        <v>72000000</v>
      </c>
      <c r="G79" s="144">
        <v>4.78</v>
      </c>
      <c r="H79" s="267">
        <f t="shared" si="50"/>
        <v>5.0549450549450645</v>
      </c>
      <c r="I79" s="144">
        <v>5.12</v>
      </c>
      <c r="J79" s="267">
        <f t="shared" si="51"/>
        <v>12.527472527472533</v>
      </c>
      <c r="K79" s="265">
        <v>0.4236111111111111</v>
      </c>
      <c r="L79" s="138">
        <v>3.27</v>
      </c>
      <c r="M79" s="271">
        <f t="shared" ref="M79:M88" si="59">(D79-L79)/D79*100</f>
        <v>28.131868131868128</v>
      </c>
      <c r="N79" s="256">
        <v>2000000</v>
      </c>
      <c r="O79" s="138" t="s">
        <v>170</v>
      </c>
      <c r="P79" s="417">
        <f t="shared" si="57"/>
        <v>140.02747252747253</v>
      </c>
      <c r="Q79" s="138"/>
    </row>
    <row r="80" spans="1:17" s="306" customFormat="1" x14ac:dyDescent="0.25">
      <c r="A80" s="307" t="s">
        <v>849</v>
      </c>
      <c r="B80" s="308">
        <v>44142</v>
      </c>
      <c r="C80" s="307">
        <v>1.35</v>
      </c>
      <c r="D80" s="307">
        <v>2.2999999999999998</v>
      </c>
      <c r="E80" s="312">
        <f t="shared" si="56"/>
        <v>70.370370370370352</v>
      </c>
      <c r="F80" s="202">
        <v>71000000</v>
      </c>
      <c r="G80" s="201">
        <v>2.4500000000000002</v>
      </c>
      <c r="H80" s="312">
        <f t="shared" si="50"/>
        <v>6.5217391304347991</v>
      </c>
      <c r="I80" s="201">
        <v>2.4500000000000002</v>
      </c>
      <c r="J80" s="312">
        <f t="shared" si="51"/>
        <v>6.5217391304347991</v>
      </c>
      <c r="K80" s="314">
        <v>0.3979166666666667</v>
      </c>
      <c r="L80" s="307">
        <v>1.89</v>
      </c>
      <c r="M80" s="311">
        <f t="shared" si="59"/>
        <v>17.826086956521735</v>
      </c>
      <c r="N80" s="202">
        <v>12000000</v>
      </c>
      <c r="O80" s="307" t="s">
        <v>167</v>
      </c>
      <c r="P80" s="316">
        <f t="shared" si="57"/>
        <v>76.892109500805148</v>
      </c>
      <c r="Q80" s="307"/>
    </row>
    <row r="81" spans="1:17" x14ac:dyDescent="0.25">
      <c r="A81" s="124" t="s">
        <v>910</v>
      </c>
      <c r="B81" s="261">
        <v>44180</v>
      </c>
      <c r="C81" s="124">
        <v>2.12</v>
      </c>
      <c r="D81" s="124">
        <v>3.45</v>
      </c>
      <c r="E81" s="317">
        <f t="shared" si="56"/>
        <v>62.735849056603776</v>
      </c>
      <c r="F81" s="137">
        <v>69000000</v>
      </c>
      <c r="G81" s="131">
        <v>3.51</v>
      </c>
      <c r="H81" s="317">
        <f t="shared" si="50"/>
        <v>1.7391304347825973</v>
      </c>
      <c r="I81" s="131">
        <v>3.51</v>
      </c>
      <c r="J81" s="317">
        <f t="shared" si="51"/>
        <v>1.7391304347825973</v>
      </c>
      <c r="K81" s="280">
        <v>0.39861111111111108</v>
      </c>
      <c r="L81" s="124">
        <v>2.6</v>
      </c>
      <c r="M81" s="331">
        <f t="shared" si="59"/>
        <v>24.637681159420293</v>
      </c>
      <c r="N81" s="137">
        <v>30000000</v>
      </c>
      <c r="O81" s="124" t="s">
        <v>167</v>
      </c>
      <c r="P81" s="316">
        <f t="shared" si="57"/>
        <v>64.474979491386378</v>
      </c>
    </row>
    <row r="82" spans="1:17" s="306" customFormat="1" x14ac:dyDescent="0.25">
      <c r="A82" s="307" t="s">
        <v>232</v>
      </c>
      <c r="B82" s="308">
        <v>44008</v>
      </c>
      <c r="C82" s="307">
        <v>1.08</v>
      </c>
      <c r="D82" s="307">
        <v>1.56</v>
      </c>
      <c r="E82" s="393">
        <f t="shared" si="56"/>
        <v>44.444444444444443</v>
      </c>
      <c r="F82" s="202">
        <v>68000000</v>
      </c>
      <c r="G82" s="201">
        <v>1.59</v>
      </c>
      <c r="H82" s="312">
        <f t="shared" si="50"/>
        <v>1.9230769230769247</v>
      </c>
      <c r="I82" s="201">
        <v>1.97</v>
      </c>
      <c r="J82" s="312">
        <f t="shared" si="51"/>
        <v>26.282051282051277</v>
      </c>
      <c r="K82" s="314">
        <v>0.43055555555555558</v>
      </c>
      <c r="L82" s="307">
        <v>1.38</v>
      </c>
      <c r="M82" s="271">
        <f t="shared" si="59"/>
        <v>11.538461538461549</v>
      </c>
      <c r="N82" s="202">
        <v>33000000</v>
      </c>
      <c r="O82" s="307" t="s">
        <v>167</v>
      </c>
      <c r="P82" s="316">
        <f t="shared" si="57"/>
        <v>70.726495726495727</v>
      </c>
      <c r="Q82" s="307"/>
    </row>
    <row r="83" spans="1:17" x14ac:dyDescent="0.25">
      <c r="A83" s="124" t="s">
        <v>894</v>
      </c>
      <c r="B83" s="261">
        <v>44173</v>
      </c>
      <c r="C83" s="124">
        <v>2.16</v>
      </c>
      <c r="D83" s="124">
        <v>4.17</v>
      </c>
      <c r="E83" s="317">
        <f t="shared" si="56"/>
        <v>93.055555555555543</v>
      </c>
      <c r="F83" s="137">
        <v>67000000</v>
      </c>
      <c r="G83" s="131">
        <v>4.18</v>
      </c>
      <c r="H83" s="317">
        <f t="shared" si="50"/>
        <v>0.23980815347721313</v>
      </c>
      <c r="I83" s="131">
        <v>4.8899999999999997</v>
      </c>
      <c r="J83" s="317">
        <f t="shared" si="51"/>
        <v>17.266187050359708</v>
      </c>
      <c r="K83" s="280">
        <v>4.8899999999999997</v>
      </c>
      <c r="L83" s="124">
        <v>2.97</v>
      </c>
      <c r="M83" s="331">
        <f t="shared" si="59"/>
        <v>28.776978417266179</v>
      </c>
      <c r="N83" s="137">
        <v>3000000</v>
      </c>
      <c r="O83" s="124" t="s">
        <v>167</v>
      </c>
      <c r="P83" s="316">
        <f t="shared" si="57"/>
        <v>110.32174260591525</v>
      </c>
      <c r="Q83" s="124"/>
    </row>
    <row r="84" spans="1:17" x14ac:dyDescent="0.25">
      <c r="A84" s="124" t="s">
        <v>750</v>
      </c>
      <c r="B84" s="261">
        <v>44172</v>
      </c>
      <c r="C84" s="124">
        <v>5.52</v>
      </c>
      <c r="D84" s="124">
        <v>9.2200000000000006</v>
      </c>
      <c r="E84" s="317">
        <f t="shared" si="56"/>
        <v>67.028985507246404</v>
      </c>
      <c r="F84" s="137">
        <v>66000000</v>
      </c>
      <c r="G84" s="131">
        <v>9.56</v>
      </c>
      <c r="H84" s="317">
        <f t="shared" si="50"/>
        <v>3.6876355748373086</v>
      </c>
      <c r="I84" s="131">
        <v>11.37</v>
      </c>
      <c r="J84" s="317">
        <f t="shared" si="51"/>
        <v>23.318872017353563</v>
      </c>
      <c r="K84" s="280">
        <v>0.51388888888888895</v>
      </c>
      <c r="L84" s="124">
        <v>8.25</v>
      </c>
      <c r="M84" s="331">
        <f t="shared" si="59"/>
        <v>10.520607375271156</v>
      </c>
      <c r="N84" s="137">
        <v>1000000</v>
      </c>
      <c r="O84" s="124" t="s">
        <v>167</v>
      </c>
      <c r="P84" s="316">
        <f t="shared" si="57"/>
        <v>90.347857524599959</v>
      </c>
      <c r="Q84" s="124"/>
    </row>
    <row r="85" spans="1:17" s="306" customFormat="1" x14ac:dyDescent="0.25">
      <c r="A85" s="307" t="s">
        <v>235</v>
      </c>
      <c r="B85" s="308">
        <v>43980</v>
      </c>
      <c r="C85" s="201">
        <v>1.01</v>
      </c>
      <c r="D85" s="307">
        <v>1.59</v>
      </c>
      <c r="E85" s="393">
        <f t="shared" si="56"/>
        <v>57.425742574257434</v>
      </c>
      <c r="F85" s="202">
        <v>65000000</v>
      </c>
      <c r="G85" s="201">
        <v>1.59</v>
      </c>
      <c r="H85" s="312">
        <f t="shared" si="50"/>
        <v>0</v>
      </c>
      <c r="I85" s="328">
        <v>1.59</v>
      </c>
      <c r="J85" s="312">
        <f t="shared" si="51"/>
        <v>0</v>
      </c>
      <c r="K85" s="328">
        <v>0.39652777777777781</v>
      </c>
      <c r="L85" s="326">
        <v>1.28</v>
      </c>
      <c r="M85" s="271">
        <f t="shared" si="59"/>
        <v>19.49685534591195</v>
      </c>
      <c r="N85" s="329">
        <v>9000000</v>
      </c>
      <c r="O85" s="326" t="s">
        <v>167</v>
      </c>
      <c r="P85" s="316">
        <f t="shared" si="57"/>
        <v>57.425742574257434</v>
      </c>
      <c r="Q85" s="307"/>
    </row>
    <row r="86" spans="1:17" x14ac:dyDescent="0.25">
      <c r="A86" s="124" t="s">
        <v>905</v>
      </c>
      <c r="B86" s="261">
        <v>44176</v>
      </c>
      <c r="C86" s="131">
        <v>6.04</v>
      </c>
      <c r="D86" s="124">
        <v>13.12</v>
      </c>
      <c r="E86" s="317">
        <f t="shared" si="56"/>
        <v>117.2185430463576</v>
      </c>
      <c r="F86" s="137">
        <v>62000000</v>
      </c>
      <c r="G86" s="131">
        <v>13.78</v>
      </c>
      <c r="H86" s="317">
        <f t="shared" si="50"/>
        <v>5.0304878048780504</v>
      </c>
      <c r="I86" s="131">
        <v>15</v>
      </c>
      <c r="J86" s="317">
        <f t="shared" si="51"/>
        <v>14.329268292682935</v>
      </c>
      <c r="K86" s="280" t="s">
        <v>906</v>
      </c>
      <c r="L86" s="124">
        <v>8.3800000000000008</v>
      </c>
      <c r="M86" s="331">
        <f t="shared" si="59"/>
        <v>36.128048780487795</v>
      </c>
      <c r="N86" s="137">
        <v>2000000</v>
      </c>
      <c r="O86" s="124" t="s">
        <v>167</v>
      </c>
      <c r="P86" s="316">
        <f t="shared" si="57"/>
        <v>131.54781133904052</v>
      </c>
      <c r="Q86" s="124"/>
    </row>
    <row r="87" spans="1:17" s="306" customFormat="1" x14ac:dyDescent="0.25">
      <c r="A87" s="347" t="s">
        <v>199</v>
      </c>
      <c r="B87" s="308">
        <v>44047</v>
      </c>
      <c r="C87" s="307">
        <v>2.16</v>
      </c>
      <c r="D87" s="307">
        <v>2.69</v>
      </c>
      <c r="E87" s="393">
        <f t="shared" si="56"/>
        <v>24.537037037037027</v>
      </c>
      <c r="F87" s="202">
        <v>60000000</v>
      </c>
      <c r="G87" s="201">
        <v>3.15</v>
      </c>
      <c r="H87" s="312">
        <f t="shared" ref="H87:H88" si="60">(G87-D87)/D87*100</f>
        <v>17.100371747211895</v>
      </c>
      <c r="I87" s="201">
        <v>3.4</v>
      </c>
      <c r="J87" s="312">
        <f t="shared" ref="J87:J88" si="61">(I87-D87)/D87*100</f>
        <v>26.394052044609666</v>
      </c>
      <c r="K87" s="314">
        <v>0.65972222222222221</v>
      </c>
      <c r="L87" s="307">
        <v>3.29</v>
      </c>
      <c r="M87" s="366">
        <f t="shared" si="59"/>
        <v>-22.304832713754649</v>
      </c>
      <c r="N87" s="202">
        <v>23000000</v>
      </c>
      <c r="O87" s="307" t="s">
        <v>167</v>
      </c>
      <c r="P87" s="316">
        <f t="shared" si="57"/>
        <v>50.931089081646689</v>
      </c>
      <c r="Q87" s="307"/>
    </row>
    <row r="88" spans="1:17" s="339" customFormat="1" x14ac:dyDescent="0.25">
      <c r="A88" s="332" t="s">
        <v>347</v>
      </c>
      <c r="B88" s="333">
        <v>44159</v>
      </c>
      <c r="C88" s="332">
        <v>2.17</v>
      </c>
      <c r="D88" s="332">
        <v>3.33</v>
      </c>
      <c r="E88" s="336">
        <f t="shared" si="56"/>
        <v>53.456221198156697</v>
      </c>
      <c r="F88" s="335">
        <v>60000000</v>
      </c>
      <c r="G88" s="334">
        <v>4.45</v>
      </c>
      <c r="H88" s="336">
        <f t="shared" si="60"/>
        <v>33.633633633633636</v>
      </c>
      <c r="I88" s="334">
        <v>4.45</v>
      </c>
      <c r="J88" s="336">
        <f t="shared" si="61"/>
        <v>33.633633633633636</v>
      </c>
      <c r="K88" s="337">
        <v>0.3979166666666667</v>
      </c>
      <c r="L88" s="332">
        <v>3</v>
      </c>
      <c r="M88" s="340">
        <f t="shared" si="59"/>
        <v>9.9099099099099117</v>
      </c>
      <c r="N88" s="335">
        <v>18000000</v>
      </c>
      <c r="O88" s="332" t="s">
        <v>190</v>
      </c>
      <c r="P88" s="316">
        <f t="shared" si="57"/>
        <v>87.089854831790333</v>
      </c>
      <c r="Q88" s="332"/>
    </row>
    <row r="89" spans="1:17" s="141" customFormat="1" ht="21" x14ac:dyDescent="0.25">
      <c r="A89" s="275" t="s">
        <v>876</v>
      </c>
      <c r="B89" s="275">
        <f t="shared" ref="B89" si="62">(B77+B78+B79+B80+B82+B83+B84+B85+B87+B88+B86)/11</f>
        <v>44105.909090909088</v>
      </c>
      <c r="C89" s="275">
        <f t="shared" ref="C89:I89" si="63">(C77+C78+C79+C80+C82+C83+C84+C85+C87+C88+C86+C81)/12</f>
        <v>2.3400000000000003</v>
      </c>
      <c r="D89" s="275">
        <f t="shared" si="63"/>
        <v>4.1550000000000002</v>
      </c>
      <c r="E89" s="275">
        <f t="shared" si="63"/>
        <v>68.721271566948374</v>
      </c>
      <c r="F89" s="275">
        <f t="shared" si="63"/>
        <v>67666666.666666672</v>
      </c>
      <c r="G89" s="275">
        <f t="shared" si="63"/>
        <v>4.42</v>
      </c>
      <c r="H89" s="275">
        <f t="shared" si="63"/>
        <v>6.927395808223082</v>
      </c>
      <c r="I89" s="275">
        <f t="shared" si="63"/>
        <v>4.8391666666666664</v>
      </c>
      <c r="J89" s="275">
        <f>(J77+J78+J79+J80+J82+J83+J84+J85+J87+J88+J86+J81)/12</f>
        <v>15.957970382689254</v>
      </c>
      <c r="K89" s="275" t="e">
        <f t="shared" ref="K89:P89" si="64">(K77+K78+K79+K80+K82+K83+K84+K85+K87+K88+K86+K81)/12</f>
        <v>#VALUE!</v>
      </c>
      <c r="L89" s="275">
        <f t="shared" si="64"/>
        <v>3.2941666666666674</v>
      </c>
      <c r="M89" s="275">
        <f t="shared" si="64"/>
        <v>15.722976540052919</v>
      </c>
      <c r="N89" s="275">
        <f t="shared" si="64"/>
        <v>15083333.333333334</v>
      </c>
      <c r="O89" s="275" t="e">
        <f t="shared" si="64"/>
        <v>#VALUE!</v>
      </c>
      <c r="P89" s="275">
        <f t="shared" si="64"/>
        <v>84.679241949637628</v>
      </c>
      <c r="Q89" s="411">
        <f>(2/12)*100</f>
        <v>16.666666666666664</v>
      </c>
    </row>
    <row r="90" spans="1:17" ht="21" x14ac:dyDescent="0.25">
      <c r="A90" s="139" t="s">
        <v>108</v>
      </c>
      <c r="B90" s="139" t="s">
        <v>107</v>
      </c>
      <c r="C90" s="139" t="s">
        <v>152</v>
      </c>
      <c r="D90" s="139" t="s">
        <v>153</v>
      </c>
      <c r="E90" s="139" t="s">
        <v>154</v>
      </c>
      <c r="F90" s="139" t="s">
        <v>155</v>
      </c>
      <c r="G90" s="263" t="s">
        <v>156</v>
      </c>
      <c r="H90" s="263" t="s">
        <v>157</v>
      </c>
      <c r="I90" s="263" t="s">
        <v>158</v>
      </c>
      <c r="J90" s="263" t="s">
        <v>159</v>
      </c>
      <c r="K90" s="263" t="s">
        <v>160</v>
      </c>
      <c r="L90" s="139" t="s">
        <v>161</v>
      </c>
      <c r="M90" s="139" t="s">
        <v>162</v>
      </c>
      <c r="N90" s="291" t="s">
        <v>163</v>
      </c>
      <c r="O90" s="285" t="s">
        <v>164</v>
      </c>
      <c r="P90" s="285" t="s">
        <v>174</v>
      </c>
      <c r="Q90" s="124"/>
    </row>
    <row r="91" spans="1:17" s="306" customFormat="1" x14ac:dyDescent="0.25">
      <c r="A91" s="307" t="s">
        <v>169</v>
      </c>
      <c r="B91" s="308">
        <v>44119</v>
      </c>
      <c r="C91" s="307">
        <v>7.24</v>
      </c>
      <c r="D91" s="307">
        <v>12.12</v>
      </c>
      <c r="E91" s="393">
        <f t="shared" ref="E91:E94" si="65">(D91-C91)/C91*100</f>
        <v>67.403314917127062</v>
      </c>
      <c r="F91" s="202">
        <v>56000000</v>
      </c>
      <c r="G91" s="201">
        <v>12.34</v>
      </c>
      <c r="H91" s="312">
        <f t="shared" ref="H91:H92" si="66">(G91-D91)/D91*100</f>
        <v>1.8151815181518205</v>
      </c>
      <c r="I91" s="201">
        <v>12.34</v>
      </c>
      <c r="J91" s="312">
        <f t="shared" ref="J91:J92" si="67">(I91-D91)/D91*100</f>
        <v>1.8151815181518205</v>
      </c>
      <c r="K91" s="314">
        <v>0.3979166666666667</v>
      </c>
      <c r="L91" s="307">
        <v>9.2200000000000006</v>
      </c>
      <c r="M91" s="311">
        <f t="shared" ref="M91:M94" si="68">(D91-L91)/D91*100</f>
        <v>23.927392739273916</v>
      </c>
      <c r="N91" s="202">
        <v>62000000</v>
      </c>
      <c r="O91" s="307" t="s">
        <v>190</v>
      </c>
      <c r="P91" s="316">
        <f t="shared" ref="P91:P94" si="69">E91+J91</f>
        <v>69.21849643527888</v>
      </c>
      <c r="Q91" s="307"/>
    </row>
    <row r="92" spans="1:17" s="306" customFormat="1" x14ac:dyDescent="0.25">
      <c r="A92" s="307" t="s">
        <v>762</v>
      </c>
      <c r="B92" s="308">
        <v>44027</v>
      </c>
      <c r="C92" s="307">
        <v>1.1000000000000001</v>
      </c>
      <c r="D92" s="307">
        <v>1.66</v>
      </c>
      <c r="E92" s="393">
        <f t="shared" si="65"/>
        <v>50.909090909090892</v>
      </c>
      <c r="F92" s="202">
        <v>55000000</v>
      </c>
      <c r="G92" s="201">
        <v>1.77</v>
      </c>
      <c r="H92" s="312">
        <f t="shared" si="66"/>
        <v>6.6265060240963916</v>
      </c>
      <c r="I92" s="201">
        <v>1.95</v>
      </c>
      <c r="J92" s="312">
        <f t="shared" si="67"/>
        <v>17.469879518072293</v>
      </c>
      <c r="K92" s="314">
        <v>0.4548611111111111</v>
      </c>
      <c r="L92" s="307">
        <v>1.46</v>
      </c>
      <c r="M92" s="311">
        <f t="shared" si="68"/>
        <v>12.048192771084336</v>
      </c>
      <c r="N92" s="202">
        <v>45000000</v>
      </c>
      <c r="O92" s="307" t="s">
        <v>167</v>
      </c>
      <c r="P92" s="316">
        <f t="shared" si="69"/>
        <v>68.378970427163182</v>
      </c>
      <c r="Q92" s="307"/>
    </row>
    <row r="93" spans="1:17" s="141" customFormat="1" x14ac:dyDescent="0.25">
      <c r="A93" s="138" t="s">
        <v>242</v>
      </c>
      <c r="B93" s="143">
        <v>44104</v>
      </c>
      <c r="C93" s="138">
        <v>1</v>
      </c>
      <c r="D93" s="138">
        <v>2</v>
      </c>
      <c r="E93" s="398">
        <f t="shared" si="65"/>
        <v>100</v>
      </c>
      <c r="F93" s="256">
        <v>52000000</v>
      </c>
      <c r="G93" s="144">
        <v>1.95</v>
      </c>
      <c r="H93" s="267">
        <f>(G93-D93)/D93*100</f>
        <v>-2.5000000000000022</v>
      </c>
      <c r="I93" s="144">
        <v>2.52</v>
      </c>
      <c r="J93" s="267">
        <f>(I93-D93)/D93*100</f>
        <v>26</v>
      </c>
      <c r="K93" s="265">
        <v>0.5625</v>
      </c>
      <c r="L93" s="138">
        <v>1.37</v>
      </c>
      <c r="M93" s="311">
        <f t="shared" si="68"/>
        <v>31.499999999999993</v>
      </c>
      <c r="N93" s="256">
        <v>5000000</v>
      </c>
      <c r="O93" s="138" t="s">
        <v>182</v>
      </c>
      <c r="P93" s="146">
        <f t="shared" si="69"/>
        <v>126</v>
      </c>
      <c r="Q93" s="138"/>
    </row>
    <row r="94" spans="1:17" x14ac:dyDescent="0.25">
      <c r="A94" s="138" t="s">
        <v>244</v>
      </c>
      <c r="B94" s="261">
        <v>44118</v>
      </c>
      <c r="C94" s="124">
        <v>3</v>
      </c>
      <c r="D94" s="124">
        <v>4.0999999999999996</v>
      </c>
      <c r="E94" s="392">
        <f t="shared" si="65"/>
        <v>36.66666666666665</v>
      </c>
      <c r="F94" s="137">
        <v>50000000</v>
      </c>
      <c r="G94" s="131">
        <v>4.3600000000000003</v>
      </c>
      <c r="H94" s="267">
        <f t="shared" ref="H94" si="70">(G94-D94)/D94*100</f>
        <v>6.3414634146341626</v>
      </c>
      <c r="I94" s="131">
        <v>5.71</v>
      </c>
      <c r="J94" s="267">
        <f t="shared" ref="J94" si="71">(I94-D94)/D94*100</f>
        <v>39.268292682926841</v>
      </c>
      <c r="K94" s="280">
        <v>0.43402777777777773</v>
      </c>
      <c r="L94" s="124">
        <v>3.94</v>
      </c>
      <c r="M94" s="311">
        <f t="shared" si="68"/>
        <v>3.9024390243902372</v>
      </c>
      <c r="N94" s="137">
        <v>3000000</v>
      </c>
      <c r="O94" s="124" t="s">
        <v>167</v>
      </c>
      <c r="P94" s="146">
        <f t="shared" si="69"/>
        <v>75.934959349593498</v>
      </c>
      <c r="Q94" s="124"/>
    </row>
    <row r="95" spans="1:17" s="141" customFormat="1" ht="21" x14ac:dyDescent="0.25">
      <c r="A95" s="262" t="s">
        <v>877</v>
      </c>
      <c r="B95" s="272"/>
      <c r="C95" s="275">
        <f t="shared" ref="C95:I95" si="72">(C91+C92+C93+C94)/4</f>
        <v>3.085</v>
      </c>
      <c r="D95" s="275">
        <f t="shared" si="72"/>
        <v>4.97</v>
      </c>
      <c r="E95" s="275">
        <f t="shared" si="72"/>
        <v>63.744768123221156</v>
      </c>
      <c r="F95" s="275">
        <f t="shared" si="72"/>
        <v>53250000</v>
      </c>
      <c r="G95" s="275">
        <f t="shared" si="72"/>
        <v>5.1049999999999995</v>
      </c>
      <c r="H95" s="275">
        <f t="shared" si="72"/>
        <v>3.0707877392205933</v>
      </c>
      <c r="I95" s="275">
        <f t="shared" si="72"/>
        <v>5.63</v>
      </c>
      <c r="J95" s="275">
        <f>(J91+J92+J93+J94)/4</f>
        <v>21.138338429787737</v>
      </c>
      <c r="K95" s="275">
        <f t="shared" ref="K95:P95" si="73">(K91+K92+K93+K94)/4</f>
        <v>0.46232638888888888</v>
      </c>
      <c r="L95" s="275">
        <f t="shared" si="73"/>
        <v>3.9975000000000001</v>
      </c>
      <c r="M95" s="275">
        <f t="shared" si="73"/>
        <v>17.844506133687119</v>
      </c>
      <c r="N95" s="275">
        <f t="shared" si="73"/>
        <v>28750000</v>
      </c>
      <c r="O95" s="275" t="e">
        <f t="shared" si="73"/>
        <v>#VALUE!</v>
      </c>
      <c r="P95" s="275">
        <f t="shared" si="73"/>
        <v>84.883106553008886</v>
      </c>
      <c r="Q95" s="388">
        <f>(0/4)*100</f>
        <v>0</v>
      </c>
    </row>
    <row r="96" spans="1:17" ht="21" x14ac:dyDescent="0.25">
      <c r="A96" s="139" t="s">
        <v>108</v>
      </c>
      <c r="B96" s="139" t="s">
        <v>107</v>
      </c>
      <c r="C96" s="139" t="s">
        <v>152</v>
      </c>
      <c r="D96" s="139" t="s">
        <v>153</v>
      </c>
      <c r="E96" s="139" t="s">
        <v>154</v>
      </c>
      <c r="F96" s="139" t="s">
        <v>155</v>
      </c>
      <c r="G96" s="263" t="s">
        <v>156</v>
      </c>
      <c r="H96" s="263" t="s">
        <v>157</v>
      </c>
      <c r="I96" s="263" t="s">
        <v>158</v>
      </c>
      <c r="J96" s="263" t="s">
        <v>159</v>
      </c>
      <c r="K96" s="263" t="s">
        <v>160</v>
      </c>
      <c r="L96" s="139" t="s">
        <v>161</v>
      </c>
      <c r="M96" s="139" t="s">
        <v>162</v>
      </c>
      <c r="N96" s="291" t="s">
        <v>163</v>
      </c>
      <c r="O96" s="285" t="s">
        <v>164</v>
      </c>
      <c r="P96" s="285" t="s">
        <v>174</v>
      </c>
      <c r="Q96" s="124"/>
    </row>
    <row r="97" spans="1:17" s="339" customFormat="1" x14ac:dyDescent="0.25">
      <c r="A97" s="332" t="s">
        <v>822</v>
      </c>
      <c r="B97" s="333">
        <v>44126</v>
      </c>
      <c r="C97" s="332">
        <v>4.09</v>
      </c>
      <c r="D97" s="332">
        <v>5.31</v>
      </c>
      <c r="E97" s="336">
        <f t="shared" ref="E97:E120" si="74">(D97-C97)/C97*100</f>
        <v>29.828850855745713</v>
      </c>
      <c r="F97" s="335">
        <v>49000000</v>
      </c>
      <c r="G97" s="401">
        <v>5.69</v>
      </c>
      <c r="H97" s="336">
        <f t="shared" ref="H97" si="75">(G97-D97)/D97*100</f>
        <v>7.1563088512241206</v>
      </c>
      <c r="I97" s="334">
        <v>6.4</v>
      </c>
      <c r="J97" s="336">
        <f t="shared" ref="J97" si="76">(I97-D97)/D97*100</f>
        <v>20.527306967984948</v>
      </c>
      <c r="K97" s="337">
        <v>0.3979166666666667</v>
      </c>
      <c r="L97" s="332">
        <v>5.25</v>
      </c>
      <c r="M97" s="340">
        <f>(D97-L97)/D97*100</f>
        <v>1.1299435028248515</v>
      </c>
      <c r="N97" s="335">
        <v>4000000</v>
      </c>
      <c r="O97" s="332" t="s">
        <v>167</v>
      </c>
      <c r="P97" s="338">
        <f t="shared" ref="P97:P120" si="77">E97+J97</f>
        <v>50.356157823730662</v>
      </c>
      <c r="Q97" s="332" t="s">
        <v>832</v>
      </c>
    </row>
    <row r="98" spans="1:17" x14ac:dyDescent="0.25">
      <c r="A98" s="124" t="s">
        <v>760</v>
      </c>
      <c r="B98" s="261">
        <v>43984</v>
      </c>
      <c r="C98" s="124">
        <v>1.42</v>
      </c>
      <c r="D98" s="124">
        <v>1.82</v>
      </c>
      <c r="E98" s="392">
        <f t="shared" si="74"/>
        <v>28.169014084507054</v>
      </c>
      <c r="F98" s="137">
        <v>49000000</v>
      </c>
      <c r="G98" s="131">
        <v>1.89</v>
      </c>
      <c r="H98" s="317">
        <f t="shared" ref="H98:H99" si="78">(G98-D98)/D98*100</f>
        <v>3.8461538461538374</v>
      </c>
      <c r="I98" s="131">
        <v>1.96</v>
      </c>
      <c r="J98" s="317">
        <f t="shared" ref="J98:J99" si="79">(I98-D98)/D98*100</f>
        <v>7.6923076923076872</v>
      </c>
      <c r="K98" s="280">
        <v>0.4201388888888889</v>
      </c>
      <c r="L98" s="124">
        <v>1.58</v>
      </c>
      <c r="M98" s="331">
        <f t="shared" ref="M98:M120" si="80">(D98-L98)/D98*100</f>
        <v>13.186813186813188</v>
      </c>
      <c r="N98" s="137">
        <v>42000000</v>
      </c>
      <c r="O98" s="124" t="s">
        <v>167</v>
      </c>
      <c r="P98" s="146">
        <f t="shared" si="77"/>
        <v>35.861321776814741</v>
      </c>
      <c r="Q98" s="124"/>
    </row>
    <row r="99" spans="1:17" s="306" customFormat="1" x14ac:dyDescent="0.25">
      <c r="A99" s="307" t="s">
        <v>752</v>
      </c>
      <c r="B99" s="308">
        <v>44124</v>
      </c>
      <c r="C99" s="307">
        <v>3.67</v>
      </c>
      <c r="D99" s="307">
        <v>5.97</v>
      </c>
      <c r="E99" s="393">
        <f t="shared" si="74"/>
        <v>62.67029972752043</v>
      </c>
      <c r="F99" s="202">
        <v>47000000</v>
      </c>
      <c r="G99" s="201">
        <v>6.35</v>
      </c>
      <c r="H99" s="312">
        <f t="shared" si="78"/>
        <v>6.365159128978223</v>
      </c>
      <c r="I99" s="201">
        <v>6.45</v>
      </c>
      <c r="J99" s="312">
        <f t="shared" si="79"/>
        <v>8.040201005025132</v>
      </c>
      <c r="K99" s="314">
        <v>0.40069444444444446</v>
      </c>
      <c r="L99" s="307">
        <v>4.28</v>
      </c>
      <c r="M99" s="331">
        <f t="shared" si="80"/>
        <v>28.308207705192622</v>
      </c>
      <c r="N99" s="202">
        <v>15000000</v>
      </c>
      <c r="O99" s="307" t="s">
        <v>190</v>
      </c>
      <c r="P99" s="316">
        <f t="shared" si="77"/>
        <v>70.710500732545569</v>
      </c>
      <c r="Q99" s="307"/>
    </row>
    <row r="100" spans="1:17" x14ac:dyDescent="0.25">
      <c r="A100" s="124" t="s">
        <v>246</v>
      </c>
      <c r="B100" s="261">
        <v>44090</v>
      </c>
      <c r="C100" s="124">
        <v>3.82</v>
      </c>
      <c r="D100" s="124">
        <v>5.0999999999999996</v>
      </c>
      <c r="E100" s="392">
        <f t="shared" si="74"/>
        <v>33.507853403141361</v>
      </c>
      <c r="F100" s="137">
        <v>47000000</v>
      </c>
      <c r="G100" s="131">
        <v>5</v>
      </c>
      <c r="H100" s="267">
        <f t="shared" ref="H100:H118" si="81">(G100-D100)/D100*100</f>
        <v>-1.9607843137254832</v>
      </c>
      <c r="I100" s="131">
        <v>5.66</v>
      </c>
      <c r="J100" s="267">
        <f t="shared" ref="J100:J120" si="82">(I100-D100)/D100*100</f>
        <v>10.980392156862756</v>
      </c>
      <c r="K100" s="280">
        <v>0.44861111111111113</v>
      </c>
      <c r="L100" s="124">
        <v>4.9800000000000004</v>
      </c>
      <c r="M100" s="331">
        <f t="shared" si="80"/>
        <v>2.3529411764705728</v>
      </c>
      <c r="N100" s="137">
        <v>20000000</v>
      </c>
      <c r="O100" s="124" t="s">
        <v>167</v>
      </c>
      <c r="P100" s="146">
        <f t="shared" si="77"/>
        <v>44.488245560004117</v>
      </c>
      <c r="Q100" s="124"/>
    </row>
    <row r="101" spans="1:17" x14ac:dyDescent="0.25">
      <c r="A101" s="124" t="s">
        <v>806</v>
      </c>
      <c r="B101" s="261">
        <v>44139</v>
      </c>
      <c r="C101" s="124">
        <v>2.54</v>
      </c>
      <c r="D101" s="124">
        <v>3.09</v>
      </c>
      <c r="E101" s="317">
        <f t="shared" si="74"/>
        <v>21.653543307086608</v>
      </c>
      <c r="F101" s="137">
        <v>47000000</v>
      </c>
      <c r="G101" s="131">
        <v>3.17</v>
      </c>
      <c r="H101" s="317">
        <f t="shared" si="81"/>
        <v>2.5889967637540479</v>
      </c>
      <c r="I101" s="131">
        <v>3.34</v>
      </c>
      <c r="J101" s="317">
        <f t="shared" si="82"/>
        <v>8.0906148867313927</v>
      </c>
      <c r="K101" s="280">
        <v>0.44791666666666669</v>
      </c>
      <c r="L101" s="124">
        <v>2.94</v>
      </c>
      <c r="M101" s="331">
        <f t="shared" si="80"/>
        <v>4.8543689320388319</v>
      </c>
      <c r="N101" s="137">
        <v>3000000</v>
      </c>
      <c r="O101" s="124" t="s">
        <v>167</v>
      </c>
      <c r="P101" s="316">
        <f t="shared" si="77"/>
        <v>29.744158193818002</v>
      </c>
      <c r="Q101" s="124"/>
    </row>
    <row r="102" spans="1:17" s="306" customFormat="1" x14ac:dyDescent="0.25">
      <c r="A102" s="307" t="s">
        <v>169</v>
      </c>
      <c r="B102" s="308">
        <v>44119</v>
      </c>
      <c r="C102" s="307">
        <v>7.05</v>
      </c>
      <c r="D102" s="307">
        <v>12.14</v>
      </c>
      <c r="E102" s="393">
        <f t="shared" si="74"/>
        <v>72.198581560283699</v>
      </c>
      <c r="F102" s="202">
        <v>46000000</v>
      </c>
      <c r="G102" s="201">
        <v>12.34</v>
      </c>
      <c r="H102" s="312">
        <f t="shared" si="81"/>
        <v>1.6474464579901094</v>
      </c>
      <c r="I102" s="201">
        <v>12.34</v>
      </c>
      <c r="J102" s="312">
        <f t="shared" si="82"/>
        <v>1.6474464579901094</v>
      </c>
      <c r="K102" s="314">
        <v>0.3972222222222222</v>
      </c>
      <c r="L102" s="307">
        <v>9.24</v>
      </c>
      <c r="M102" s="331">
        <f t="shared" si="80"/>
        <v>23.887973640856675</v>
      </c>
      <c r="N102" s="202">
        <v>12000000</v>
      </c>
      <c r="O102" s="307" t="s">
        <v>190</v>
      </c>
      <c r="P102" s="316">
        <f t="shared" si="77"/>
        <v>73.846028018273813</v>
      </c>
      <c r="Q102" s="307"/>
    </row>
    <row r="103" spans="1:17" s="306" customFormat="1" x14ac:dyDescent="0.25">
      <c r="A103" s="347" t="s">
        <v>238</v>
      </c>
      <c r="B103" s="308">
        <v>43930</v>
      </c>
      <c r="C103" s="307">
        <v>1.57</v>
      </c>
      <c r="D103" s="307">
        <v>2.27</v>
      </c>
      <c r="E103" s="393">
        <f t="shared" si="74"/>
        <v>44.585987261146492</v>
      </c>
      <c r="F103" s="202">
        <v>46000000</v>
      </c>
      <c r="G103" s="201">
        <v>2.35</v>
      </c>
      <c r="H103" s="312">
        <f t="shared" si="81"/>
        <v>3.5242290748898708</v>
      </c>
      <c r="I103" s="201">
        <v>2.35</v>
      </c>
      <c r="J103" s="312">
        <f t="shared" si="82"/>
        <v>3.5242290748898708</v>
      </c>
      <c r="K103" s="314">
        <v>0.39652777777777781</v>
      </c>
      <c r="L103" s="307">
        <v>1.97</v>
      </c>
      <c r="M103" s="331">
        <f t="shared" si="80"/>
        <v>13.215859030837008</v>
      </c>
      <c r="N103" s="202">
        <v>8000000</v>
      </c>
      <c r="O103" s="307" t="s">
        <v>190</v>
      </c>
      <c r="P103" s="316">
        <f t="shared" si="77"/>
        <v>48.110216336036366</v>
      </c>
      <c r="Q103" s="307"/>
    </row>
    <row r="104" spans="1:17" s="141" customFormat="1" x14ac:dyDescent="0.25">
      <c r="A104" s="138" t="s">
        <v>349</v>
      </c>
      <c r="B104" s="143">
        <v>44140</v>
      </c>
      <c r="C104" s="138">
        <v>2.79</v>
      </c>
      <c r="D104" s="138">
        <v>5.09</v>
      </c>
      <c r="E104" s="267">
        <f t="shared" si="74"/>
        <v>82.437275985663078</v>
      </c>
      <c r="F104" s="256">
        <v>46000000</v>
      </c>
      <c r="G104" s="144">
        <v>5.09</v>
      </c>
      <c r="H104" s="267">
        <f t="shared" si="81"/>
        <v>0</v>
      </c>
      <c r="I104" s="144">
        <v>5.09</v>
      </c>
      <c r="J104" s="267">
        <f t="shared" si="82"/>
        <v>0</v>
      </c>
      <c r="K104" s="265">
        <v>0.39652777777777781</v>
      </c>
      <c r="L104" s="138">
        <v>3.78</v>
      </c>
      <c r="M104" s="271">
        <f t="shared" si="80"/>
        <v>25.736738703339885</v>
      </c>
      <c r="N104" s="256">
        <v>1000000</v>
      </c>
      <c r="O104" s="138" t="s">
        <v>190</v>
      </c>
      <c r="P104" s="417">
        <f t="shared" si="77"/>
        <v>82.437275985663078</v>
      </c>
      <c r="Q104" s="138"/>
    </row>
    <row r="105" spans="1:17" s="306" customFormat="1" x14ac:dyDescent="0.25">
      <c r="A105" s="347" t="s">
        <v>246</v>
      </c>
      <c r="B105" s="348">
        <v>44090</v>
      </c>
      <c r="C105" s="347">
        <v>3.82</v>
      </c>
      <c r="D105" s="347">
        <v>5.1100000000000003</v>
      </c>
      <c r="E105" s="393">
        <f t="shared" si="74"/>
        <v>33.76963350785342</v>
      </c>
      <c r="F105" s="349">
        <v>45000000</v>
      </c>
      <c r="G105" s="350">
        <v>4.9400000000000004</v>
      </c>
      <c r="H105" s="312">
        <f t="shared" si="81"/>
        <v>-3.3268101761252429</v>
      </c>
      <c r="I105" s="201">
        <v>5.67</v>
      </c>
      <c r="J105" s="312">
        <f t="shared" si="82"/>
        <v>10.958904109589032</v>
      </c>
      <c r="K105" s="314">
        <v>0.45833333333333331</v>
      </c>
      <c r="L105" s="347">
        <v>4.99</v>
      </c>
      <c r="M105" s="331">
        <f t="shared" si="80"/>
        <v>2.3483365949119395</v>
      </c>
      <c r="N105" s="349">
        <v>3000000</v>
      </c>
      <c r="O105" s="307" t="s">
        <v>185</v>
      </c>
      <c r="P105" s="316">
        <f t="shared" si="77"/>
        <v>44.728537617442456</v>
      </c>
      <c r="Q105" s="307"/>
    </row>
    <row r="106" spans="1:17" s="306" customFormat="1" x14ac:dyDescent="0.25">
      <c r="A106" s="307" t="s">
        <v>764</v>
      </c>
      <c r="B106" s="308">
        <v>44036</v>
      </c>
      <c r="C106" s="307">
        <v>1.1000000000000001</v>
      </c>
      <c r="D106" s="307">
        <v>1.59</v>
      </c>
      <c r="E106" s="312">
        <f t="shared" si="74"/>
        <v>44.545454545454547</v>
      </c>
      <c r="F106" s="202">
        <v>44000000</v>
      </c>
      <c r="G106" s="201">
        <v>1.61</v>
      </c>
      <c r="H106" s="312">
        <f t="shared" si="81"/>
        <v>1.2578616352201268</v>
      </c>
      <c r="I106" s="201">
        <v>1.61</v>
      </c>
      <c r="J106" s="312">
        <f t="shared" si="82"/>
        <v>1.2578616352201268</v>
      </c>
      <c r="K106" s="314">
        <v>0.3972222222222222</v>
      </c>
      <c r="L106" s="307">
        <v>1.24</v>
      </c>
      <c r="M106" s="331">
        <f t="shared" si="80"/>
        <v>22.012578616352204</v>
      </c>
      <c r="N106" s="202">
        <v>42000000</v>
      </c>
      <c r="O106" s="307" t="s">
        <v>190</v>
      </c>
      <c r="P106" s="316">
        <f t="shared" si="77"/>
        <v>45.80331618067467</v>
      </c>
      <c r="Q106" s="307"/>
    </row>
    <row r="107" spans="1:17" s="306" customFormat="1" x14ac:dyDescent="0.25">
      <c r="A107" s="307" t="s">
        <v>248</v>
      </c>
      <c r="B107" s="308">
        <v>44109</v>
      </c>
      <c r="C107" s="307">
        <v>1.04</v>
      </c>
      <c r="D107" s="307">
        <v>1.32</v>
      </c>
      <c r="E107" s="393">
        <f t="shared" si="74"/>
        <v>26.923076923076927</v>
      </c>
      <c r="F107" s="202">
        <v>43000000</v>
      </c>
      <c r="G107" s="201">
        <v>1.32</v>
      </c>
      <c r="H107" s="312">
        <f t="shared" si="81"/>
        <v>0</v>
      </c>
      <c r="I107" s="201">
        <v>1.32</v>
      </c>
      <c r="J107" s="312">
        <f t="shared" si="82"/>
        <v>0</v>
      </c>
      <c r="K107" s="314">
        <v>0.39652777777777781</v>
      </c>
      <c r="L107" s="307">
        <v>1.1200000000000001</v>
      </c>
      <c r="M107" s="331">
        <f t="shared" si="80"/>
        <v>15.151515151515147</v>
      </c>
      <c r="N107" s="202">
        <v>20000000</v>
      </c>
      <c r="O107" s="307" t="s">
        <v>190</v>
      </c>
      <c r="P107" s="316">
        <f t="shared" si="77"/>
        <v>26.923076923076927</v>
      </c>
      <c r="Q107" s="307"/>
    </row>
    <row r="108" spans="1:17" s="306" customFormat="1" x14ac:dyDescent="0.25">
      <c r="A108" s="347" t="s">
        <v>249</v>
      </c>
      <c r="B108" s="348">
        <v>44105</v>
      </c>
      <c r="C108" s="347">
        <v>6</v>
      </c>
      <c r="D108" s="347">
        <v>10.5</v>
      </c>
      <c r="E108" s="393">
        <f t="shared" si="74"/>
        <v>75</v>
      </c>
      <c r="F108" s="349">
        <v>42000000</v>
      </c>
      <c r="G108" s="350">
        <v>10.81</v>
      </c>
      <c r="H108" s="312">
        <f t="shared" si="81"/>
        <v>2.952380952380957</v>
      </c>
      <c r="I108" s="201">
        <v>11.8</v>
      </c>
      <c r="J108" s="312">
        <f t="shared" si="82"/>
        <v>12.380952380952388</v>
      </c>
      <c r="K108" s="314">
        <v>0.41666666666666669</v>
      </c>
      <c r="L108" s="347">
        <v>8.73</v>
      </c>
      <c r="M108" s="331">
        <f t="shared" si="80"/>
        <v>16.857142857142854</v>
      </c>
      <c r="N108" s="349">
        <v>7000000</v>
      </c>
      <c r="O108" s="307" t="s">
        <v>167</v>
      </c>
      <c r="P108" s="316">
        <f t="shared" si="77"/>
        <v>87.380952380952394</v>
      </c>
      <c r="Q108" s="307"/>
    </row>
    <row r="109" spans="1:17" x14ac:dyDescent="0.25">
      <c r="A109" s="124" t="s">
        <v>828</v>
      </c>
      <c r="B109" s="261">
        <v>44132</v>
      </c>
      <c r="C109" s="124">
        <v>2.4900000000000002</v>
      </c>
      <c r="D109" s="124">
        <v>3.72</v>
      </c>
      <c r="E109" s="317">
        <f t="shared" si="74"/>
        <v>49.397590361445779</v>
      </c>
      <c r="F109" s="137">
        <v>42000000</v>
      </c>
      <c r="G109" s="131">
        <v>3.74</v>
      </c>
      <c r="H109" s="317">
        <f t="shared" si="81"/>
        <v>0.53763440860215106</v>
      </c>
      <c r="I109" s="131">
        <v>3.74</v>
      </c>
      <c r="J109" s="317">
        <f t="shared" si="82"/>
        <v>0.53763440860215106</v>
      </c>
      <c r="K109" s="280">
        <v>0.39652777777777781</v>
      </c>
      <c r="L109" s="124">
        <v>3.08</v>
      </c>
      <c r="M109" s="331">
        <f t="shared" si="80"/>
        <v>17.20430107526882</v>
      </c>
      <c r="N109" s="137">
        <v>4000000</v>
      </c>
      <c r="O109" s="124" t="s">
        <v>190</v>
      </c>
      <c r="P109" s="316">
        <f t="shared" si="77"/>
        <v>49.935224770047931</v>
      </c>
      <c r="Q109" s="124"/>
    </row>
    <row r="110" spans="1:17" x14ac:dyDescent="0.25">
      <c r="A110" s="124" t="s">
        <v>828</v>
      </c>
      <c r="B110" s="261">
        <v>44132</v>
      </c>
      <c r="C110" s="124">
        <v>2.4900000000000002</v>
      </c>
      <c r="D110" s="124">
        <v>3.72</v>
      </c>
      <c r="E110" s="317">
        <f t="shared" si="74"/>
        <v>49.397590361445779</v>
      </c>
      <c r="F110" s="137">
        <v>42000000</v>
      </c>
      <c r="G110" s="131">
        <v>3.74</v>
      </c>
      <c r="H110" s="317">
        <f t="shared" si="81"/>
        <v>0.53763440860215106</v>
      </c>
      <c r="I110" s="131">
        <v>3.74</v>
      </c>
      <c r="J110" s="317">
        <f t="shared" si="82"/>
        <v>0.53763440860215106</v>
      </c>
      <c r="K110" s="280">
        <v>0.39652777777777781</v>
      </c>
      <c r="L110" s="124">
        <v>3.08</v>
      </c>
      <c r="M110" s="331">
        <f t="shared" si="80"/>
        <v>17.20430107526882</v>
      </c>
      <c r="N110" s="137">
        <v>4000000</v>
      </c>
      <c r="O110" s="124" t="s">
        <v>190</v>
      </c>
      <c r="P110" s="316">
        <f t="shared" si="77"/>
        <v>49.935224770047931</v>
      </c>
      <c r="Q110" s="124"/>
    </row>
    <row r="111" spans="1:17" x14ac:dyDescent="0.25">
      <c r="A111" s="124" t="s">
        <v>840</v>
      </c>
      <c r="B111" s="261">
        <v>44160</v>
      </c>
      <c r="C111" s="124">
        <v>3.55</v>
      </c>
      <c r="D111" s="124">
        <v>8.11</v>
      </c>
      <c r="E111" s="317">
        <f t="shared" si="74"/>
        <v>128.45070422535213</v>
      </c>
      <c r="F111" s="137">
        <v>42000000</v>
      </c>
      <c r="G111" s="131">
        <v>8.4499999999999993</v>
      </c>
      <c r="H111" s="317">
        <f t="shared" si="81"/>
        <v>4.192355117139333</v>
      </c>
      <c r="I111" s="131">
        <v>8.4499999999999993</v>
      </c>
      <c r="J111" s="317">
        <f t="shared" si="82"/>
        <v>4.192355117139333</v>
      </c>
      <c r="K111" s="280">
        <v>0.3979166666666667</v>
      </c>
      <c r="L111" s="124">
        <v>7.05</v>
      </c>
      <c r="M111" s="331">
        <f t="shared" si="80"/>
        <v>13.070283600493216</v>
      </c>
      <c r="N111" s="137">
        <v>1000000</v>
      </c>
      <c r="O111" s="124" t="s">
        <v>167</v>
      </c>
      <c r="P111" s="316">
        <f t="shared" si="77"/>
        <v>132.64305934249145</v>
      </c>
      <c r="Q111" s="124"/>
    </row>
    <row r="112" spans="1:17" s="306" customFormat="1" x14ac:dyDescent="0.25">
      <c r="A112" s="307" t="s">
        <v>755</v>
      </c>
      <c r="B112" s="308">
        <v>43837</v>
      </c>
      <c r="C112" s="307">
        <v>1.07</v>
      </c>
      <c r="D112" s="307">
        <v>1.46</v>
      </c>
      <c r="E112" s="393">
        <f t="shared" si="74"/>
        <v>36.448598130841106</v>
      </c>
      <c r="F112" s="202">
        <v>40000000</v>
      </c>
      <c r="G112" s="201">
        <v>1.48</v>
      </c>
      <c r="H112" s="312">
        <f t="shared" si="81"/>
        <v>1.3698630136986314</v>
      </c>
      <c r="I112" s="201">
        <v>1.48</v>
      </c>
      <c r="J112" s="312">
        <f t="shared" si="82"/>
        <v>1.3698630136986314</v>
      </c>
      <c r="K112" s="314">
        <v>0.39583333333333331</v>
      </c>
      <c r="L112" s="307">
        <v>1.3</v>
      </c>
      <c r="M112" s="331">
        <f t="shared" si="80"/>
        <v>10.958904109589037</v>
      </c>
      <c r="N112" s="202">
        <v>42000000</v>
      </c>
      <c r="O112" s="307" t="s">
        <v>216</v>
      </c>
      <c r="P112" s="316">
        <f t="shared" si="77"/>
        <v>37.818461144539739</v>
      </c>
      <c r="Q112" s="307"/>
    </row>
    <row r="113" spans="1:17" s="339" customFormat="1" x14ac:dyDescent="0.25">
      <c r="A113" s="342" t="s">
        <v>168</v>
      </c>
      <c r="B113" s="333">
        <v>44007</v>
      </c>
      <c r="C113" s="332">
        <v>5.6</v>
      </c>
      <c r="D113" s="332">
        <v>6.43</v>
      </c>
      <c r="E113" s="394">
        <f t="shared" si="74"/>
        <v>14.821428571428575</v>
      </c>
      <c r="F113" s="335">
        <v>40000000</v>
      </c>
      <c r="G113" s="334">
        <v>6.7</v>
      </c>
      <c r="H113" s="336">
        <f t="shared" si="81"/>
        <v>4.1990668740280013</v>
      </c>
      <c r="I113" s="334">
        <v>7.72</v>
      </c>
      <c r="J113" s="336">
        <f t="shared" si="82"/>
        <v>20.062208398133748</v>
      </c>
      <c r="K113" s="337">
        <v>0.40347222222222223</v>
      </c>
      <c r="L113" s="332">
        <v>6.33</v>
      </c>
      <c r="M113" s="340">
        <f t="shared" si="80"/>
        <v>1.5552099533436958</v>
      </c>
      <c r="N113" s="335">
        <v>40000000</v>
      </c>
      <c r="O113" s="332" t="s">
        <v>190</v>
      </c>
      <c r="P113" s="338">
        <f t="shared" si="77"/>
        <v>34.883636969562325</v>
      </c>
      <c r="Q113" s="332" t="s">
        <v>832</v>
      </c>
    </row>
    <row r="114" spans="1:17" s="339" customFormat="1" x14ac:dyDescent="0.25">
      <c r="A114" s="332" t="s">
        <v>842</v>
      </c>
      <c r="B114" s="333">
        <v>44137</v>
      </c>
      <c r="C114" s="332">
        <v>1.23</v>
      </c>
      <c r="D114" s="332">
        <v>1.56</v>
      </c>
      <c r="E114" s="336">
        <f t="shared" si="74"/>
        <v>26.829268292682933</v>
      </c>
      <c r="F114" s="335">
        <v>40000000</v>
      </c>
      <c r="G114" s="334">
        <v>1.56</v>
      </c>
      <c r="H114" s="336">
        <f t="shared" si="81"/>
        <v>0</v>
      </c>
      <c r="I114" s="334">
        <v>2.08</v>
      </c>
      <c r="J114" s="336">
        <f t="shared" si="82"/>
        <v>33.333333333333329</v>
      </c>
      <c r="K114" s="337">
        <v>0.65625</v>
      </c>
      <c r="L114" s="332">
        <v>1.98</v>
      </c>
      <c r="M114" s="346">
        <f t="shared" si="80"/>
        <v>-26.923076923076916</v>
      </c>
      <c r="N114" s="335">
        <v>14000000</v>
      </c>
      <c r="O114" s="332" t="s">
        <v>167</v>
      </c>
      <c r="P114" s="338">
        <f t="shared" si="77"/>
        <v>60.162601626016261</v>
      </c>
      <c r="Q114" s="332" t="s">
        <v>832</v>
      </c>
    </row>
    <row r="115" spans="1:17" s="306" customFormat="1" x14ac:dyDescent="0.25">
      <c r="A115" s="307" t="s">
        <v>250</v>
      </c>
      <c r="B115" s="308">
        <v>44098</v>
      </c>
      <c r="C115" s="307">
        <v>6.29</v>
      </c>
      <c r="D115" s="307">
        <v>15.3</v>
      </c>
      <c r="E115" s="393">
        <f t="shared" si="74"/>
        <v>143.24324324324326</v>
      </c>
      <c r="F115" s="202">
        <v>40000000</v>
      </c>
      <c r="G115" s="201">
        <v>15.3</v>
      </c>
      <c r="H115" s="312">
        <f t="shared" si="81"/>
        <v>0</v>
      </c>
      <c r="I115" s="201">
        <v>15.3</v>
      </c>
      <c r="J115" s="312">
        <f t="shared" si="82"/>
        <v>0</v>
      </c>
      <c r="K115" s="314">
        <v>0.39583333333333331</v>
      </c>
      <c r="L115" s="316">
        <v>8.4499999999999993</v>
      </c>
      <c r="M115" s="331">
        <f t="shared" si="80"/>
        <v>44.771241830065364</v>
      </c>
      <c r="N115" s="202">
        <v>3000000</v>
      </c>
      <c r="O115" s="307" t="s">
        <v>185</v>
      </c>
      <c r="P115" s="316">
        <f t="shared" si="77"/>
        <v>143.24324324324326</v>
      </c>
      <c r="Q115" s="307"/>
    </row>
    <row r="116" spans="1:17" s="306" customFormat="1" x14ac:dyDescent="0.25">
      <c r="A116" s="347" t="s">
        <v>251</v>
      </c>
      <c r="B116" s="308">
        <v>44074</v>
      </c>
      <c r="C116" s="307">
        <v>2.36</v>
      </c>
      <c r="D116" s="307">
        <v>3.34</v>
      </c>
      <c r="E116" s="393">
        <f t="shared" si="74"/>
        <v>41.525423728813557</v>
      </c>
      <c r="F116" s="202">
        <v>40000000</v>
      </c>
      <c r="G116" s="201">
        <v>3.34</v>
      </c>
      <c r="H116" s="312">
        <f t="shared" si="81"/>
        <v>0</v>
      </c>
      <c r="I116" s="201">
        <v>3.34</v>
      </c>
      <c r="J116" s="312">
        <f t="shared" si="82"/>
        <v>0</v>
      </c>
      <c r="K116" s="314">
        <v>0.39652777777777781</v>
      </c>
      <c r="L116" s="307">
        <v>3.01</v>
      </c>
      <c r="M116" s="331">
        <f t="shared" si="80"/>
        <v>9.8802395209580869</v>
      </c>
      <c r="N116" s="202">
        <v>300000000</v>
      </c>
      <c r="O116" s="307" t="s">
        <v>167</v>
      </c>
      <c r="P116" s="316">
        <f t="shared" si="77"/>
        <v>41.525423728813557</v>
      </c>
      <c r="Q116" s="307"/>
    </row>
    <row r="117" spans="1:17" s="306" customFormat="1" x14ac:dyDescent="0.25">
      <c r="A117" s="347" t="s">
        <v>252</v>
      </c>
      <c r="B117" s="308">
        <v>43966</v>
      </c>
      <c r="C117" s="307">
        <v>1.24</v>
      </c>
      <c r="D117" s="307">
        <v>2.61</v>
      </c>
      <c r="E117" s="393">
        <f t="shared" si="74"/>
        <v>110.48387096774192</v>
      </c>
      <c r="F117" s="202">
        <v>40000000</v>
      </c>
      <c r="G117" s="201">
        <v>2.95</v>
      </c>
      <c r="H117" s="312">
        <f t="shared" si="81"/>
        <v>13.02681992337166</v>
      </c>
      <c r="I117" s="201">
        <v>2.95</v>
      </c>
      <c r="J117" s="312">
        <f t="shared" si="82"/>
        <v>13.02681992337166</v>
      </c>
      <c r="K117" s="314">
        <v>0.3979166666666667</v>
      </c>
      <c r="L117" s="307">
        <v>1.56</v>
      </c>
      <c r="M117" s="331">
        <f t="shared" si="80"/>
        <v>40.229885057471257</v>
      </c>
      <c r="N117" s="202">
        <v>4000000</v>
      </c>
      <c r="O117" s="307" t="s">
        <v>167</v>
      </c>
      <c r="P117" s="316">
        <f t="shared" si="77"/>
        <v>123.51069089111358</v>
      </c>
      <c r="Q117" s="307"/>
    </row>
    <row r="118" spans="1:17" s="306" customFormat="1" x14ac:dyDescent="0.25">
      <c r="A118" s="307" t="s">
        <v>253</v>
      </c>
      <c r="B118" s="308">
        <v>43886</v>
      </c>
      <c r="C118" s="201">
        <v>4.18</v>
      </c>
      <c r="D118" s="307">
        <v>5.94</v>
      </c>
      <c r="E118" s="393">
        <f t="shared" si="74"/>
        <v>42.105263157894754</v>
      </c>
      <c r="F118" s="202">
        <v>40000000</v>
      </c>
      <c r="G118" s="201">
        <v>6.17</v>
      </c>
      <c r="H118" s="312">
        <f t="shared" si="81"/>
        <v>3.872053872053864</v>
      </c>
      <c r="I118" s="201">
        <v>6.17</v>
      </c>
      <c r="J118" s="312">
        <f t="shared" si="82"/>
        <v>3.872053872053864</v>
      </c>
      <c r="K118" s="314">
        <v>0.39930555555555558</v>
      </c>
      <c r="L118" s="307">
        <v>4.76</v>
      </c>
      <c r="M118" s="331">
        <f t="shared" si="80"/>
        <v>19.865319865319876</v>
      </c>
      <c r="N118" s="202">
        <v>60000000</v>
      </c>
      <c r="O118" s="307" t="s">
        <v>167</v>
      </c>
      <c r="P118" s="316">
        <f t="shared" si="77"/>
        <v>45.977317029948615</v>
      </c>
      <c r="Q118" s="307"/>
    </row>
    <row r="119" spans="1:17" s="306" customFormat="1" x14ac:dyDescent="0.25">
      <c r="A119" s="307" t="s">
        <v>223</v>
      </c>
      <c r="B119" s="308">
        <v>44109</v>
      </c>
      <c r="C119" s="307">
        <v>4.04</v>
      </c>
      <c r="D119" s="307">
        <v>5.72</v>
      </c>
      <c r="E119" s="393">
        <f t="shared" si="74"/>
        <v>41.584158415841578</v>
      </c>
      <c r="F119" s="202">
        <v>40000000</v>
      </c>
      <c r="G119" s="201">
        <v>5.73</v>
      </c>
      <c r="H119" s="312">
        <v>0</v>
      </c>
      <c r="I119" s="201">
        <v>5.74</v>
      </c>
      <c r="J119" s="312">
        <f t="shared" si="82"/>
        <v>0.34965034965035774</v>
      </c>
      <c r="K119" s="314">
        <v>0.42708333333333331</v>
      </c>
      <c r="L119" s="307">
        <v>4.84</v>
      </c>
      <c r="M119" s="331">
        <f t="shared" si="80"/>
        <v>15.384615384615383</v>
      </c>
      <c r="N119" s="202">
        <v>5000000</v>
      </c>
      <c r="O119" s="307" t="s">
        <v>190</v>
      </c>
      <c r="P119" s="316">
        <f t="shared" si="77"/>
        <v>41.933808765491939</v>
      </c>
      <c r="Q119" s="307"/>
    </row>
    <row r="120" spans="1:17" x14ac:dyDescent="0.25">
      <c r="A120" s="260" t="s">
        <v>252</v>
      </c>
      <c r="B120" s="261">
        <v>43966</v>
      </c>
      <c r="C120" s="124">
        <v>1.24</v>
      </c>
      <c r="D120" s="124">
        <v>2.61</v>
      </c>
      <c r="E120" s="392">
        <f t="shared" si="74"/>
        <v>110.48387096774192</v>
      </c>
      <c r="F120" s="137">
        <v>40000000</v>
      </c>
      <c r="G120" s="131">
        <v>2.95</v>
      </c>
      <c r="H120" s="267">
        <f>(G120-D120)/D120*100</f>
        <v>13.02681992337166</v>
      </c>
      <c r="I120" s="131">
        <v>2.95</v>
      </c>
      <c r="J120" s="267">
        <f t="shared" si="82"/>
        <v>13.02681992337166</v>
      </c>
      <c r="K120" s="280">
        <v>0.3979166666666667</v>
      </c>
      <c r="L120" s="124">
        <v>1.56</v>
      </c>
      <c r="M120" s="331">
        <f t="shared" si="80"/>
        <v>40.229885057471257</v>
      </c>
      <c r="N120" s="137">
        <v>4000000</v>
      </c>
      <c r="O120" s="124" t="s">
        <v>167</v>
      </c>
      <c r="P120" s="146">
        <f t="shared" si="77"/>
        <v>123.51069089111358</v>
      </c>
      <c r="Q120" s="124"/>
    </row>
    <row r="121" spans="1:17" ht="21" x14ac:dyDescent="0.25">
      <c r="A121" s="262" t="s">
        <v>254</v>
      </c>
      <c r="B121" s="273">
        <f>(B97+B98++B99+B100+B102+B103+B105+B106+B107+B108+B112+B113+B115+B116+B117+B118+B120+B119)/17</f>
        <v>46626.823529411762</v>
      </c>
      <c r="C121" s="273">
        <f t="shared" ref="C121:L121" si="83">(C97+C98++C99+C100+C102+C103+C105+C106+C107+C108+C112+C113+C115+C116+C117+C118+C120+C119+C109+C110+C114+C101+C111+C104)/24</f>
        <v>3.112083333333334</v>
      </c>
      <c r="D121" s="273">
        <f t="shared" si="83"/>
        <v>4.9929166666666669</v>
      </c>
      <c r="E121" s="273">
        <f t="shared" si="83"/>
        <v>56.252524232748023</v>
      </c>
      <c r="F121" s="273">
        <f t="shared" si="83"/>
        <v>43208333.333333336</v>
      </c>
      <c r="G121" s="273">
        <f t="shared" si="83"/>
        <v>5.111250000000001</v>
      </c>
      <c r="H121" s="273">
        <f t="shared" si="83"/>
        <v>2.700549573400334</v>
      </c>
      <c r="I121" s="273">
        <f t="shared" si="83"/>
        <v>5.3187500000000005</v>
      </c>
      <c r="J121" s="273">
        <f t="shared" si="83"/>
        <v>7.3086912131462638</v>
      </c>
      <c r="K121" s="273">
        <f t="shared" si="83"/>
        <v>0.41814236111111108</v>
      </c>
      <c r="L121" s="273">
        <f t="shared" si="83"/>
        <v>4.0458333333333334</v>
      </c>
      <c r="M121" s="273">
        <f>(M97+M98++M99+M100+M102+M103+M105+M106+M107+M108+M112+M113+M115+M116+M117+M118+M120+M119+M109+M110+M114+M101+M111+M104)/24</f>
        <v>15.519730362711819</v>
      </c>
      <c r="N121" s="273">
        <f t="shared" ref="N121:O121" si="84">(N97+N98++N99+N100+N102+N103+N105+N106+N107+N108+N112+N113+N115+N116+N117+N118+N120+N119+N109+N110+N114+N101+N111+N104)/24</f>
        <v>27416666.666666668</v>
      </c>
      <c r="O121" s="273" t="e">
        <f t="shared" si="84"/>
        <v>#VALUE!</v>
      </c>
      <c r="P121" s="273">
        <f t="shared" ref="P121" si="85">(P97+P98++P99+P100+P102+P103+P105+P106+P107+P108+P112+P113+P115+P116+P117+P118+P120+P119+P109+P110+P114+P101+P111)/23</f>
        <v>62.740517161556504</v>
      </c>
      <c r="Q121" s="411">
        <f>(1/24)*100</f>
        <v>4.1666666666666661</v>
      </c>
    </row>
    <row r="122" spans="1:17" ht="21" x14ac:dyDescent="0.25">
      <c r="A122" s="139" t="s">
        <v>108</v>
      </c>
      <c r="B122" s="139" t="s">
        <v>107</v>
      </c>
      <c r="C122" s="139" t="s">
        <v>152</v>
      </c>
      <c r="D122" s="139" t="s">
        <v>153</v>
      </c>
      <c r="E122" s="139" t="s">
        <v>154</v>
      </c>
      <c r="F122" s="139" t="s">
        <v>155</v>
      </c>
      <c r="G122" s="263" t="s">
        <v>156</v>
      </c>
      <c r="H122" s="263" t="s">
        <v>157</v>
      </c>
      <c r="I122" s="263" t="s">
        <v>158</v>
      </c>
      <c r="J122" s="263" t="s">
        <v>159</v>
      </c>
      <c r="K122" s="263" t="s">
        <v>160</v>
      </c>
      <c r="L122" s="139" t="s">
        <v>161</v>
      </c>
      <c r="M122" s="139" t="s">
        <v>162</v>
      </c>
      <c r="N122" s="291" t="s">
        <v>163</v>
      </c>
      <c r="O122" s="285" t="s">
        <v>164</v>
      </c>
      <c r="P122" s="285" t="s">
        <v>174</v>
      </c>
      <c r="Q122" s="124"/>
    </row>
    <row r="123" spans="1:17" s="306" customFormat="1" x14ac:dyDescent="0.25">
      <c r="A123" s="307" t="s">
        <v>679</v>
      </c>
      <c r="B123" s="308">
        <v>44004</v>
      </c>
      <c r="C123" s="307">
        <v>2.35</v>
      </c>
      <c r="D123" s="307">
        <v>4.53</v>
      </c>
      <c r="E123" s="393">
        <f t="shared" ref="E123:E151" si="86">(D123-C123)/C123*100</f>
        <v>92.765957446808514</v>
      </c>
      <c r="F123" s="202">
        <v>39000000</v>
      </c>
      <c r="G123" s="201">
        <v>5.01</v>
      </c>
      <c r="H123" s="312">
        <f t="shared" ref="H123:H151" si="87">(G123-D123)/D123*100</f>
        <v>10.596026490066214</v>
      </c>
      <c r="I123" s="201">
        <v>5</v>
      </c>
      <c r="J123" s="312">
        <f t="shared" ref="J123:J151" si="88">(I123-D123)/D123*100</f>
        <v>10.375275938189839</v>
      </c>
      <c r="K123" s="314">
        <v>0.3972222222222222</v>
      </c>
      <c r="L123" s="307">
        <v>3.8</v>
      </c>
      <c r="M123" s="311">
        <f>(D123-L123)/D123*100</f>
        <v>16.114790286975726</v>
      </c>
      <c r="N123" s="202">
        <v>25000000</v>
      </c>
      <c r="O123" s="307" t="s">
        <v>170</v>
      </c>
      <c r="P123" s="316">
        <f t="shared" ref="P123:P151" si="89">E123+J123</f>
        <v>103.14123338499836</v>
      </c>
      <c r="Q123" s="307"/>
    </row>
    <row r="124" spans="1:17" s="306" customFormat="1" x14ac:dyDescent="0.25">
      <c r="A124" s="307" t="s">
        <v>220</v>
      </c>
      <c r="B124" s="308">
        <v>44117</v>
      </c>
      <c r="C124" s="307">
        <v>1.33</v>
      </c>
      <c r="D124" s="307">
        <v>2.5</v>
      </c>
      <c r="E124" s="393">
        <f t="shared" si="86"/>
        <v>87.969924812030058</v>
      </c>
      <c r="F124" s="202">
        <v>39000000</v>
      </c>
      <c r="G124" s="201">
        <v>2.5299999999999998</v>
      </c>
      <c r="H124" s="312">
        <f t="shared" si="87"/>
        <v>1.1999999999999922</v>
      </c>
      <c r="I124" s="201">
        <v>2.5299999999999998</v>
      </c>
      <c r="J124" s="312">
        <f t="shared" si="88"/>
        <v>1.1999999999999922</v>
      </c>
      <c r="K124" s="314">
        <v>0.3756944444444445</v>
      </c>
      <c r="L124" s="307">
        <v>1.8</v>
      </c>
      <c r="M124" s="311">
        <f t="shared" ref="M124:M149" si="90">(D124-L124)/D124*100</f>
        <v>27.999999999999996</v>
      </c>
      <c r="N124" s="202">
        <v>67000000</v>
      </c>
      <c r="O124" s="307" t="s">
        <v>190</v>
      </c>
      <c r="P124" s="316">
        <f t="shared" si="89"/>
        <v>89.169924812030047</v>
      </c>
      <c r="Q124" s="307"/>
    </row>
    <row r="125" spans="1:17" s="141" customFormat="1" x14ac:dyDescent="0.25">
      <c r="A125" s="138" t="s">
        <v>831</v>
      </c>
      <c r="B125" s="143">
        <v>44130</v>
      </c>
      <c r="C125" s="138">
        <v>3.26</v>
      </c>
      <c r="D125" s="138">
        <v>5.75</v>
      </c>
      <c r="E125" s="267">
        <f t="shared" si="86"/>
        <v>76.380368098159522</v>
      </c>
      <c r="F125" s="256">
        <v>39000000</v>
      </c>
      <c r="G125" s="144">
        <v>5.84</v>
      </c>
      <c r="H125" s="267">
        <f t="shared" si="87"/>
        <v>1.5652173913043455</v>
      </c>
      <c r="I125" s="144">
        <v>5.84</v>
      </c>
      <c r="J125" s="267">
        <f t="shared" si="88"/>
        <v>1.5652173913043455</v>
      </c>
      <c r="K125" s="265">
        <v>0.3972222222222222</v>
      </c>
      <c r="L125" s="138">
        <v>4.5</v>
      </c>
      <c r="M125" s="271">
        <f t="shared" si="90"/>
        <v>21.739130434782609</v>
      </c>
      <c r="N125" s="256">
        <v>7000000</v>
      </c>
      <c r="O125" s="138" t="s">
        <v>216</v>
      </c>
      <c r="P125" s="417">
        <f t="shared" si="89"/>
        <v>77.945585489463866</v>
      </c>
      <c r="Q125" s="138"/>
    </row>
    <row r="126" spans="1:17" x14ac:dyDescent="0.25">
      <c r="A126" s="124" t="s">
        <v>754</v>
      </c>
      <c r="B126" s="261">
        <v>44160</v>
      </c>
      <c r="C126" s="124">
        <v>1.71</v>
      </c>
      <c r="D126" s="124">
        <v>2.2000000000000002</v>
      </c>
      <c r="E126" s="317">
        <f t="shared" si="86"/>
        <v>28.654970760233933</v>
      </c>
      <c r="F126" s="137">
        <v>38000000</v>
      </c>
      <c r="G126" s="131">
        <v>2.6</v>
      </c>
      <c r="H126" s="317">
        <f t="shared" si="87"/>
        <v>18.181818181818176</v>
      </c>
      <c r="I126" s="131">
        <v>2.74</v>
      </c>
      <c r="J126" s="317">
        <f t="shared" si="88"/>
        <v>24.545454545454547</v>
      </c>
      <c r="K126" s="280">
        <v>0.40069444444444446</v>
      </c>
      <c r="L126" s="370">
        <v>8.6805555555555566E-2</v>
      </c>
      <c r="M126" s="331">
        <f t="shared" si="90"/>
        <v>96.054292929292941</v>
      </c>
      <c r="N126" s="137">
        <v>35000000</v>
      </c>
      <c r="O126" s="124" t="s">
        <v>190</v>
      </c>
      <c r="P126" s="316">
        <f t="shared" si="89"/>
        <v>53.200425305688483</v>
      </c>
      <c r="Q126" s="124"/>
    </row>
    <row r="127" spans="1:17" s="306" customFormat="1" x14ac:dyDescent="0.25">
      <c r="A127" s="307" t="s">
        <v>770</v>
      </c>
      <c r="B127" s="308">
        <v>44008</v>
      </c>
      <c r="C127" s="307">
        <v>1.1499999999999999</v>
      </c>
      <c r="D127" s="307">
        <v>2.77</v>
      </c>
      <c r="E127" s="312">
        <f t="shared" si="86"/>
        <v>140.86956521739134</v>
      </c>
      <c r="F127" s="202">
        <v>37000000</v>
      </c>
      <c r="G127" s="201">
        <v>2.87</v>
      </c>
      <c r="H127" s="312">
        <f t="shared" si="87"/>
        <v>3.6101083032491008</v>
      </c>
      <c r="I127" s="201">
        <v>2.88</v>
      </c>
      <c r="J127" s="312">
        <f t="shared" si="88"/>
        <v>3.9711191335740024</v>
      </c>
      <c r="K127" s="314">
        <v>0.3979166666666667</v>
      </c>
      <c r="L127" s="307">
        <v>2.0499999999999998</v>
      </c>
      <c r="M127" s="311">
        <f t="shared" si="90"/>
        <v>25.992779783393509</v>
      </c>
      <c r="N127" s="202">
        <v>5000000</v>
      </c>
      <c r="O127" s="307" t="s">
        <v>216</v>
      </c>
      <c r="P127" s="316">
        <f t="shared" si="89"/>
        <v>144.84068435096535</v>
      </c>
      <c r="Q127" s="307"/>
    </row>
    <row r="128" spans="1:17" s="306" customFormat="1" x14ac:dyDescent="0.25">
      <c r="A128" s="347" t="s">
        <v>224</v>
      </c>
      <c r="B128" s="308">
        <v>43965</v>
      </c>
      <c r="C128" s="307">
        <v>2.36</v>
      </c>
      <c r="D128" s="307">
        <v>3.24</v>
      </c>
      <c r="E128" s="393">
        <f t="shared" si="86"/>
        <v>37.288135593220353</v>
      </c>
      <c r="F128" s="202">
        <v>37000000</v>
      </c>
      <c r="G128" s="201">
        <v>3.35</v>
      </c>
      <c r="H128" s="312">
        <f t="shared" si="87"/>
        <v>3.3950617283950573</v>
      </c>
      <c r="I128" s="201">
        <v>3.45</v>
      </c>
      <c r="J128" s="312">
        <f t="shared" si="88"/>
        <v>6.4814814814814801</v>
      </c>
      <c r="K128" s="314">
        <v>0.40625</v>
      </c>
      <c r="L128" s="307">
        <v>2.89</v>
      </c>
      <c r="M128" s="311">
        <f t="shared" si="90"/>
        <v>10.802469135802472</v>
      </c>
      <c r="N128" s="202">
        <v>36000000</v>
      </c>
      <c r="O128" s="307" t="s">
        <v>190</v>
      </c>
      <c r="P128" s="316">
        <f t="shared" si="89"/>
        <v>43.769617074701834</v>
      </c>
      <c r="Q128" s="307"/>
    </row>
    <row r="129" spans="1:17" s="306" customFormat="1" x14ac:dyDescent="0.25">
      <c r="A129" s="307" t="s">
        <v>766</v>
      </c>
      <c r="B129" s="308">
        <v>44061</v>
      </c>
      <c r="C129" s="307">
        <v>1.37</v>
      </c>
      <c r="D129" s="307">
        <v>2.1800000000000002</v>
      </c>
      <c r="E129" s="312">
        <f t="shared" si="86"/>
        <v>59.124087591240873</v>
      </c>
      <c r="F129" s="202">
        <v>37000000</v>
      </c>
      <c r="G129" s="201">
        <v>2.2599999999999998</v>
      </c>
      <c r="H129" s="312">
        <f t="shared" si="87"/>
        <v>3.6697247706421847</v>
      </c>
      <c r="I129" s="201">
        <v>2.57</v>
      </c>
      <c r="J129" s="312">
        <f t="shared" si="88"/>
        <v>17.88990825688072</v>
      </c>
      <c r="K129" s="314">
        <v>0.4236111111111111</v>
      </c>
      <c r="L129" s="307">
        <v>1.77</v>
      </c>
      <c r="M129" s="311">
        <f t="shared" si="90"/>
        <v>18.807339449541288</v>
      </c>
      <c r="N129" s="202">
        <v>5000000</v>
      </c>
      <c r="O129" s="307" t="s">
        <v>216</v>
      </c>
      <c r="P129" s="316">
        <f t="shared" si="89"/>
        <v>77.013995848121596</v>
      </c>
      <c r="Q129" s="307"/>
    </row>
    <row r="130" spans="1:17" s="306" customFormat="1" x14ac:dyDescent="0.25">
      <c r="A130" s="307" t="s">
        <v>863</v>
      </c>
      <c r="B130" s="308">
        <v>44154</v>
      </c>
      <c r="C130" s="307">
        <v>1.53</v>
      </c>
      <c r="D130" s="307">
        <v>2.4500000000000002</v>
      </c>
      <c r="E130" s="312">
        <f t="shared" si="86"/>
        <v>60.130718954248373</v>
      </c>
      <c r="F130" s="202">
        <v>37000000</v>
      </c>
      <c r="G130" s="201">
        <v>2.5</v>
      </c>
      <c r="H130" s="312">
        <f t="shared" si="87"/>
        <v>2.0408163265306047</v>
      </c>
      <c r="I130" s="201">
        <v>2.5</v>
      </c>
      <c r="J130" s="312">
        <f t="shared" si="88"/>
        <v>2.0408163265306047</v>
      </c>
      <c r="K130" s="314">
        <v>0.39930555555555558</v>
      </c>
      <c r="L130" s="307">
        <v>2.33</v>
      </c>
      <c r="M130" s="311">
        <f t="shared" si="90"/>
        <v>4.897959183673473</v>
      </c>
      <c r="N130" s="202">
        <v>20000000</v>
      </c>
      <c r="O130" s="307" t="s">
        <v>170</v>
      </c>
      <c r="P130" s="316">
        <f t="shared" si="89"/>
        <v>62.171535280778976</v>
      </c>
      <c r="Q130" s="307"/>
    </row>
    <row r="131" spans="1:17" s="306" customFormat="1" x14ac:dyDescent="0.25">
      <c r="A131" s="347" t="s">
        <v>255</v>
      </c>
      <c r="B131" s="308">
        <v>44047</v>
      </c>
      <c r="C131" s="307">
        <v>2.87</v>
      </c>
      <c r="D131" s="307">
        <v>11.2</v>
      </c>
      <c r="E131" s="393">
        <f t="shared" si="86"/>
        <v>290.24390243902434</v>
      </c>
      <c r="F131" s="202">
        <v>36000000</v>
      </c>
      <c r="G131" s="201">
        <v>13.15</v>
      </c>
      <c r="H131" s="312">
        <f t="shared" si="87"/>
        <v>17.410714285714295</v>
      </c>
      <c r="I131" s="201">
        <v>13.15</v>
      </c>
      <c r="J131" s="312">
        <f t="shared" si="88"/>
        <v>17.410714285714295</v>
      </c>
      <c r="K131" s="314">
        <v>0.39652777777777781</v>
      </c>
      <c r="L131" s="307">
        <v>5.34</v>
      </c>
      <c r="M131" s="311">
        <f t="shared" si="90"/>
        <v>52.321428571428577</v>
      </c>
      <c r="N131" s="202">
        <v>13.151</v>
      </c>
      <c r="O131" s="307" t="s">
        <v>170</v>
      </c>
      <c r="P131" s="316">
        <f t="shared" si="89"/>
        <v>307.65461672473862</v>
      </c>
      <c r="Q131" s="307"/>
    </row>
    <row r="132" spans="1:17" s="306" customFormat="1" x14ac:dyDescent="0.25">
      <c r="A132" s="347" t="s">
        <v>256</v>
      </c>
      <c r="B132" s="308">
        <v>43853</v>
      </c>
      <c r="C132" s="307">
        <v>1.1200000000000001</v>
      </c>
      <c r="D132" s="307">
        <v>2.77</v>
      </c>
      <c r="E132" s="393">
        <f t="shared" si="86"/>
        <v>147.32142857142856</v>
      </c>
      <c r="F132" s="202">
        <v>36000000</v>
      </c>
      <c r="G132" s="201">
        <v>2.87</v>
      </c>
      <c r="H132" s="312">
        <f t="shared" si="87"/>
        <v>3.6101083032491008</v>
      </c>
      <c r="I132" s="201">
        <v>2.87</v>
      </c>
      <c r="J132" s="312">
        <f t="shared" si="88"/>
        <v>3.6101083032491008</v>
      </c>
      <c r="K132" s="314">
        <v>0.39583333333333331</v>
      </c>
      <c r="L132" s="307">
        <v>2.02</v>
      </c>
      <c r="M132" s="311">
        <f t="shared" si="90"/>
        <v>27.075812274368232</v>
      </c>
      <c r="N132" s="202">
        <v>18000000</v>
      </c>
      <c r="O132" s="307" t="s">
        <v>190</v>
      </c>
      <c r="P132" s="316">
        <f t="shared" si="89"/>
        <v>150.93153687467765</v>
      </c>
      <c r="Q132" s="307"/>
    </row>
    <row r="133" spans="1:17" s="306" customFormat="1" x14ac:dyDescent="0.25">
      <c r="A133" s="307" t="s">
        <v>270</v>
      </c>
      <c r="B133" s="308">
        <v>44151</v>
      </c>
      <c r="C133" s="307">
        <v>2.96</v>
      </c>
      <c r="D133" s="307">
        <v>3.4</v>
      </c>
      <c r="E133" s="312">
        <f t="shared" si="86"/>
        <v>14.864864864864863</v>
      </c>
      <c r="F133" s="202">
        <v>35000000</v>
      </c>
      <c r="G133" s="201">
        <v>3.4</v>
      </c>
      <c r="H133" s="312">
        <f t="shared" si="87"/>
        <v>0</v>
      </c>
      <c r="I133" s="201">
        <v>3.4</v>
      </c>
      <c r="J133" s="312">
        <f t="shared" si="88"/>
        <v>0</v>
      </c>
      <c r="K133" s="314">
        <v>0.39583333333333331</v>
      </c>
      <c r="L133" s="307">
        <v>3.1</v>
      </c>
      <c r="M133" s="311">
        <f t="shared" si="90"/>
        <v>8.8235294117647012</v>
      </c>
      <c r="N133" s="202">
        <v>50000000</v>
      </c>
      <c r="O133" s="307" t="s">
        <v>190</v>
      </c>
      <c r="P133" s="316">
        <f t="shared" si="89"/>
        <v>14.864864864864863</v>
      </c>
      <c r="Q133" s="307"/>
    </row>
    <row r="134" spans="1:17" s="339" customFormat="1" x14ac:dyDescent="0.25">
      <c r="A134" s="342" t="s">
        <v>258</v>
      </c>
      <c r="B134" s="343">
        <v>43948</v>
      </c>
      <c r="C134" s="342">
        <v>5.45</v>
      </c>
      <c r="D134" s="342">
        <v>7</v>
      </c>
      <c r="E134" s="394">
        <f t="shared" si="86"/>
        <v>28.440366972477062</v>
      </c>
      <c r="F134" s="344">
        <v>33000000</v>
      </c>
      <c r="G134" s="345">
        <v>7.51</v>
      </c>
      <c r="H134" s="336">
        <f t="shared" si="87"/>
        <v>7.2857142857142829</v>
      </c>
      <c r="I134" s="334">
        <v>10.25</v>
      </c>
      <c r="J134" s="336">
        <f t="shared" si="88"/>
        <v>46.428571428571431</v>
      </c>
      <c r="K134" s="337">
        <v>0.5625</v>
      </c>
      <c r="L134" s="342">
        <v>7.22</v>
      </c>
      <c r="M134" s="346">
        <f t="shared" si="90"/>
        <v>-3.1428571428571397</v>
      </c>
      <c r="N134" s="344">
        <v>1000000</v>
      </c>
      <c r="O134" s="332" t="s">
        <v>190</v>
      </c>
      <c r="P134" s="338">
        <f t="shared" si="89"/>
        <v>74.868938401048496</v>
      </c>
      <c r="Q134" s="332" t="s">
        <v>832</v>
      </c>
    </row>
    <row r="135" spans="1:17" s="306" customFormat="1" x14ac:dyDescent="0.25">
      <c r="A135" s="347" t="s">
        <v>259</v>
      </c>
      <c r="B135" s="308">
        <v>44056</v>
      </c>
      <c r="C135" s="307">
        <v>3.52</v>
      </c>
      <c r="D135" s="307">
        <v>9.35</v>
      </c>
      <c r="E135" s="393">
        <f t="shared" si="86"/>
        <v>165.625</v>
      </c>
      <c r="F135" s="202">
        <v>33000000</v>
      </c>
      <c r="G135" s="201">
        <v>10.210000000000001</v>
      </c>
      <c r="H135" s="312">
        <f t="shared" si="87"/>
        <v>9.1978609625668568</v>
      </c>
      <c r="I135" s="201">
        <v>10.210000000000001</v>
      </c>
      <c r="J135" s="312">
        <f t="shared" si="88"/>
        <v>9.1978609625668568</v>
      </c>
      <c r="K135" s="314">
        <v>0.3979166666666667</v>
      </c>
      <c r="L135" s="307">
        <v>7.03</v>
      </c>
      <c r="M135" s="311">
        <f t="shared" si="90"/>
        <v>24.812834224598927</v>
      </c>
      <c r="N135" s="202">
        <v>1000000</v>
      </c>
      <c r="O135" s="307" t="s">
        <v>170</v>
      </c>
      <c r="P135" s="316">
        <f t="shared" si="89"/>
        <v>174.82286096256686</v>
      </c>
      <c r="Q135" s="307"/>
    </row>
    <row r="136" spans="1:17" s="306" customFormat="1" x14ac:dyDescent="0.25">
      <c r="A136" s="307" t="s">
        <v>552</v>
      </c>
      <c r="B136" s="308">
        <v>43844</v>
      </c>
      <c r="C136" s="307">
        <v>1.47</v>
      </c>
      <c r="D136" s="307">
        <v>2.25</v>
      </c>
      <c r="E136" s="312">
        <f t="shared" si="86"/>
        <v>53.061224489795919</v>
      </c>
      <c r="F136" s="202">
        <v>33000000</v>
      </c>
      <c r="G136" s="201">
        <v>2.35</v>
      </c>
      <c r="H136" s="312">
        <f t="shared" si="87"/>
        <v>4.4444444444444482</v>
      </c>
      <c r="I136" s="201">
        <v>2.62</v>
      </c>
      <c r="J136" s="312">
        <f t="shared" si="88"/>
        <v>16.44444444444445</v>
      </c>
      <c r="K136" s="314">
        <v>0.41875000000000001</v>
      </c>
      <c r="L136" s="307">
        <v>1.58</v>
      </c>
      <c r="M136" s="311">
        <f t="shared" si="90"/>
        <v>29.777777777777775</v>
      </c>
      <c r="N136" s="202">
        <v>64000000</v>
      </c>
      <c r="O136" s="307" t="s">
        <v>216</v>
      </c>
      <c r="P136" s="316">
        <f t="shared" si="89"/>
        <v>69.505668934240362</v>
      </c>
      <c r="Q136" s="307"/>
    </row>
    <row r="137" spans="1:17" s="306" customFormat="1" x14ac:dyDescent="0.25">
      <c r="A137" s="326" t="s">
        <v>262</v>
      </c>
      <c r="B137" s="327">
        <v>44085</v>
      </c>
      <c r="C137" s="328">
        <v>7.72</v>
      </c>
      <c r="D137" s="326">
        <v>9.86</v>
      </c>
      <c r="E137" s="399">
        <f t="shared" si="86"/>
        <v>27.720207253886009</v>
      </c>
      <c r="F137" s="329">
        <v>32000000</v>
      </c>
      <c r="G137" s="328">
        <v>10.199999999999999</v>
      </c>
      <c r="H137" s="361">
        <f t="shared" si="87"/>
        <v>3.448275862068964</v>
      </c>
      <c r="I137" s="328">
        <v>10.74</v>
      </c>
      <c r="J137" s="361">
        <f t="shared" si="88"/>
        <v>8.9249492900608605</v>
      </c>
      <c r="K137" s="330">
        <v>9.5500000000000007</v>
      </c>
      <c r="L137" s="326">
        <v>8.7200000000000006</v>
      </c>
      <c r="M137" s="311">
        <f t="shared" si="90"/>
        <v>11.561866125760638</v>
      </c>
      <c r="N137" s="329">
        <v>10000000</v>
      </c>
      <c r="O137" s="326" t="s">
        <v>167</v>
      </c>
      <c r="P137" s="316">
        <f t="shared" si="89"/>
        <v>36.645156543946868</v>
      </c>
      <c r="Q137" s="307"/>
    </row>
    <row r="138" spans="1:17" x14ac:dyDescent="0.25">
      <c r="A138" s="124" t="s">
        <v>862</v>
      </c>
      <c r="B138" s="261">
        <v>44176</v>
      </c>
      <c r="C138" s="131">
        <v>3.32</v>
      </c>
      <c r="D138" s="124">
        <v>4.08</v>
      </c>
      <c r="E138" s="317">
        <f t="shared" si="86"/>
        <v>22.891566265060248</v>
      </c>
      <c r="F138" s="137">
        <v>32000000</v>
      </c>
      <c r="G138" s="131">
        <v>4.0999999999999996</v>
      </c>
      <c r="H138" s="317">
        <f t="shared" si="87"/>
        <v>0.49019607843136215</v>
      </c>
      <c r="I138" s="131">
        <v>4.0999999999999996</v>
      </c>
      <c r="J138" s="317">
        <f t="shared" si="88"/>
        <v>0.49019607843136215</v>
      </c>
      <c r="K138" s="280">
        <v>0.39652777777777781</v>
      </c>
      <c r="L138" s="124">
        <v>3.12</v>
      </c>
      <c r="M138" s="331">
        <f t="shared" si="90"/>
        <v>23.52941176470588</v>
      </c>
      <c r="N138" s="137"/>
      <c r="O138" s="124"/>
      <c r="P138" s="316">
        <f t="shared" si="89"/>
        <v>23.381762343491612</v>
      </c>
      <c r="Q138" s="124"/>
    </row>
    <row r="139" spans="1:17" s="306" customFormat="1" x14ac:dyDescent="0.25">
      <c r="A139" s="307" t="s">
        <v>264</v>
      </c>
      <c r="B139" s="308">
        <v>44104</v>
      </c>
      <c r="C139" s="307">
        <v>1.2</v>
      </c>
      <c r="D139" s="307">
        <v>1.49</v>
      </c>
      <c r="E139" s="396">
        <f t="shared" si="86"/>
        <v>24.166666666666671</v>
      </c>
      <c r="F139" s="202">
        <v>31400000</v>
      </c>
      <c r="G139" s="201">
        <v>1.6</v>
      </c>
      <c r="H139" s="312">
        <f t="shared" si="87"/>
        <v>7.3825503355704756</v>
      </c>
      <c r="I139" s="201">
        <v>1.77</v>
      </c>
      <c r="J139" s="312">
        <f t="shared" si="88"/>
        <v>18.791946308724832</v>
      </c>
      <c r="K139" s="314">
        <v>0.4236111111111111</v>
      </c>
      <c r="L139" s="307">
        <v>1.5</v>
      </c>
      <c r="M139" s="366">
        <f t="shared" si="90"/>
        <v>-0.67114093959731602</v>
      </c>
      <c r="N139" s="202">
        <v>13000000</v>
      </c>
      <c r="O139" s="307" t="s">
        <v>182</v>
      </c>
      <c r="P139" s="316">
        <f t="shared" si="89"/>
        <v>42.958612975391503</v>
      </c>
      <c r="Q139" s="307"/>
    </row>
    <row r="140" spans="1:17" x14ac:dyDescent="0.25">
      <c r="A140" s="124" t="s">
        <v>498</v>
      </c>
      <c r="B140" s="261">
        <v>44138</v>
      </c>
      <c r="C140" s="124">
        <v>6.27</v>
      </c>
      <c r="D140" s="124">
        <v>7.94</v>
      </c>
      <c r="E140" s="317">
        <f t="shared" si="86"/>
        <v>26.634768740031912</v>
      </c>
      <c r="F140" s="137">
        <v>31000000</v>
      </c>
      <c r="G140" s="131">
        <v>7.94</v>
      </c>
      <c r="H140" s="317">
        <f t="shared" si="87"/>
        <v>0</v>
      </c>
      <c r="I140" s="131">
        <v>11.43</v>
      </c>
      <c r="J140" s="317">
        <f t="shared" si="88"/>
        <v>43.954659949622155</v>
      </c>
      <c r="K140" s="280">
        <v>0.6645833333333333</v>
      </c>
      <c r="L140" s="124">
        <v>11.2</v>
      </c>
      <c r="M140" s="387">
        <f t="shared" si="90"/>
        <v>-41.057934508816111</v>
      </c>
      <c r="N140" s="137">
        <v>1000000</v>
      </c>
      <c r="O140" s="124" t="s">
        <v>167</v>
      </c>
      <c r="P140" s="316">
        <f t="shared" si="89"/>
        <v>70.589428689654071</v>
      </c>
      <c r="Q140" s="124"/>
    </row>
    <row r="141" spans="1:17" s="306" customFormat="1" x14ac:dyDescent="0.25">
      <c r="A141" s="326" t="s">
        <v>189</v>
      </c>
      <c r="B141" s="327">
        <v>44113</v>
      </c>
      <c r="C141" s="328">
        <v>1.52</v>
      </c>
      <c r="D141" s="326">
        <v>2.06</v>
      </c>
      <c r="E141" s="393">
        <f t="shared" si="86"/>
        <v>35.526315789473685</v>
      </c>
      <c r="F141" s="329">
        <v>31000000</v>
      </c>
      <c r="G141" s="328">
        <v>2.2200000000000002</v>
      </c>
      <c r="H141" s="312">
        <f t="shared" si="87"/>
        <v>7.7669902912621422</v>
      </c>
      <c r="I141" s="328">
        <v>2.2799999999999998</v>
      </c>
      <c r="J141" s="312">
        <f t="shared" si="88"/>
        <v>10.679611650485425</v>
      </c>
      <c r="K141" s="328">
        <v>0.1076388888888889</v>
      </c>
      <c r="L141" s="326">
        <v>1.92</v>
      </c>
      <c r="M141" s="311">
        <f t="shared" si="90"/>
        <v>6.7961165048543739</v>
      </c>
      <c r="N141" s="329">
        <v>10000000</v>
      </c>
      <c r="O141" s="326" t="s">
        <v>190</v>
      </c>
      <c r="P141" s="316">
        <f t="shared" si="89"/>
        <v>46.205927439959112</v>
      </c>
      <c r="Q141" s="307"/>
    </row>
    <row r="142" spans="1:17" x14ac:dyDescent="0.25">
      <c r="A142" s="124" t="s">
        <v>900</v>
      </c>
      <c r="B142" s="261">
        <v>44174</v>
      </c>
      <c r="C142" s="124">
        <v>1.51</v>
      </c>
      <c r="D142" s="124">
        <v>2.86</v>
      </c>
      <c r="E142" s="317">
        <f t="shared" si="86"/>
        <v>89.403973509933763</v>
      </c>
      <c r="F142" s="137">
        <v>31000000</v>
      </c>
      <c r="G142" s="131">
        <v>2.89</v>
      </c>
      <c r="H142" s="317">
        <f t="shared" si="87"/>
        <v>1.0489510489510576</v>
      </c>
      <c r="I142" s="131">
        <v>2.89</v>
      </c>
      <c r="J142" s="317">
        <f t="shared" si="88"/>
        <v>1.0489510489510576</v>
      </c>
      <c r="K142" s="280">
        <v>0.3979166666666667</v>
      </c>
      <c r="L142" s="124">
        <v>1.77</v>
      </c>
      <c r="M142" s="331">
        <f t="shared" si="90"/>
        <v>38.111888111888106</v>
      </c>
      <c r="N142" s="137">
        <v>4000000</v>
      </c>
      <c r="O142" s="124" t="s">
        <v>167</v>
      </c>
      <c r="P142" s="316">
        <f t="shared" si="89"/>
        <v>90.452924558884817</v>
      </c>
      <c r="Q142" s="124"/>
    </row>
    <row r="143" spans="1:17" x14ac:dyDescent="0.25">
      <c r="A143" s="124" t="s">
        <v>901</v>
      </c>
      <c r="B143" s="261">
        <v>44175</v>
      </c>
      <c r="C143" s="131">
        <v>10.52</v>
      </c>
      <c r="D143" s="124">
        <v>14.02</v>
      </c>
      <c r="E143" s="317">
        <f t="shared" si="86"/>
        <v>33.269961977186313</v>
      </c>
      <c r="F143" s="137">
        <v>31000000</v>
      </c>
      <c r="G143" s="131">
        <v>14.31</v>
      </c>
      <c r="H143" s="317">
        <f t="shared" si="87"/>
        <v>2.0684736091298213</v>
      </c>
      <c r="I143" s="131">
        <v>15.62</v>
      </c>
      <c r="J143" s="317">
        <f t="shared" si="88"/>
        <v>11.412268188302424</v>
      </c>
      <c r="K143" s="280">
        <v>0.4513888888888889</v>
      </c>
      <c r="L143" s="124">
        <v>14.5</v>
      </c>
      <c r="M143" s="331">
        <f t="shared" si="90"/>
        <v>-3.4236804564907306</v>
      </c>
      <c r="N143" s="137">
        <v>10000000</v>
      </c>
      <c r="O143" s="124">
        <v>52</v>
      </c>
      <c r="P143" s="316">
        <f t="shared" si="89"/>
        <v>44.682230165488733</v>
      </c>
      <c r="Q143" s="124"/>
    </row>
    <row r="144" spans="1:17" x14ac:dyDescent="0.25">
      <c r="A144" s="124" t="s">
        <v>840</v>
      </c>
      <c r="B144" s="261">
        <v>44179</v>
      </c>
      <c r="C144" s="131">
        <v>4.57</v>
      </c>
      <c r="D144" s="124">
        <v>8.4499999999999993</v>
      </c>
      <c r="E144" s="317">
        <f t="shared" si="86"/>
        <v>84.901531728665177</v>
      </c>
      <c r="F144" s="137">
        <v>31000000</v>
      </c>
      <c r="G144" s="131">
        <v>8.8000000000000007</v>
      </c>
      <c r="H144" s="317">
        <f t="shared" si="87"/>
        <v>4.1420118343195433</v>
      </c>
      <c r="I144" s="131">
        <v>8.8000000000000007</v>
      </c>
      <c r="J144" s="317">
        <f t="shared" si="88"/>
        <v>4.1420118343195433</v>
      </c>
      <c r="K144" s="280">
        <v>0.39652777777777781</v>
      </c>
      <c r="L144" s="124">
        <v>5.64</v>
      </c>
      <c r="M144" s="331">
        <f t="shared" si="90"/>
        <v>33.254437869822482</v>
      </c>
      <c r="N144" s="137">
        <v>1000000</v>
      </c>
      <c r="O144" s="124" t="s">
        <v>216</v>
      </c>
      <c r="P144" s="316">
        <f t="shared" si="89"/>
        <v>89.043543562984723</v>
      </c>
      <c r="Q144" s="124"/>
    </row>
    <row r="145" spans="1:17" s="339" customFormat="1" x14ac:dyDescent="0.25">
      <c r="A145" s="332" t="s">
        <v>265</v>
      </c>
      <c r="B145" s="333">
        <v>43866</v>
      </c>
      <c r="C145" s="332">
        <v>2.2999999999999998</v>
      </c>
      <c r="D145" s="332">
        <v>3</v>
      </c>
      <c r="E145" s="394">
        <f t="shared" si="86"/>
        <v>30.434782608695659</v>
      </c>
      <c r="F145" s="335">
        <v>30000000</v>
      </c>
      <c r="G145" s="334">
        <v>3.15</v>
      </c>
      <c r="H145" s="336">
        <f t="shared" si="87"/>
        <v>4.9999999999999964</v>
      </c>
      <c r="I145" s="334">
        <v>4.1500000000000004</v>
      </c>
      <c r="J145" s="336">
        <f t="shared" si="88"/>
        <v>38.33333333333335</v>
      </c>
      <c r="K145" s="337">
        <v>0.625</v>
      </c>
      <c r="L145" s="332">
        <v>3.39</v>
      </c>
      <c r="M145" s="346">
        <f t="shared" si="90"/>
        <v>-13.000000000000004</v>
      </c>
      <c r="N145" s="335">
        <v>10000000</v>
      </c>
      <c r="O145" s="332" t="s">
        <v>167</v>
      </c>
      <c r="P145" s="338">
        <f t="shared" si="89"/>
        <v>68.768115942029013</v>
      </c>
      <c r="Q145" s="332" t="s">
        <v>832</v>
      </c>
    </row>
    <row r="146" spans="1:17" s="306" customFormat="1" x14ac:dyDescent="0.25">
      <c r="A146" s="347" t="s">
        <v>266</v>
      </c>
      <c r="B146" s="308">
        <v>44040</v>
      </c>
      <c r="C146" s="307">
        <v>3.25</v>
      </c>
      <c r="D146" s="307">
        <v>4.7</v>
      </c>
      <c r="E146" s="393">
        <f t="shared" si="86"/>
        <v>44.61538461538462</v>
      </c>
      <c r="F146" s="202">
        <v>30000000</v>
      </c>
      <c r="G146" s="201">
        <v>4.7</v>
      </c>
      <c r="H146" s="312">
        <f t="shared" si="87"/>
        <v>0</v>
      </c>
      <c r="I146" s="201">
        <v>4.7</v>
      </c>
      <c r="J146" s="312">
        <f t="shared" si="88"/>
        <v>0</v>
      </c>
      <c r="K146" s="314">
        <v>0.39652777777777781</v>
      </c>
      <c r="L146" s="307">
        <v>3.65</v>
      </c>
      <c r="M146" s="311">
        <f t="shared" si="90"/>
        <v>22.340425531914899</v>
      </c>
      <c r="N146" s="202">
        <v>30000000</v>
      </c>
      <c r="O146" s="307" t="s">
        <v>167</v>
      </c>
      <c r="P146" s="316">
        <f t="shared" si="89"/>
        <v>44.61538461538462</v>
      </c>
      <c r="Q146" s="307"/>
    </row>
    <row r="147" spans="1:17" s="306" customFormat="1" x14ac:dyDescent="0.25">
      <c r="A147" s="307" t="s">
        <v>810</v>
      </c>
      <c r="B147" s="308">
        <v>44063</v>
      </c>
      <c r="C147" s="307">
        <v>1.06</v>
      </c>
      <c r="D147" s="307">
        <v>1.06</v>
      </c>
      <c r="E147" s="312">
        <f t="shared" si="86"/>
        <v>0</v>
      </c>
      <c r="F147" s="202">
        <v>30000000</v>
      </c>
      <c r="G147" s="201">
        <v>1.21</v>
      </c>
      <c r="H147" s="310">
        <f t="shared" si="87"/>
        <v>14.150943396226406</v>
      </c>
      <c r="I147" s="201">
        <v>1.34</v>
      </c>
      <c r="J147" s="312">
        <f t="shared" si="88"/>
        <v>26.415094339622641</v>
      </c>
      <c r="K147" s="314">
        <v>0.42499999999999999</v>
      </c>
      <c r="L147" s="307">
        <v>1.06</v>
      </c>
      <c r="M147" s="311">
        <f t="shared" si="90"/>
        <v>0</v>
      </c>
      <c r="N147" s="202">
        <v>5000000</v>
      </c>
      <c r="O147" s="307" t="s">
        <v>190</v>
      </c>
      <c r="P147" s="316">
        <f t="shared" si="89"/>
        <v>26.415094339622641</v>
      </c>
      <c r="Q147" s="307"/>
    </row>
    <row r="148" spans="1:17" s="306" customFormat="1" x14ac:dyDescent="0.25">
      <c r="A148" s="307" t="s">
        <v>267</v>
      </c>
      <c r="B148" s="308">
        <v>43938</v>
      </c>
      <c r="C148" s="307">
        <v>1.63</v>
      </c>
      <c r="D148" s="307">
        <v>2.1800000000000002</v>
      </c>
      <c r="E148" s="393">
        <f t="shared" si="86"/>
        <v>33.742331288343571</v>
      </c>
      <c r="F148" s="202">
        <v>30000000</v>
      </c>
      <c r="G148" s="201">
        <v>2.4</v>
      </c>
      <c r="H148" s="312">
        <f t="shared" si="87"/>
        <v>10.091743119266043</v>
      </c>
      <c r="I148" s="201">
        <v>2.84</v>
      </c>
      <c r="J148" s="312">
        <f t="shared" si="88"/>
        <v>30.27522935779815</v>
      </c>
      <c r="K148" s="314">
        <v>0.4375</v>
      </c>
      <c r="L148" s="307">
        <v>2.2999999999999998</v>
      </c>
      <c r="M148" s="366">
        <f t="shared" si="90"/>
        <v>-5.5045871559632875</v>
      </c>
      <c r="N148" s="202">
        <v>8000000</v>
      </c>
      <c r="O148" s="307" t="s">
        <v>167</v>
      </c>
      <c r="P148" s="316">
        <f t="shared" si="89"/>
        <v>64.017560646141717</v>
      </c>
      <c r="Q148" s="307"/>
    </row>
    <row r="149" spans="1:17" s="306" customFormat="1" x14ac:dyDescent="0.25">
      <c r="A149" s="307" t="s">
        <v>263</v>
      </c>
      <c r="B149" s="308">
        <v>43971</v>
      </c>
      <c r="C149" s="307">
        <v>1.25</v>
      </c>
      <c r="D149" s="307">
        <v>1.71</v>
      </c>
      <c r="E149" s="393">
        <f t="shared" si="86"/>
        <v>36.799999999999997</v>
      </c>
      <c r="F149" s="202">
        <v>30000000</v>
      </c>
      <c r="G149" s="201">
        <v>1.94</v>
      </c>
      <c r="H149" s="312">
        <f t="shared" si="87"/>
        <v>13.450292397660817</v>
      </c>
      <c r="I149" s="201">
        <v>1.94</v>
      </c>
      <c r="J149" s="312">
        <f t="shared" si="88"/>
        <v>13.450292397660817</v>
      </c>
      <c r="K149" s="314">
        <v>0.3979166666666667</v>
      </c>
      <c r="L149" s="307">
        <v>1.34</v>
      </c>
      <c r="M149" s="311">
        <f t="shared" si="90"/>
        <v>21.637426900584789</v>
      </c>
      <c r="N149" s="202">
        <v>13000000</v>
      </c>
      <c r="O149" s="307" t="s">
        <v>190</v>
      </c>
      <c r="P149" s="316">
        <f t="shared" si="89"/>
        <v>50.250292397660814</v>
      </c>
      <c r="Q149" s="307"/>
    </row>
    <row r="150" spans="1:17" s="306" customFormat="1" x14ac:dyDescent="0.25">
      <c r="A150" s="307" t="s">
        <v>768</v>
      </c>
      <c r="B150" s="308">
        <v>44048</v>
      </c>
      <c r="C150" s="307">
        <v>1.32</v>
      </c>
      <c r="D150" s="307">
        <v>1.8</v>
      </c>
      <c r="E150" s="312">
        <f t="shared" si="86"/>
        <v>36.36363636363636</v>
      </c>
      <c r="F150" s="202">
        <v>30000000</v>
      </c>
      <c r="G150" s="201">
        <v>1.83</v>
      </c>
      <c r="H150" s="312">
        <f t="shared" si="87"/>
        <v>1.6666666666666681</v>
      </c>
      <c r="I150" s="201">
        <v>1.83</v>
      </c>
      <c r="J150" s="312">
        <f t="shared" si="88"/>
        <v>1.6666666666666681</v>
      </c>
      <c r="K150" s="314">
        <v>0.3979166666666667</v>
      </c>
      <c r="L150" s="307">
        <v>1.51</v>
      </c>
      <c r="M150" s="311">
        <f>(D150-L150)/D150*100</f>
        <v>16.111111111111111</v>
      </c>
      <c r="N150" s="202">
        <v>21000000</v>
      </c>
      <c r="O150" s="307" t="s">
        <v>170</v>
      </c>
      <c r="P150" s="316">
        <f t="shared" si="89"/>
        <v>38.030303030303031</v>
      </c>
      <c r="Q150" s="307"/>
    </row>
    <row r="151" spans="1:17" x14ac:dyDescent="0.25">
      <c r="A151" s="124" t="s">
        <v>898</v>
      </c>
      <c r="B151" s="261">
        <v>44174</v>
      </c>
      <c r="C151" s="124">
        <v>3.5</v>
      </c>
      <c r="D151" s="124">
        <v>6.75</v>
      </c>
      <c r="E151" s="317">
        <f t="shared" si="86"/>
        <v>92.857142857142861</v>
      </c>
      <c r="F151" s="137">
        <v>30000000</v>
      </c>
      <c r="G151" s="131">
        <v>6.56</v>
      </c>
      <c r="H151" s="317">
        <f t="shared" si="87"/>
        <v>-2.8148148148148207</v>
      </c>
      <c r="I151" s="131">
        <v>7.13</v>
      </c>
      <c r="J151" s="317">
        <f t="shared" si="88"/>
        <v>5.629629629629628</v>
      </c>
      <c r="K151" s="280">
        <v>0.4236111111111111</v>
      </c>
      <c r="L151" s="124">
        <v>4.5</v>
      </c>
      <c r="M151" s="331">
        <f t="shared" ref="M151" si="91">(D151-L151)/D151*100</f>
        <v>33.333333333333329</v>
      </c>
      <c r="N151" s="137">
        <v>2000000</v>
      </c>
      <c r="O151" s="124" t="s">
        <v>190</v>
      </c>
      <c r="P151" s="316">
        <f t="shared" si="89"/>
        <v>98.486772486772495</v>
      </c>
      <c r="Q151" s="124"/>
    </row>
    <row r="152" spans="1:17" ht="21" x14ac:dyDescent="0.25">
      <c r="A152" s="262" t="s">
        <v>268</v>
      </c>
      <c r="B152" s="273">
        <f>(B123+B124+B125+B127+B128+B129+B131+B132+B134+B135+B136+B137+B139+B141++B145+B146+B147+B148+B149+B150+B140+B133+B130+B126+B151+B142)/26</f>
        <v>44046.615384615383</v>
      </c>
      <c r="C152" s="273">
        <f t="shared" ref="C152:I152" si="92">(C123+C124+C125+C127+C128+C129+C131+C132+C134+C135+C136+C137+C139+C141++C145+C146+C147+C148+C149+C150+C140+C133+C130+C126+C151+C142+C143+C138+C144)/29</f>
        <v>2.8755172413793106</v>
      </c>
      <c r="D152" s="273">
        <f t="shared" si="92"/>
        <v>4.6051724137931043</v>
      </c>
      <c r="E152" s="273">
        <f t="shared" si="92"/>
        <v>65.588578809483792</v>
      </c>
      <c r="F152" s="273">
        <f t="shared" si="92"/>
        <v>33427586.206896551</v>
      </c>
      <c r="G152" s="273">
        <f t="shared" si="92"/>
        <v>4.8379310344827591</v>
      </c>
      <c r="H152" s="273">
        <f t="shared" si="92"/>
        <v>5.3137894930494189</v>
      </c>
      <c r="I152" s="273">
        <f t="shared" si="92"/>
        <v>5.2265517241379316</v>
      </c>
      <c r="J152" s="273">
        <f>(J123+J124+J125+J127+J128+J129+J131+J132+J134+J135+J136+J137+J139+J141++J145+J146+J147+J148+J149+J150+J140+J133+J130+J126+J151+J142+J143+J138+J144)/29</f>
        <v>12.978476295571399</v>
      </c>
      <c r="K152" s="273">
        <f t="shared" ref="K152:P152" si="93">(K123+K124+K125+K127+K128+K129+K131+K132+K134+K135+K136+K137+K139+K141++K145+K146+K147+K148+K149+K150+K140+K133+K130+K126+K151+K142+K143+K138+K144)/29</f>
        <v>0.73299808429118773</v>
      </c>
      <c r="L152" s="273">
        <f t="shared" si="93"/>
        <v>3.8495450191570879</v>
      </c>
      <c r="M152" s="273">
        <f t="shared" si="93"/>
        <v>17.417102086677627</v>
      </c>
      <c r="N152" s="273">
        <f t="shared" si="93"/>
        <v>16275862.522448277</v>
      </c>
      <c r="O152" s="273" t="e">
        <f t="shared" si="93"/>
        <v>#VALUE!</v>
      </c>
      <c r="P152" s="273">
        <f t="shared" si="93"/>
        <v>78.567055105055204</v>
      </c>
      <c r="Q152" s="411">
        <f>(5/29)*100</f>
        <v>17.241379310344829</v>
      </c>
    </row>
    <row r="153" spans="1:17" ht="21" x14ac:dyDescent="0.25">
      <c r="A153" s="139" t="s">
        <v>108</v>
      </c>
      <c r="B153" s="139" t="s">
        <v>107</v>
      </c>
      <c r="C153" s="139" t="s">
        <v>152</v>
      </c>
      <c r="D153" s="139" t="s">
        <v>153</v>
      </c>
      <c r="E153" s="139" t="s">
        <v>154</v>
      </c>
      <c r="F153" s="139" t="s">
        <v>155</v>
      </c>
      <c r="G153" s="263" t="s">
        <v>156</v>
      </c>
      <c r="H153" s="263" t="s">
        <v>157</v>
      </c>
      <c r="I153" s="263" t="s">
        <v>158</v>
      </c>
      <c r="J153" s="263" t="s">
        <v>159</v>
      </c>
      <c r="K153" s="263" t="s">
        <v>160</v>
      </c>
      <c r="L153" s="139" t="s">
        <v>161</v>
      </c>
      <c r="M153" s="139" t="s">
        <v>162</v>
      </c>
      <c r="N153" s="291" t="s">
        <v>163</v>
      </c>
      <c r="O153" s="285" t="s">
        <v>164</v>
      </c>
      <c r="P153" s="285" t="s">
        <v>174</v>
      </c>
      <c r="Q153" s="124"/>
    </row>
    <row r="154" spans="1:17" s="306" customFormat="1" x14ac:dyDescent="0.25">
      <c r="A154" s="372" t="s">
        <v>334</v>
      </c>
      <c r="B154" s="308">
        <v>44095</v>
      </c>
      <c r="C154" s="307">
        <v>1.99</v>
      </c>
      <c r="D154" s="307">
        <v>2.4</v>
      </c>
      <c r="E154" s="312">
        <f t="shared" ref="E154:E178" si="94">(D154-C154)/C154*100</f>
        <v>20.603015075376881</v>
      </c>
      <c r="F154" s="202">
        <v>28000000</v>
      </c>
      <c r="G154" s="201">
        <v>2.79</v>
      </c>
      <c r="H154" s="312">
        <f t="shared" ref="H154" si="95">(G154-D154)/D154*100</f>
        <v>16.250000000000007</v>
      </c>
      <c r="I154" s="201">
        <v>2.79</v>
      </c>
      <c r="J154" s="312">
        <f t="shared" ref="J154" si="96">(I154-D154)/D154*100</f>
        <v>16.250000000000007</v>
      </c>
      <c r="K154" s="314">
        <v>0.39999999999999997</v>
      </c>
      <c r="L154" s="307">
        <v>1.95</v>
      </c>
      <c r="M154" s="311">
        <f>(D154-L154)/D154*100</f>
        <v>18.75</v>
      </c>
      <c r="N154" s="202">
        <v>2000000</v>
      </c>
      <c r="O154" s="307" t="s">
        <v>190</v>
      </c>
      <c r="P154" s="316">
        <f t="shared" ref="P154:P178" si="97">E154+J154</f>
        <v>36.853015075376888</v>
      </c>
      <c r="Q154" s="307"/>
    </row>
    <row r="155" spans="1:17" s="306" customFormat="1" x14ac:dyDescent="0.25">
      <c r="A155" s="326" t="s">
        <v>270</v>
      </c>
      <c r="B155" s="308">
        <v>43938</v>
      </c>
      <c r="C155" s="201">
        <v>2.4500000000000002</v>
      </c>
      <c r="D155" s="307">
        <v>3.86</v>
      </c>
      <c r="E155" s="393">
        <f t="shared" si="94"/>
        <v>57.551020408163247</v>
      </c>
      <c r="F155" s="329">
        <v>27000000</v>
      </c>
      <c r="G155" s="328">
        <v>3.86</v>
      </c>
      <c r="H155" s="312">
        <f t="shared" ref="H155" si="98">(G155-D155)/D155*100</f>
        <v>0</v>
      </c>
      <c r="I155" s="328">
        <v>3.8</v>
      </c>
      <c r="J155" s="312">
        <v>3.8</v>
      </c>
      <c r="K155" s="330">
        <v>0.39652777777777781</v>
      </c>
      <c r="L155" s="326">
        <v>3.21</v>
      </c>
      <c r="M155" s="311">
        <f t="shared" ref="M155:M176" si="99">(D155-L155)/D155*100</f>
        <v>16.839378238341968</v>
      </c>
      <c r="N155" s="329">
        <v>23000000</v>
      </c>
      <c r="O155" s="326" t="s">
        <v>167</v>
      </c>
      <c r="P155" s="316">
        <f t="shared" si="97"/>
        <v>61.351020408163244</v>
      </c>
      <c r="Q155" s="307"/>
    </row>
    <row r="156" spans="1:17" s="306" customFormat="1" x14ac:dyDescent="0.25">
      <c r="A156" s="373" t="s">
        <v>271</v>
      </c>
      <c r="B156" s="308">
        <v>43985</v>
      </c>
      <c r="C156" s="307">
        <v>2.15</v>
      </c>
      <c r="D156" s="307">
        <v>4.25</v>
      </c>
      <c r="E156" s="393">
        <f t="shared" si="94"/>
        <v>97.674418604651166</v>
      </c>
      <c r="F156" s="202">
        <v>27000000</v>
      </c>
      <c r="G156" s="201">
        <v>4.6500000000000004</v>
      </c>
      <c r="H156" s="312">
        <f t="shared" ref="H156:H178" si="100">(G156-D156)/D156*100</f>
        <v>9.4117647058823604</v>
      </c>
      <c r="I156" s="201">
        <v>4.6500000000000004</v>
      </c>
      <c r="J156" s="312">
        <f t="shared" ref="J156:J178" si="101">(I156-D156)/D156*100</f>
        <v>9.4117647058823604</v>
      </c>
      <c r="K156" s="314">
        <v>0.3972222222222222</v>
      </c>
      <c r="L156" s="307">
        <v>3.25</v>
      </c>
      <c r="M156" s="311">
        <f t="shared" si="99"/>
        <v>23.52941176470588</v>
      </c>
      <c r="N156" s="202">
        <v>40000000</v>
      </c>
      <c r="O156" s="307" t="s">
        <v>182</v>
      </c>
      <c r="P156" s="316">
        <f t="shared" si="97"/>
        <v>107.08618331053353</v>
      </c>
      <c r="Q156" s="307"/>
    </row>
    <row r="157" spans="1:17" s="306" customFormat="1" x14ac:dyDescent="0.25">
      <c r="A157" s="374" t="s">
        <v>392</v>
      </c>
      <c r="B157" s="308">
        <v>43943</v>
      </c>
      <c r="C157" s="307">
        <v>1.1399999999999999</v>
      </c>
      <c r="D157" s="307">
        <v>3.15</v>
      </c>
      <c r="E157" s="400">
        <f t="shared" si="94"/>
        <v>176.31578947368419</v>
      </c>
      <c r="F157" s="301">
        <v>27000000</v>
      </c>
      <c r="G157" s="302">
        <v>3.5</v>
      </c>
      <c r="H157" s="304">
        <f t="shared" si="100"/>
        <v>11.111111111111114</v>
      </c>
      <c r="I157" s="302">
        <v>3.5</v>
      </c>
      <c r="J157" s="304">
        <f t="shared" si="101"/>
        <v>11.111111111111114</v>
      </c>
      <c r="K157" s="364">
        <v>0.3979166666666667</v>
      </c>
      <c r="L157" s="299">
        <v>2.2200000000000002</v>
      </c>
      <c r="M157" s="311">
        <f t="shared" si="99"/>
        <v>29.523809523809515</v>
      </c>
      <c r="N157" s="301">
        <v>4000000</v>
      </c>
      <c r="O157" s="299" t="s">
        <v>190</v>
      </c>
      <c r="P157" s="365">
        <f t="shared" si="97"/>
        <v>187.42690058479531</v>
      </c>
      <c r="Q157" s="307"/>
    </row>
    <row r="158" spans="1:17" s="306" customFormat="1" x14ac:dyDescent="0.25">
      <c r="A158" s="372" t="s">
        <v>493</v>
      </c>
      <c r="B158" s="308">
        <v>43934</v>
      </c>
      <c r="C158" s="307">
        <v>2.0699999999999998</v>
      </c>
      <c r="D158" s="307">
        <v>2.7</v>
      </c>
      <c r="E158" s="393">
        <f t="shared" si="94"/>
        <v>30.43478260869567</v>
      </c>
      <c r="F158" s="202">
        <v>27000000</v>
      </c>
      <c r="G158" s="201">
        <v>2.75</v>
      </c>
      <c r="H158" s="312">
        <f t="shared" si="100"/>
        <v>1.8518518518518452</v>
      </c>
      <c r="I158" s="201">
        <v>2.75</v>
      </c>
      <c r="J158" s="312">
        <f t="shared" si="101"/>
        <v>1.8518518518518452</v>
      </c>
      <c r="K158" s="314">
        <v>0.3979166666666667</v>
      </c>
      <c r="L158" s="307">
        <v>2.35</v>
      </c>
      <c r="M158" s="311">
        <f t="shared" si="99"/>
        <v>12.962962962962965</v>
      </c>
      <c r="N158" s="202">
        <v>39000000</v>
      </c>
      <c r="O158" s="307" t="s">
        <v>190</v>
      </c>
      <c r="P158" s="316">
        <f t="shared" si="97"/>
        <v>32.286634460547518</v>
      </c>
      <c r="Q158" s="307"/>
    </row>
    <row r="159" spans="1:17" s="306" customFormat="1" x14ac:dyDescent="0.25">
      <c r="A159" s="373" t="s">
        <v>272</v>
      </c>
      <c r="B159" s="308">
        <v>44057</v>
      </c>
      <c r="C159" s="307">
        <v>2.92</v>
      </c>
      <c r="D159" s="307">
        <v>4.3099999999999996</v>
      </c>
      <c r="E159" s="393">
        <f t="shared" si="94"/>
        <v>47.602739726027387</v>
      </c>
      <c r="F159" s="202">
        <v>26000000</v>
      </c>
      <c r="G159" s="201">
        <v>4.3099999999999996</v>
      </c>
      <c r="H159" s="312">
        <f t="shared" si="100"/>
        <v>0</v>
      </c>
      <c r="I159" s="201">
        <v>4.8499999999999996</v>
      </c>
      <c r="J159" s="312">
        <f t="shared" si="101"/>
        <v>12.529002320185617</v>
      </c>
      <c r="K159" s="314">
        <v>0.42222222222222222</v>
      </c>
      <c r="L159" s="307">
        <v>3.2</v>
      </c>
      <c r="M159" s="311">
        <f t="shared" si="99"/>
        <v>25.754060324825971</v>
      </c>
      <c r="N159" s="202">
        <v>1400000</v>
      </c>
      <c r="O159" s="307" t="s">
        <v>190</v>
      </c>
      <c r="P159" s="316">
        <f t="shared" si="97"/>
        <v>60.131742046213006</v>
      </c>
      <c r="Q159" s="307"/>
    </row>
    <row r="160" spans="1:17" s="306" customFormat="1" x14ac:dyDescent="0.25">
      <c r="A160" s="326" t="s">
        <v>273</v>
      </c>
      <c r="B160" s="308">
        <v>44057</v>
      </c>
      <c r="C160" s="201">
        <v>11.9</v>
      </c>
      <c r="D160" s="307">
        <v>18.399999999999999</v>
      </c>
      <c r="E160" s="393">
        <f t="shared" si="94"/>
        <v>54.621848739495782</v>
      </c>
      <c r="F160" s="329">
        <v>26000000</v>
      </c>
      <c r="G160" s="328">
        <v>18.41</v>
      </c>
      <c r="H160" s="312">
        <f t="shared" si="100"/>
        <v>5.434782608696502E-2</v>
      </c>
      <c r="I160" s="328">
        <v>19.579999999999998</v>
      </c>
      <c r="J160" s="312">
        <f t="shared" si="101"/>
        <v>6.4130434782608683</v>
      </c>
      <c r="K160" s="330">
        <v>0.49305555555555558</v>
      </c>
      <c r="L160" s="326">
        <v>17.87</v>
      </c>
      <c r="M160" s="311">
        <f t="shared" si="99"/>
        <v>2.8804347826086829</v>
      </c>
      <c r="N160" s="329">
        <v>95000000</v>
      </c>
      <c r="O160" s="326" t="s">
        <v>190</v>
      </c>
      <c r="P160" s="316">
        <f t="shared" si="97"/>
        <v>61.034892217756649</v>
      </c>
      <c r="Q160" s="307"/>
    </row>
    <row r="161" spans="1:17" s="306" customFormat="1" x14ac:dyDescent="0.25">
      <c r="A161" s="373" t="s">
        <v>274</v>
      </c>
      <c r="B161" s="348">
        <v>44106</v>
      </c>
      <c r="C161" s="347">
        <v>24</v>
      </c>
      <c r="D161" s="347">
        <v>30</v>
      </c>
      <c r="E161" s="393">
        <f t="shared" si="94"/>
        <v>25</v>
      </c>
      <c r="F161" s="349">
        <v>25000000</v>
      </c>
      <c r="G161" s="350">
        <v>32.4</v>
      </c>
      <c r="H161" s="312">
        <f t="shared" si="100"/>
        <v>7.9999999999999947</v>
      </c>
      <c r="I161" s="201">
        <v>38</v>
      </c>
      <c r="J161" s="312">
        <f t="shared" si="101"/>
        <v>26.666666666666668</v>
      </c>
      <c r="K161" s="314">
        <v>0.65625</v>
      </c>
      <c r="L161" s="347">
        <v>38</v>
      </c>
      <c r="M161" s="366">
        <f t="shared" si="99"/>
        <v>-26.666666666666668</v>
      </c>
      <c r="N161" s="349">
        <v>33000000</v>
      </c>
      <c r="O161" s="307" t="s">
        <v>190</v>
      </c>
      <c r="P161" s="316">
        <f t="shared" si="97"/>
        <v>51.666666666666671</v>
      </c>
      <c r="Q161" s="307"/>
    </row>
    <row r="162" spans="1:17" s="306" customFormat="1" x14ac:dyDescent="0.25">
      <c r="A162" s="373" t="s">
        <v>275</v>
      </c>
      <c r="B162" s="308">
        <v>43984</v>
      </c>
      <c r="C162" s="307">
        <v>2.08</v>
      </c>
      <c r="D162" s="307">
        <v>4.28</v>
      </c>
      <c r="E162" s="393">
        <f t="shared" si="94"/>
        <v>105.76923076923077</v>
      </c>
      <c r="F162" s="202">
        <v>25000000</v>
      </c>
      <c r="G162" s="201">
        <v>4.28</v>
      </c>
      <c r="H162" s="312">
        <f t="shared" si="100"/>
        <v>0</v>
      </c>
      <c r="I162" s="201">
        <v>4.28</v>
      </c>
      <c r="J162" s="312">
        <f t="shared" si="101"/>
        <v>0</v>
      </c>
      <c r="K162" s="314">
        <v>0.39652777777777781</v>
      </c>
      <c r="L162" s="307">
        <v>2.41</v>
      </c>
      <c r="M162" s="311">
        <f t="shared" si="99"/>
        <v>43.691588785046733</v>
      </c>
      <c r="N162" s="202">
        <v>7000000</v>
      </c>
      <c r="O162" s="307" t="s">
        <v>190</v>
      </c>
      <c r="P162" s="316">
        <f t="shared" si="97"/>
        <v>105.76923076923077</v>
      </c>
      <c r="Q162" s="307"/>
    </row>
    <row r="163" spans="1:17" s="339" customFormat="1" x14ac:dyDescent="0.25">
      <c r="A163" s="402" t="s">
        <v>276</v>
      </c>
      <c r="B163" s="333">
        <v>43950</v>
      </c>
      <c r="C163" s="332">
        <v>1.51</v>
      </c>
      <c r="D163" s="332">
        <v>1.97</v>
      </c>
      <c r="E163" s="394">
        <f t="shared" si="94"/>
        <v>30.463576158940398</v>
      </c>
      <c r="F163" s="335">
        <v>25000000</v>
      </c>
      <c r="G163" s="334">
        <v>1.97</v>
      </c>
      <c r="H163" s="336">
        <f t="shared" si="100"/>
        <v>0</v>
      </c>
      <c r="I163" s="334">
        <v>2.62</v>
      </c>
      <c r="J163" s="336">
        <f t="shared" si="101"/>
        <v>32.994923857868024</v>
      </c>
      <c r="K163" s="337">
        <v>0.44791666666666669</v>
      </c>
      <c r="L163" s="332">
        <v>2.15</v>
      </c>
      <c r="M163" s="346">
        <f t="shared" si="99"/>
        <v>-9.1370558375634481</v>
      </c>
      <c r="N163" s="335">
        <v>28000000</v>
      </c>
      <c r="O163" s="332" t="s">
        <v>167</v>
      </c>
      <c r="P163" s="338">
        <f t="shared" si="97"/>
        <v>63.458500016808422</v>
      </c>
      <c r="Q163" s="332" t="s">
        <v>832</v>
      </c>
    </row>
    <row r="164" spans="1:17" s="306" customFormat="1" x14ac:dyDescent="0.25">
      <c r="A164" s="326" t="s">
        <v>277</v>
      </c>
      <c r="B164" s="308">
        <v>44111</v>
      </c>
      <c r="C164" s="201">
        <v>7.46</v>
      </c>
      <c r="D164" s="307">
        <v>13.03</v>
      </c>
      <c r="E164" s="393">
        <f t="shared" si="94"/>
        <v>74.664879356568363</v>
      </c>
      <c r="F164" s="329">
        <v>24000000</v>
      </c>
      <c r="G164" s="328">
        <v>13.79</v>
      </c>
      <c r="H164" s="312">
        <f t="shared" si="100"/>
        <v>5.832693783576361</v>
      </c>
      <c r="I164" s="328">
        <v>14.4</v>
      </c>
      <c r="J164" s="312">
        <f t="shared" si="101"/>
        <v>10.514198004604767</v>
      </c>
      <c r="K164" s="330">
        <v>0.40138888888888885</v>
      </c>
      <c r="L164" s="326">
        <v>10.6</v>
      </c>
      <c r="M164" s="311">
        <f t="shared" si="99"/>
        <v>18.649270913277054</v>
      </c>
      <c r="N164" s="329">
        <v>5000000</v>
      </c>
      <c r="O164" s="326" t="s">
        <v>190</v>
      </c>
      <c r="P164" s="316">
        <f t="shared" si="97"/>
        <v>85.179077361173128</v>
      </c>
      <c r="Q164" s="307"/>
    </row>
    <row r="165" spans="1:17" s="306" customFormat="1" x14ac:dyDescent="0.25">
      <c r="A165" s="307" t="s">
        <v>844</v>
      </c>
      <c r="B165" s="308">
        <v>44138</v>
      </c>
      <c r="C165" s="307">
        <v>4.7</v>
      </c>
      <c r="D165" s="307">
        <v>5.35</v>
      </c>
      <c r="E165" s="312">
        <f t="shared" si="94"/>
        <v>13.829787234042543</v>
      </c>
      <c r="F165" s="202">
        <v>24000000</v>
      </c>
      <c r="G165" s="201">
        <v>5.53</v>
      </c>
      <c r="H165" s="312">
        <f t="shared" si="100"/>
        <v>3.3644859813084222</v>
      </c>
      <c r="I165" s="201">
        <v>6.44</v>
      </c>
      <c r="J165" s="312">
        <f t="shared" si="101"/>
        <v>20.37383177570095</v>
      </c>
      <c r="K165" s="314" t="s">
        <v>845</v>
      </c>
      <c r="L165" s="307">
        <v>5.75</v>
      </c>
      <c r="M165" s="366">
        <f t="shared" si="99"/>
        <v>-7.4766355140186995</v>
      </c>
      <c r="N165" s="202">
        <v>1000000</v>
      </c>
      <c r="O165" s="307" t="s">
        <v>190</v>
      </c>
      <c r="P165" s="316">
        <f t="shared" si="97"/>
        <v>34.203619009743491</v>
      </c>
      <c r="Q165" s="307"/>
    </row>
    <row r="166" spans="1:17" s="306" customFormat="1" x14ac:dyDescent="0.25">
      <c r="A166" s="372" t="s">
        <v>765</v>
      </c>
      <c r="B166" s="308">
        <v>43985</v>
      </c>
      <c r="C166" s="307">
        <v>2.33</v>
      </c>
      <c r="D166" s="307">
        <v>3.38</v>
      </c>
      <c r="E166" s="312">
        <f t="shared" si="94"/>
        <v>45.064377682403425</v>
      </c>
      <c r="F166" s="202">
        <v>24000000</v>
      </c>
      <c r="G166" s="201">
        <v>3.41</v>
      </c>
      <c r="H166" s="312">
        <f t="shared" si="100"/>
        <v>0.88757396449704873</v>
      </c>
      <c r="I166" s="201">
        <v>3.85</v>
      </c>
      <c r="J166" s="312">
        <f t="shared" si="101"/>
        <v>13.905325443786989</v>
      </c>
      <c r="K166" s="314">
        <v>0.40486111111111112</v>
      </c>
      <c r="L166" s="307">
        <v>2.87</v>
      </c>
      <c r="M166" s="311">
        <f t="shared" si="99"/>
        <v>15.088757396449697</v>
      </c>
      <c r="N166" s="202">
        <v>7000000</v>
      </c>
      <c r="O166" s="307" t="s">
        <v>167</v>
      </c>
      <c r="P166" s="316">
        <f t="shared" si="97"/>
        <v>58.96970312619041</v>
      </c>
      <c r="Q166" s="307"/>
    </row>
    <row r="167" spans="1:17" s="306" customFormat="1" x14ac:dyDescent="0.25">
      <c r="A167" s="372" t="s">
        <v>767</v>
      </c>
      <c r="B167" s="308">
        <v>44036</v>
      </c>
      <c r="C167" s="307">
        <v>1.61</v>
      </c>
      <c r="D167" s="307">
        <v>2.04</v>
      </c>
      <c r="E167" s="312">
        <f t="shared" si="94"/>
        <v>26.708074534161486</v>
      </c>
      <c r="F167" s="202">
        <v>24000000</v>
      </c>
      <c r="G167" s="201">
        <v>2.16</v>
      </c>
      <c r="H167" s="312">
        <f t="shared" si="100"/>
        <v>5.8823529411764754</v>
      </c>
      <c r="I167" s="201">
        <v>2.38</v>
      </c>
      <c r="J167" s="312">
        <f t="shared" si="101"/>
        <v>16.666666666666661</v>
      </c>
      <c r="K167" s="314">
        <v>0.4201388888888889</v>
      </c>
      <c r="L167" s="307">
        <v>1.78</v>
      </c>
      <c r="M167" s="311">
        <f t="shared" si="99"/>
        <v>12.745098039215685</v>
      </c>
      <c r="N167" s="202">
        <v>19000000</v>
      </c>
      <c r="O167" s="307" t="s">
        <v>216</v>
      </c>
      <c r="P167" s="316">
        <f t="shared" si="97"/>
        <v>43.374741200828147</v>
      </c>
      <c r="Q167" s="307"/>
    </row>
    <row r="168" spans="1:17" x14ac:dyDescent="0.25">
      <c r="A168" s="124" t="s">
        <v>896</v>
      </c>
      <c r="B168" s="261">
        <v>44173</v>
      </c>
      <c r="C168" s="124">
        <v>35</v>
      </c>
      <c r="D168" s="124">
        <v>50</v>
      </c>
      <c r="E168" s="317">
        <f t="shared" si="94"/>
        <v>42.857142857142854</v>
      </c>
      <c r="F168" s="137">
        <v>24000000</v>
      </c>
      <c r="G168" s="131"/>
      <c r="H168" s="317">
        <f t="shared" si="100"/>
        <v>-100</v>
      </c>
      <c r="I168" s="131">
        <v>54.96</v>
      </c>
      <c r="J168" s="317">
        <f t="shared" si="101"/>
        <v>9.9200000000000017</v>
      </c>
      <c r="K168" s="280">
        <v>0.41250000000000003</v>
      </c>
      <c r="L168" s="124">
        <v>49.82</v>
      </c>
      <c r="M168" s="331">
        <f t="shared" si="99"/>
        <v>0.35999999999999943</v>
      </c>
      <c r="N168" s="137">
        <v>3000000</v>
      </c>
      <c r="O168" s="124" t="s">
        <v>170</v>
      </c>
      <c r="P168" s="316">
        <f t="shared" si="97"/>
        <v>52.777142857142856</v>
      </c>
      <c r="Q168" s="124"/>
    </row>
    <row r="169" spans="1:17" x14ac:dyDescent="0.25">
      <c r="A169" s="124" t="s">
        <v>907</v>
      </c>
      <c r="B169" s="261">
        <v>44179</v>
      </c>
      <c r="C169" s="131">
        <v>2.23</v>
      </c>
      <c r="D169" s="124">
        <v>3.03</v>
      </c>
      <c r="E169" s="317">
        <f t="shared" si="94"/>
        <v>35.874439461883398</v>
      </c>
      <c r="F169" s="137">
        <v>24000000</v>
      </c>
      <c r="G169" s="131">
        <v>3.03</v>
      </c>
      <c r="H169" s="317">
        <f t="shared" si="100"/>
        <v>0</v>
      </c>
      <c r="I169" s="131">
        <v>3.03</v>
      </c>
      <c r="J169" s="317">
        <f t="shared" si="101"/>
        <v>0</v>
      </c>
      <c r="K169" s="280">
        <v>0.39652777777777781</v>
      </c>
      <c r="L169" s="124">
        <v>2.5099999999999998</v>
      </c>
      <c r="M169" s="331">
        <f t="shared" si="99"/>
        <v>17.161716171617165</v>
      </c>
      <c r="N169" s="137">
        <v>14000000</v>
      </c>
      <c r="O169" s="124" t="s">
        <v>190</v>
      </c>
      <c r="P169" s="316">
        <f t="shared" si="97"/>
        <v>35.874439461883398</v>
      </c>
      <c r="Q169" s="124"/>
    </row>
    <row r="170" spans="1:17" s="306" customFormat="1" x14ac:dyDescent="0.25">
      <c r="A170" s="372" t="s">
        <v>134</v>
      </c>
      <c r="B170" s="308">
        <v>43871</v>
      </c>
      <c r="C170" s="307">
        <v>2.1</v>
      </c>
      <c r="D170" s="307">
        <v>3.84</v>
      </c>
      <c r="E170" s="393">
        <f t="shared" si="94"/>
        <v>82.857142857142847</v>
      </c>
      <c r="F170" s="202">
        <v>23000000</v>
      </c>
      <c r="G170" s="201">
        <v>4.24</v>
      </c>
      <c r="H170" s="312">
        <f t="shared" si="100"/>
        <v>10.416666666666677</v>
      </c>
      <c r="I170" s="201">
        <v>4.24</v>
      </c>
      <c r="J170" s="312">
        <f t="shared" si="101"/>
        <v>10.416666666666677</v>
      </c>
      <c r="K170" s="314">
        <v>0.3979166666666667</v>
      </c>
      <c r="L170" s="307">
        <v>3.2</v>
      </c>
      <c r="M170" s="311">
        <f t="shared" si="99"/>
        <v>16.666666666666661</v>
      </c>
      <c r="N170" s="202">
        <v>13000000</v>
      </c>
      <c r="O170" s="307" t="s">
        <v>190</v>
      </c>
      <c r="P170" s="316">
        <f t="shared" si="97"/>
        <v>93.273809523809518</v>
      </c>
      <c r="Q170" s="307"/>
    </row>
    <row r="171" spans="1:17" s="306" customFormat="1" x14ac:dyDescent="0.25">
      <c r="A171" s="373" t="s">
        <v>278</v>
      </c>
      <c r="B171" s="308">
        <v>43979</v>
      </c>
      <c r="C171" s="307">
        <v>4.45</v>
      </c>
      <c r="D171" s="307">
        <v>6.4</v>
      </c>
      <c r="E171" s="393">
        <f t="shared" si="94"/>
        <v>43.820224719101127</v>
      </c>
      <c r="F171" s="202">
        <v>21000000</v>
      </c>
      <c r="G171" s="201">
        <v>6.24</v>
      </c>
      <c r="H171" s="312">
        <f t="shared" si="100"/>
        <v>-2.5000000000000022</v>
      </c>
      <c r="I171" s="201">
        <v>6.84</v>
      </c>
      <c r="J171" s="312">
        <f t="shared" si="101"/>
        <v>6.874999999999992</v>
      </c>
      <c r="K171" s="314">
        <v>0.44097222222222227</v>
      </c>
      <c r="L171" s="307">
        <v>6</v>
      </c>
      <c r="M171" s="311">
        <f t="shared" si="99"/>
        <v>6.2500000000000053</v>
      </c>
      <c r="N171" s="202">
        <v>2000000</v>
      </c>
      <c r="O171" s="307" t="s">
        <v>167</v>
      </c>
      <c r="P171" s="316">
        <f t="shared" si="97"/>
        <v>50.69522471910112</v>
      </c>
      <c r="Q171" s="307"/>
    </row>
    <row r="172" spans="1:17" s="306" customFormat="1" x14ac:dyDescent="0.25">
      <c r="A172" s="373" t="s">
        <v>279</v>
      </c>
      <c r="B172" s="308">
        <v>44043</v>
      </c>
      <c r="C172" s="307">
        <v>8.7799999999999994</v>
      </c>
      <c r="D172" s="307">
        <v>13</v>
      </c>
      <c r="E172" s="393">
        <f t="shared" si="94"/>
        <v>48.063781321184521</v>
      </c>
      <c r="F172" s="202">
        <v>21000000</v>
      </c>
      <c r="G172" s="201">
        <v>13.08</v>
      </c>
      <c r="H172" s="312">
        <f t="shared" si="100"/>
        <v>0.61538461538461586</v>
      </c>
      <c r="I172" s="201">
        <v>13.08</v>
      </c>
      <c r="J172" s="312">
        <f t="shared" si="101"/>
        <v>0.61538461538461586</v>
      </c>
      <c r="K172" s="314">
        <v>0.39652777777777781</v>
      </c>
      <c r="L172" s="307">
        <v>9.9700000000000006</v>
      </c>
      <c r="M172" s="311">
        <f t="shared" si="99"/>
        <v>23.307692307692303</v>
      </c>
      <c r="N172" s="202">
        <v>3000000</v>
      </c>
      <c r="O172" s="307" t="s">
        <v>190</v>
      </c>
      <c r="P172" s="316">
        <f t="shared" si="97"/>
        <v>48.679165936569134</v>
      </c>
      <c r="Q172" s="307"/>
    </row>
    <row r="173" spans="1:17" s="306" customFormat="1" x14ac:dyDescent="0.25">
      <c r="A173" s="373" t="s">
        <v>280</v>
      </c>
      <c r="B173" s="308">
        <v>44050</v>
      </c>
      <c r="C173" s="307">
        <v>4.3600000000000003</v>
      </c>
      <c r="D173" s="307">
        <v>7.76</v>
      </c>
      <c r="E173" s="393">
        <f t="shared" si="94"/>
        <v>77.981651376146772</v>
      </c>
      <c r="F173" s="202">
        <v>21000000</v>
      </c>
      <c r="G173" s="201">
        <v>8</v>
      </c>
      <c r="H173" s="312">
        <f t="shared" si="100"/>
        <v>3.092783505154642</v>
      </c>
      <c r="I173" s="201">
        <v>8.17</v>
      </c>
      <c r="J173" s="312">
        <f t="shared" si="101"/>
        <v>5.2835051546391769</v>
      </c>
      <c r="K173" s="314">
        <v>0.40416666666666662</v>
      </c>
      <c r="L173" s="307">
        <v>6.41</v>
      </c>
      <c r="M173" s="311">
        <f t="shared" si="99"/>
        <v>17.396907216494842</v>
      </c>
      <c r="N173" s="202">
        <v>5000000</v>
      </c>
      <c r="O173" s="307" t="s">
        <v>167</v>
      </c>
      <c r="P173" s="316">
        <f t="shared" si="97"/>
        <v>83.265156530785944</v>
      </c>
      <c r="Q173" s="307"/>
    </row>
    <row r="174" spans="1:17" s="306" customFormat="1" x14ac:dyDescent="0.25">
      <c r="A174" s="372" t="s">
        <v>263</v>
      </c>
      <c r="B174" s="308">
        <v>43978</v>
      </c>
      <c r="C174" s="307">
        <v>1.25</v>
      </c>
      <c r="D174" s="307">
        <v>1.45</v>
      </c>
      <c r="E174" s="312">
        <f t="shared" si="94"/>
        <v>15.999999999999998</v>
      </c>
      <c r="F174" s="202">
        <v>21000000</v>
      </c>
      <c r="G174" s="201">
        <v>1.47</v>
      </c>
      <c r="H174" s="312">
        <f t="shared" si="100"/>
        <v>1.3793103448275874</v>
      </c>
      <c r="I174" s="201">
        <v>1.65</v>
      </c>
      <c r="J174" s="312">
        <f t="shared" si="101"/>
        <v>13.793103448275859</v>
      </c>
      <c r="K174" s="314">
        <v>0.4236111111111111</v>
      </c>
      <c r="L174" s="307">
        <v>1.49</v>
      </c>
      <c r="M174" s="366">
        <f t="shared" si="99"/>
        <v>-2.7586206896551748</v>
      </c>
      <c r="N174" s="202">
        <v>13000000</v>
      </c>
      <c r="O174" s="307" t="s">
        <v>190</v>
      </c>
      <c r="P174" s="316">
        <f t="shared" si="97"/>
        <v>29.793103448275858</v>
      </c>
      <c r="Q174" s="307"/>
    </row>
    <row r="175" spans="1:17" x14ac:dyDescent="0.25">
      <c r="A175" s="124" t="s">
        <v>828</v>
      </c>
      <c r="B175" s="261">
        <v>44153</v>
      </c>
      <c r="C175" s="124">
        <v>2.37</v>
      </c>
      <c r="D175" s="124">
        <v>2.95</v>
      </c>
      <c r="E175" s="317">
        <f t="shared" si="94"/>
        <v>24.472573839662449</v>
      </c>
      <c r="F175" s="137">
        <v>21000000</v>
      </c>
      <c r="G175" s="131">
        <v>2.97</v>
      </c>
      <c r="H175" s="317">
        <f t="shared" si="100"/>
        <v>0.67796610169491589</v>
      </c>
      <c r="I175" s="131">
        <v>4.04</v>
      </c>
      <c r="J175" s="317">
        <f t="shared" si="101"/>
        <v>36.949152542372879</v>
      </c>
      <c r="K175" s="280">
        <v>0.37777777777777777</v>
      </c>
      <c r="L175" s="124">
        <v>2.92</v>
      </c>
      <c r="M175" s="331">
        <f t="shared" si="99"/>
        <v>1.0169491525423813</v>
      </c>
      <c r="N175" s="137">
        <v>2000000</v>
      </c>
      <c r="O175" s="124" t="s">
        <v>190</v>
      </c>
      <c r="P175" s="316">
        <f t="shared" si="97"/>
        <v>61.421726382035331</v>
      </c>
      <c r="Q175" s="124"/>
    </row>
    <row r="176" spans="1:17" s="306" customFormat="1" x14ac:dyDescent="0.25">
      <c r="A176" s="373" t="s">
        <v>282</v>
      </c>
      <c r="B176" s="308">
        <v>44057</v>
      </c>
      <c r="C176" s="307">
        <v>4.71</v>
      </c>
      <c r="D176" s="307">
        <v>5.72</v>
      </c>
      <c r="E176" s="393">
        <f t="shared" si="94"/>
        <v>21.443736730360929</v>
      </c>
      <c r="F176" s="202">
        <v>20000000</v>
      </c>
      <c r="G176" s="201">
        <v>6.72</v>
      </c>
      <c r="H176" s="312">
        <f t="shared" si="100"/>
        <v>17.482517482517483</v>
      </c>
      <c r="I176" s="201">
        <v>6.98</v>
      </c>
      <c r="J176" s="312">
        <f t="shared" si="101"/>
        <v>22.027972027972041</v>
      </c>
      <c r="K176" s="314">
        <v>0.41666666666666669</v>
      </c>
      <c r="L176" s="307">
        <v>6.79</v>
      </c>
      <c r="M176" s="366">
        <f t="shared" si="99"/>
        <v>-18.70629370629371</v>
      </c>
      <c r="N176" s="202">
        <v>74000000</v>
      </c>
      <c r="O176" s="307" t="s">
        <v>167</v>
      </c>
      <c r="P176" s="316">
        <f t="shared" si="97"/>
        <v>43.471708758332966</v>
      </c>
      <c r="Q176" s="307"/>
    </row>
    <row r="177" spans="1:17" s="306" customFormat="1" x14ac:dyDescent="0.25">
      <c r="A177" s="372" t="s">
        <v>756</v>
      </c>
      <c r="B177" s="308">
        <v>43874</v>
      </c>
      <c r="C177" s="307">
        <v>2.15</v>
      </c>
      <c r="D177" s="307">
        <v>3.33</v>
      </c>
      <c r="E177" s="393">
        <f t="shared" si="94"/>
        <v>54.88372093023257</v>
      </c>
      <c r="F177" s="202">
        <v>20000000</v>
      </c>
      <c r="G177" s="201">
        <v>3.48</v>
      </c>
      <c r="H177" s="312">
        <f t="shared" si="100"/>
        <v>4.5045045045045011</v>
      </c>
      <c r="I177" s="201">
        <v>3.48</v>
      </c>
      <c r="J177" s="312">
        <f t="shared" si="101"/>
        <v>4.5045045045045011</v>
      </c>
      <c r="K177" s="314">
        <v>0.3979166666666667</v>
      </c>
      <c r="L177" s="307">
        <v>2.62</v>
      </c>
      <c r="M177" s="311">
        <f>(D177-L177)/D177*100</f>
        <v>21.321321321321321</v>
      </c>
      <c r="N177" s="202">
        <v>3000000</v>
      </c>
      <c r="O177" s="307" t="s">
        <v>190</v>
      </c>
      <c r="P177" s="316">
        <f t="shared" si="97"/>
        <v>59.388225434737073</v>
      </c>
      <c r="Q177" s="307"/>
    </row>
    <row r="178" spans="1:17" s="141" customFormat="1" x14ac:dyDescent="0.25">
      <c r="A178" s="138" t="s">
        <v>848</v>
      </c>
      <c r="B178" s="143">
        <v>44140</v>
      </c>
      <c r="C178" s="138">
        <v>20.23</v>
      </c>
      <c r="D178" s="138">
        <v>25.88</v>
      </c>
      <c r="E178" s="267">
        <f t="shared" si="94"/>
        <v>27.928818586258025</v>
      </c>
      <c r="F178" s="256">
        <v>20000000</v>
      </c>
      <c r="G178" s="144">
        <v>26.91</v>
      </c>
      <c r="H178" s="267">
        <f t="shared" si="100"/>
        <v>3.9799072642967586</v>
      </c>
      <c r="I178" s="144">
        <v>31</v>
      </c>
      <c r="J178" s="267">
        <f t="shared" si="101"/>
        <v>19.783616692426591</v>
      </c>
      <c r="K178" s="265">
        <v>0.40277777777777773</v>
      </c>
      <c r="L178" s="138">
        <v>29.09</v>
      </c>
      <c r="M178" s="271">
        <f t="shared" ref="M178" si="102">(D178-L178)/D178*100</f>
        <v>-12.403400309119014</v>
      </c>
      <c r="N178" s="256">
        <v>20000000</v>
      </c>
      <c r="O178" s="138">
        <v>52</v>
      </c>
      <c r="P178" s="417">
        <f t="shared" si="97"/>
        <v>47.712435278684616</v>
      </c>
      <c r="Q178" s="138"/>
    </row>
    <row r="179" spans="1:17" ht="21" x14ac:dyDescent="0.25">
      <c r="A179" s="262" t="s">
        <v>283</v>
      </c>
      <c r="B179" s="273">
        <f t="shared" ref="B179" si="103">(B154+B155+B156+B157+B158+B159+B160+B161+B162+B163+B164+B166+B167+B170+B171+B172+B173+B174+B176+B177+B165+B178+B175+B168)/24</f>
        <v>44026.541666666664</v>
      </c>
      <c r="C179" s="273">
        <f t="shared" ref="C179:I179" si="104">(C154+C155+C156+C157+C158+C159+C160+C161+C162+C163+C164+C166+C167+C170+C171+C172+C173+C174+C176+C177+C165+C178+C175+C168+C169)/25</f>
        <v>6.2375999999999996</v>
      </c>
      <c r="D179" s="273">
        <f t="shared" si="104"/>
        <v>8.8992000000000004</v>
      </c>
      <c r="E179" s="273">
        <f t="shared" si="104"/>
        <v>51.299470922022273</v>
      </c>
      <c r="F179" s="273">
        <f t="shared" si="104"/>
        <v>23800000</v>
      </c>
      <c r="G179" s="273">
        <f t="shared" si="104"/>
        <v>7.1979999999999986</v>
      </c>
      <c r="H179" s="273">
        <f t="shared" si="104"/>
        <v>9.1808906021510664E-2</v>
      </c>
      <c r="I179" s="273">
        <f t="shared" si="104"/>
        <v>10.054399999999999</v>
      </c>
      <c r="J179" s="273">
        <f>(J154+J155+J156+J157+J158+J159+J160+J161+J162+J163+J164+J166+J167+J170+J171+J172+J173+J174+J176+J177+J165+J178+J175+J168+J169)/25</f>
        <v>12.50629166139313</v>
      </c>
      <c r="K179" s="273" t="e">
        <f t="shared" ref="K179:P179" si="105">(K154+K155+K156+K157+K158+K159+K160+K161+K162+K163+K164+K166+K167+K170+K171+K172+K173+K174+K176+K177+K165+K178+K175+K168+K169)/25</f>
        <v>#VALUE!</v>
      </c>
      <c r="L179" s="273">
        <f t="shared" si="105"/>
        <v>8.7371999999999996</v>
      </c>
      <c r="M179" s="273">
        <f t="shared" si="105"/>
        <v>9.8698941137704832</v>
      </c>
      <c r="N179" s="273">
        <f t="shared" si="105"/>
        <v>18256000</v>
      </c>
      <c r="O179" s="273" t="e">
        <f t="shared" si="105"/>
        <v>#VALUE!</v>
      </c>
      <c r="P179" s="273">
        <f t="shared" si="105"/>
        <v>63.805762583415401</v>
      </c>
      <c r="Q179" s="388">
        <f>(5/25)*100</f>
        <v>20</v>
      </c>
    </row>
    <row r="180" spans="1:17" ht="21" x14ac:dyDescent="0.25">
      <c r="A180" s="352" t="s">
        <v>108</v>
      </c>
      <c r="B180" s="352" t="s">
        <v>107</v>
      </c>
      <c r="C180" s="352" t="s">
        <v>152</v>
      </c>
      <c r="D180" s="352" t="s">
        <v>153</v>
      </c>
      <c r="E180" s="352" t="s">
        <v>284</v>
      </c>
      <c r="F180" s="352" t="s">
        <v>155</v>
      </c>
      <c r="G180" s="353" t="s">
        <v>156</v>
      </c>
      <c r="H180" s="352" t="s">
        <v>285</v>
      </c>
      <c r="I180" s="353" t="s">
        <v>158</v>
      </c>
      <c r="J180" s="353" t="s">
        <v>159</v>
      </c>
      <c r="K180" s="353" t="s">
        <v>160</v>
      </c>
      <c r="L180" s="352" t="s">
        <v>161</v>
      </c>
      <c r="M180" s="352" t="s">
        <v>162</v>
      </c>
      <c r="N180" s="354" t="s">
        <v>163</v>
      </c>
      <c r="O180" s="355" t="s">
        <v>164</v>
      </c>
      <c r="P180" s="355" t="s">
        <v>174</v>
      </c>
      <c r="Q180" s="356"/>
    </row>
    <row r="181" spans="1:17" x14ac:dyDescent="0.25">
      <c r="A181" s="124" t="s">
        <v>835</v>
      </c>
      <c r="B181" s="261">
        <v>44132</v>
      </c>
      <c r="C181" s="124">
        <v>6.36</v>
      </c>
      <c r="D181" s="124">
        <v>10.4</v>
      </c>
      <c r="E181" s="317">
        <f t="shared" ref="E181:E224" si="106">(D181-C181)/C181*100</f>
        <v>63.522012578616348</v>
      </c>
      <c r="F181" s="137">
        <v>19000000</v>
      </c>
      <c r="G181" s="131">
        <v>10.45</v>
      </c>
      <c r="H181" s="317">
        <f t="shared" ref="H181:H186" si="107">(G181-D181)/D181*100</f>
        <v>0.48076923076922046</v>
      </c>
      <c r="I181" s="131">
        <v>10.45</v>
      </c>
      <c r="J181" s="317">
        <f t="shared" ref="J181:J186" si="108">(I181-D181)/D181*100</f>
        <v>0.48076923076922046</v>
      </c>
      <c r="K181" s="280">
        <v>0.39652777777777781</v>
      </c>
      <c r="L181" s="124">
        <v>8.24</v>
      </c>
      <c r="M181" s="331">
        <f>(D181-L181)/D181*100</f>
        <v>20.76923076923077</v>
      </c>
      <c r="N181" s="137">
        <v>5000000</v>
      </c>
      <c r="O181" s="124" t="s">
        <v>190</v>
      </c>
      <c r="P181" s="316">
        <f t="shared" ref="P181:P183" si="109">E181+J181</f>
        <v>64.002781809385567</v>
      </c>
      <c r="Q181" s="124"/>
    </row>
    <row r="182" spans="1:17" s="306" customFormat="1" x14ac:dyDescent="0.25">
      <c r="A182" s="373" t="s">
        <v>287</v>
      </c>
      <c r="B182" s="308">
        <v>44097</v>
      </c>
      <c r="C182" s="307">
        <v>5.49</v>
      </c>
      <c r="D182" s="307">
        <v>6.74</v>
      </c>
      <c r="E182" s="393">
        <f t="shared" si="106"/>
        <v>22.768670309653917</v>
      </c>
      <c r="F182" s="202">
        <v>19000000</v>
      </c>
      <c r="G182" s="201">
        <v>6.74</v>
      </c>
      <c r="H182" s="312">
        <f t="shared" si="107"/>
        <v>0</v>
      </c>
      <c r="I182" s="201">
        <v>6.74</v>
      </c>
      <c r="J182" s="312">
        <f t="shared" si="108"/>
        <v>0</v>
      </c>
      <c r="K182" s="314">
        <v>30</v>
      </c>
      <c r="L182" s="307">
        <v>6.01</v>
      </c>
      <c r="M182" s="331">
        <f t="shared" ref="M182:M224" si="110">(D182-L182)/D182*100</f>
        <v>10.830860534124636</v>
      </c>
      <c r="N182" s="202">
        <v>30000000</v>
      </c>
      <c r="O182" s="307" t="s">
        <v>190</v>
      </c>
      <c r="P182" s="316">
        <f t="shared" si="109"/>
        <v>22.768670309653917</v>
      </c>
      <c r="Q182" s="307"/>
    </row>
    <row r="183" spans="1:17" x14ac:dyDescent="0.25">
      <c r="A183" s="124" t="s">
        <v>840</v>
      </c>
      <c r="B183" s="261">
        <v>44137</v>
      </c>
      <c r="C183" s="124">
        <v>3.2</v>
      </c>
      <c r="D183" s="124">
        <v>4.16</v>
      </c>
      <c r="E183" s="317">
        <f t="shared" si="106"/>
        <v>30</v>
      </c>
      <c r="F183" s="137">
        <v>19000000</v>
      </c>
      <c r="G183" s="131">
        <v>4.28</v>
      </c>
      <c r="H183" s="317">
        <f t="shared" si="107"/>
        <v>2.8846153846153872</v>
      </c>
      <c r="I183" s="131">
        <v>4.28</v>
      </c>
      <c r="J183" s="317">
        <f t="shared" si="108"/>
        <v>2.8846153846153872</v>
      </c>
      <c r="K183" s="280">
        <v>0.3979166666666667</v>
      </c>
      <c r="L183" s="124">
        <v>3.65</v>
      </c>
      <c r="M183" s="331">
        <f t="shared" si="110"/>
        <v>12.25961538461539</v>
      </c>
      <c r="N183" s="137">
        <v>1000000</v>
      </c>
      <c r="O183" s="124" t="s">
        <v>167</v>
      </c>
      <c r="P183" s="316">
        <f t="shared" si="109"/>
        <v>32.884615384615387</v>
      </c>
      <c r="Q183" s="124"/>
    </row>
    <row r="184" spans="1:17" x14ac:dyDescent="0.25">
      <c r="A184" s="124" t="s">
        <v>860</v>
      </c>
      <c r="B184" s="261">
        <v>44151</v>
      </c>
      <c r="C184" s="124">
        <v>3.72</v>
      </c>
      <c r="D184" s="124">
        <v>6.12</v>
      </c>
      <c r="E184" s="317">
        <f t="shared" si="106"/>
        <v>64.516129032258064</v>
      </c>
      <c r="F184" s="137">
        <v>18000000</v>
      </c>
      <c r="G184" s="131">
        <v>6.12</v>
      </c>
      <c r="H184" s="317">
        <f t="shared" si="107"/>
        <v>0</v>
      </c>
      <c r="I184" s="131">
        <v>7.52</v>
      </c>
      <c r="J184" s="317">
        <f t="shared" si="108"/>
        <v>22.875816993464042</v>
      </c>
      <c r="K184" s="280">
        <v>0.66319444444444442</v>
      </c>
      <c r="L184" s="124">
        <v>7.01</v>
      </c>
      <c r="M184" s="387">
        <f t="shared" si="110"/>
        <v>-14.542483660130715</v>
      </c>
      <c r="N184" s="137">
        <v>1000000</v>
      </c>
      <c r="O184" s="124" t="s">
        <v>167</v>
      </c>
      <c r="P184" s="363">
        <f t="shared" ref="P184:P224" si="111">E184+J184</f>
        <v>87.391946025722106</v>
      </c>
      <c r="Q184" s="124"/>
    </row>
    <row r="185" spans="1:17" x14ac:dyDescent="0.25">
      <c r="A185" s="124" t="s">
        <v>891</v>
      </c>
      <c r="B185" s="261">
        <v>44172</v>
      </c>
      <c r="C185" s="124">
        <v>13.46</v>
      </c>
      <c r="D185" s="124">
        <v>17.27</v>
      </c>
      <c r="E185" s="317">
        <f t="shared" si="106"/>
        <v>28.306092124814253</v>
      </c>
      <c r="F185" s="137">
        <v>18000000</v>
      </c>
      <c r="G185" s="131">
        <v>17.760000000000002</v>
      </c>
      <c r="H185" s="317">
        <f t="shared" si="107"/>
        <v>2.8372900984366067</v>
      </c>
      <c r="I185" s="131">
        <v>19.36</v>
      </c>
      <c r="J185" s="317">
        <f t="shared" si="108"/>
        <v>12.101910828025478</v>
      </c>
      <c r="K185" s="280">
        <v>0.66527777777777775</v>
      </c>
      <c r="L185" s="124">
        <v>19.36</v>
      </c>
      <c r="M185" s="387">
        <f t="shared" si="110"/>
        <v>-12.101910828025478</v>
      </c>
      <c r="N185" s="137">
        <v>15000000</v>
      </c>
      <c r="O185" s="124" t="s">
        <v>170</v>
      </c>
      <c r="P185" s="363">
        <f t="shared" si="111"/>
        <v>40.40800295283973</v>
      </c>
      <c r="Q185" s="124"/>
    </row>
    <row r="186" spans="1:17" x14ac:dyDescent="0.25">
      <c r="A186" s="124" t="s">
        <v>839</v>
      </c>
      <c r="B186" s="261">
        <v>44134</v>
      </c>
      <c r="C186" s="124">
        <v>6.13</v>
      </c>
      <c r="D186" s="124">
        <v>7.14</v>
      </c>
      <c r="E186" s="317">
        <f t="shared" si="106"/>
        <v>16.476345840130502</v>
      </c>
      <c r="F186" s="137">
        <v>18000000</v>
      </c>
      <c r="G186" s="131">
        <v>7.29</v>
      </c>
      <c r="H186" s="317">
        <f t="shared" si="107"/>
        <v>2.1008403361344588</v>
      </c>
      <c r="I186" s="131">
        <v>7.52</v>
      </c>
      <c r="J186" s="317">
        <f t="shared" si="108"/>
        <v>5.3221288515406151</v>
      </c>
      <c r="K186" s="280">
        <v>0.41319444444444442</v>
      </c>
      <c r="L186" s="124">
        <v>6.37</v>
      </c>
      <c r="M186" s="331">
        <f t="shared" si="110"/>
        <v>10.784313725490192</v>
      </c>
      <c r="N186" s="137">
        <v>14000000</v>
      </c>
      <c r="O186" s="124" t="s">
        <v>190</v>
      </c>
      <c r="P186" s="363">
        <f t="shared" si="111"/>
        <v>21.798474691671117</v>
      </c>
      <c r="Q186" s="124"/>
    </row>
    <row r="187" spans="1:17" s="306" customFormat="1" x14ac:dyDescent="0.25">
      <c r="A187" s="375" t="s">
        <v>286</v>
      </c>
      <c r="B187" s="308">
        <v>44068</v>
      </c>
      <c r="C187" s="307">
        <v>4.42</v>
      </c>
      <c r="D187" s="307">
        <v>6.5</v>
      </c>
      <c r="E187" s="399">
        <f t="shared" si="106"/>
        <v>47.058823529411768</v>
      </c>
      <c r="F187" s="359">
        <v>18000000</v>
      </c>
      <c r="G187" s="360">
        <v>6.54</v>
      </c>
      <c r="H187" s="361">
        <f t="shared" ref="H187:H224" si="112">(G187-D187)/D187*100</f>
        <v>0.61538461538461586</v>
      </c>
      <c r="I187" s="360">
        <v>6.54</v>
      </c>
      <c r="J187" s="361">
        <f t="shared" ref="J187:J223" si="113">(I187-D187)/D187*100</f>
        <v>0.61538461538461586</v>
      </c>
      <c r="K187" s="362">
        <v>0.39652777777777781</v>
      </c>
      <c r="L187" s="358">
        <v>4.55</v>
      </c>
      <c r="M187" s="331">
        <f t="shared" si="110"/>
        <v>30.000000000000004</v>
      </c>
      <c r="N187" s="359">
        <v>2000000</v>
      </c>
      <c r="O187" s="358" t="s">
        <v>190</v>
      </c>
      <c r="P187" s="363">
        <f t="shared" si="111"/>
        <v>47.674208144796381</v>
      </c>
      <c r="Q187" s="358"/>
    </row>
    <row r="188" spans="1:17" s="306" customFormat="1" x14ac:dyDescent="0.25">
      <c r="A188" s="372" t="s">
        <v>778</v>
      </c>
      <c r="B188" s="308">
        <v>44098</v>
      </c>
      <c r="C188" s="307">
        <v>1.43</v>
      </c>
      <c r="D188" s="307">
        <v>1.88</v>
      </c>
      <c r="E188" s="312">
        <f t="shared" si="106"/>
        <v>31.46853146853147</v>
      </c>
      <c r="F188" s="202">
        <v>18000000</v>
      </c>
      <c r="G188" s="201">
        <v>1.9</v>
      </c>
      <c r="H188" s="312">
        <f t="shared" si="112"/>
        <v>1.0638297872340436</v>
      </c>
      <c r="I188" s="201">
        <v>1.9</v>
      </c>
      <c r="J188" s="312">
        <f t="shared" si="113"/>
        <v>1.0638297872340436</v>
      </c>
      <c r="K188" s="314">
        <v>0.66597222222222219</v>
      </c>
      <c r="L188" s="307">
        <v>1.78</v>
      </c>
      <c r="M188" s="331">
        <f t="shared" si="110"/>
        <v>5.3191489361702056</v>
      </c>
      <c r="N188" s="202">
        <v>28000000</v>
      </c>
      <c r="O188" s="307" t="s">
        <v>190</v>
      </c>
      <c r="P188" s="316">
        <f t="shared" si="111"/>
        <v>32.532361255765515</v>
      </c>
      <c r="Q188" s="307"/>
    </row>
    <row r="189" spans="1:17" s="339" customFormat="1" x14ac:dyDescent="0.25">
      <c r="A189" s="403" t="s">
        <v>288</v>
      </c>
      <c r="B189" s="333">
        <v>44053</v>
      </c>
      <c r="C189" s="334">
        <v>14.1</v>
      </c>
      <c r="D189" s="332">
        <v>20.399999999999999</v>
      </c>
      <c r="E189" s="394">
        <f t="shared" si="106"/>
        <v>44.680851063829778</v>
      </c>
      <c r="F189" s="404">
        <v>18000000</v>
      </c>
      <c r="G189" s="405">
        <v>22.03</v>
      </c>
      <c r="H189" s="336">
        <f t="shared" si="112"/>
        <v>7.9901960784313859</v>
      </c>
      <c r="I189" s="405">
        <v>25.43</v>
      </c>
      <c r="J189" s="336">
        <f t="shared" si="113"/>
        <v>24.656862745098046</v>
      </c>
      <c r="K189" s="406">
        <v>0.43402777777777773</v>
      </c>
      <c r="L189" s="403">
        <v>21.2</v>
      </c>
      <c r="M189" s="346">
        <f t="shared" si="110"/>
        <v>-3.9215686274509838</v>
      </c>
      <c r="N189" s="404">
        <v>23000000</v>
      </c>
      <c r="O189" s="403" t="s">
        <v>170</v>
      </c>
      <c r="P189" s="338">
        <f t="shared" si="111"/>
        <v>69.337713808927816</v>
      </c>
      <c r="Q189" s="332" t="s">
        <v>832</v>
      </c>
    </row>
    <row r="190" spans="1:17" x14ac:dyDescent="0.25">
      <c r="A190" s="124" t="s">
        <v>908</v>
      </c>
      <c r="B190" s="261">
        <v>44179</v>
      </c>
      <c r="C190" s="124">
        <v>29.85</v>
      </c>
      <c r="D190" s="124">
        <v>68.64</v>
      </c>
      <c r="E190" s="317">
        <f t="shared" si="106"/>
        <v>129.94974874371857</v>
      </c>
      <c r="F190" s="137">
        <v>18000000</v>
      </c>
      <c r="G190" s="131">
        <v>74.95</v>
      </c>
      <c r="H190" s="317">
        <f t="shared" si="112"/>
        <v>9.1928904428904463</v>
      </c>
      <c r="I190" s="131">
        <v>74.95</v>
      </c>
      <c r="J190" s="317">
        <f t="shared" si="113"/>
        <v>9.1928904428904463</v>
      </c>
      <c r="K190" s="280">
        <v>0.3972222222222222</v>
      </c>
      <c r="L190" s="124">
        <v>58.28</v>
      </c>
      <c r="M190" s="331">
        <f t="shared" si="110"/>
        <v>15.093240093240093</v>
      </c>
      <c r="N190" s="137">
        <v>5000000</v>
      </c>
      <c r="O190" s="124" t="s">
        <v>170</v>
      </c>
      <c r="P190" s="316">
        <f t="shared" si="111"/>
        <v>139.14263918660902</v>
      </c>
      <c r="Q190" s="124"/>
    </row>
    <row r="191" spans="1:17" s="306" customFormat="1" x14ac:dyDescent="0.25">
      <c r="A191" s="372" t="s">
        <v>289</v>
      </c>
      <c r="B191" s="308">
        <v>44123</v>
      </c>
      <c r="C191" s="307">
        <v>1.92</v>
      </c>
      <c r="D191" s="307">
        <v>2.52</v>
      </c>
      <c r="E191" s="393">
        <f t="shared" si="106"/>
        <v>31.250000000000007</v>
      </c>
      <c r="F191" s="202">
        <v>17000000</v>
      </c>
      <c r="G191" s="201">
        <v>2.5</v>
      </c>
      <c r="H191" s="312">
        <f t="shared" si="112"/>
        <v>-0.79365079365079427</v>
      </c>
      <c r="I191" s="201">
        <v>2.5</v>
      </c>
      <c r="J191" s="312">
        <f t="shared" si="113"/>
        <v>-0.79365079365079427</v>
      </c>
      <c r="K191" s="314">
        <v>0.3972222222222222</v>
      </c>
      <c r="L191" s="307">
        <v>2.35</v>
      </c>
      <c r="M191" s="331">
        <f t="shared" si="110"/>
        <v>6.7460317460317425</v>
      </c>
      <c r="N191" s="202">
        <v>6000000</v>
      </c>
      <c r="O191" s="307" t="s">
        <v>190</v>
      </c>
      <c r="P191" s="316">
        <f t="shared" si="111"/>
        <v>30.456349206349213</v>
      </c>
      <c r="Q191" s="307"/>
    </row>
    <row r="192" spans="1:17" s="339" customFormat="1" x14ac:dyDescent="0.25">
      <c r="A192" s="402" t="s">
        <v>789</v>
      </c>
      <c r="B192" s="333">
        <v>44001</v>
      </c>
      <c r="C192" s="332">
        <v>1.1100000000000001</v>
      </c>
      <c r="D192" s="332">
        <v>1.5</v>
      </c>
      <c r="E192" s="336">
        <f t="shared" si="106"/>
        <v>35.135135135135123</v>
      </c>
      <c r="F192" s="335">
        <v>17000000</v>
      </c>
      <c r="G192" s="334">
        <v>1.64</v>
      </c>
      <c r="H192" s="336">
        <f t="shared" si="112"/>
        <v>9.3333333333333268</v>
      </c>
      <c r="I192" s="334">
        <v>1.9</v>
      </c>
      <c r="J192" s="336">
        <f t="shared" si="113"/>
        <v>26.666666666666661</v>
      </c>
      <c r="K192" s="337">
        <v>0.40069444444444446</v>
      </c>
      <c r="L192" s="332">
        <v>1.49</v>
      </c>
      <c r="M192" s="340">
        <f t="shared" si="110"/>
        <v>0.66666666666666718</v>
      </c>
      <c r="N192" s="335">
        <v>30000000</v>
      </c>
      <c r="O192" s="332" t="s">
        <v>190</v>
      </c>
      <c r="P192" s="338">
        <f t="shared" si="111"/>
        <v>61.801801801801787</v>
      </c>
      <c r="Q192" s="332" t="s">
        <v>832</v>
      </c>
    </row>
    <row r="193" spans="1:17" x14ac:dyDescent="0.25">
      <c r="A193" s="377" t="s">
        <v>290</v>
      </c>
      <c r="B193" s="255">
        <v>43832</v>
      </c>
      <c r="C193" s="254">
        <v>5.73</v>
      </c>
      <c r="D193" s="254">
        <v>10.33</v>
      </c>
      <c r="E193" s="392">
        <f t="shared" si="106"/>
        <v>80.279232111692835</v>
      </c>
      <c r="F193" s="257">
        <v>17000000</v>
      </c>
      <c r="G193" s="253">
        <v>11.46</v>
      </c>
      <c r="H193" s="267">
        <f t="shared" si="112"/>
        <v>10.93901258470475</v>
      </c>
      <c r="I193" s="144">
        <v>12.37</v>
      </c>
      <c r="J193" s="267">
        <f t="shared" si="113"/>
        <v>19.748305905130678</v>
      </c>
      <c r="K193" s="265">
        <v>0.66666666666666663</v>
      </c>
      <c r="L193" s="254">
        <v>11.41</v>
      </c>
      <c r="M193" s="387">
        <f t="shared" si="110"/>
        <v>-10.454985479186835</v>
      </c>
      <c r="N193" s="257">
        <v>15000000</v>
      </c>
      <c r="O193" s="124" t="s">
        <v>190</v>
      </c>
      <c r="P193" s="146">
        <f t="shared" si="111"/>
        <v>100.02753801682351</v>
      </c>
      <c r="Q193" s="124"/>
    </row>
    <row r="194" spans="1:17" x14ac:dyDescent="0.25">
      <c r="A194" s="378" t="s">
        <v>291</v>
      </c>
      <c r="B194" s="261">
        <v>43885</v>
      </c>
      <c r="C194" s="124">
        <v>6.55</v>
      </c>
      <c r="D194" s="124">
        <v>10.14</v>
      </c>
      <c r="E194" s="392">
        <f t="shared" si="106"/>
        <v>54.809160305343532</v>
      </c>
      <c r="F194" s="137">
        <v>17000000</v>
      </c>
      <c r="G194" s="131">
        <v>10.88</v>
      </c>
      <c r="H194" s="267">
        <f t="shared" si="112"/>
        <v>7.2978303747534525</v>
      </c>
      <c r="I194" s="131">
        <v>10.88</v>
      </c>
      <c r="J194" s="267">
        <f t="shared" si="113"/>
        <v>7.2978303747534525</v>
      </c>
      <c r="K194" s="280">
        <v>0.3979166666666667</v>
      </c>
      <c r="L194" s="124">
        <v>9.1300000000000008</v>
      </c>
      <c r="M194" s="331">
        <f t="shared" si="110"/>
        <v>9.9605522682445731</v>
      </c>
      <c r="N194" s="137">
        <v>17000000</v>
      </c>
      <c r="O194" s="124" t="s">
        <v>190</v>
      </c>
      <c r="P194" s="146">
        <f t="shared" si="111"/>
        <v>62.106990680096985</v>
      </c>
      <c r="Q194" s="124"/>
    </row>
    <row r="195" spans="1:17" x14ac:dyDescent="0.25">
      <c r="A195" s="376" t="s">
        <v>830</v>
      </c>
      <c r="B195" s="261">
        <v>44130</v>
      </c>
      <c r="C195" s="124">
        <v>1.67</v>
      </c>
      <c r="D195" s="124">
        <v>2.08</v>
      </c>
      <c r="E195" s="317">
        <f t="shared" si="106"/>
        <v>24.550898203592826</v>
      </c>
      <c r="F195" s="137">
        <v>17000000</v>
      </c>
      <c r="G195" s="131">
        <v>2.2000000000000002</v>
      </c>
      <c r="H195" s="317">
        <f t="shared" si="112"/>
        <v>5.7692307692307745</v>
      </c>
      <c r="I195" s="131">
        <v>2.2000000000000002</v>
      </c>
      <c r="J195" s="317">
        <f t="shared" si="113"/>
        <v>5.7692307692307745</v>
      </c>
      <c r="K195" s="280">
        <v>0.39097222222222222</v>
      </c>
      <c r="L195" s="124">
        <v>1.86</v>
      </c>
      <c r="M195" s="331">
        <f t="shared" si="110"/>
        <v>10.576923076923075</v>
      </c>
      <c r="N195" s="137">
        <v>8000000</v>
      </c>
      <c r="O195" s="124" t="s">
        <v>190</v>
      </c>
      <c r="P195" s="146">
        <f t="shared" si="111"/>
        <v>30.3201289728236</v>
      </c>
      <c r="Q195" s="124"/>
    </row>
    <row r="196" spans="1:17" x14ac:dyDescent="0.25">
      <c r="A196" s="376" t="s">
        <v>215</v>
      </c>
      <c r="B196" s="261">
        <v>44085</v>
      </c>
      <c r="C196" s="124">
        <v>2.8</v>
      </c>
      <c r="D196" s="124">
        <v>3.56</v>
      </c>
      <c r="E196" s="317">
        <f t="shared" si="106"/>
        <v>27.142857142857153</v>
      </c>
      <c r="F196" s="137">
        <v>16000000</v>
      </c>
      <c r="G196" s="131">
        <v>3.81</v>
      </c>
      <c r="H196" s="317">
        <f t="shared" si="112"/>
        <v>7.02247191011236</v>
      </c>
      <c r="I196" s="131">
        <v>3.8</v>
      </c>
      <c r="J196" s="317">
        <f t="shared" si="113"/>
        <v>6.7415730337078577</v>
      </c>
      <c r="K196" s="280">
        <v>0.40138888888888885</v>
      </c>
      <c r="L196" s="124">
        <v>3.03</v>
      </c>
      <c r="M196" s="331">
        <f t="shared" si="110"/>
        <v>14.887640449438209</v>
      </c>
      <c r="N196" s="137">
        <v>4000000</v>
      </c>
      <c r="O196" s="124" t="s">
        <v>190</v>
      </c>
      <c r="P196" s="146">
        <f t="shared" si="111"/>
        <v>33.884430176565012</v>
      </c>
      <c r="Q196" s="124"/>
    </row>
    <row r="197" spans="1:17" s="306" customFormat="1" x14ac:dyDescent="0.25">
      <c r="A197" s="307" t="s">
        <v>196</v>
      </c>
      <c r="B197" s="308">
        <v>44131</v>
      </c>
      <c r="C197" s="307">
        <v>1.32</v>
      </c>
      <c r="D197" s="307">
        <v>1.61</v>
      </c>
      <c r="E197" s="312">
        <f t="shared" si="106"/>
        <v>21.969696969696972</v>
      </c>
      <c r="F197" s="202">
        <v>16000000</v>
      </c>
      <c r="G197" s="201">
        <v>1.68</v>
      </c>
      <c r="H197" s="312">
        <f t="shared" si="112"/>
        <v>4.3478260869565108</v>
      </c>
      <c r="I197" s="201">
        <v>1.68</v>
      </c>
      <c r="J197" s="312">
        <f t="shared" si="113"/>
        <v>4.3478260869565108</v>
      </c>
      <c r="K197" s="314">
        <v>0.39652777777777781</v>
      </c>
      <c r="L197" s="307">
        <v>1.24</v>
      </c>
      <c r="M197" s="311">
        <f t="shared" si="110"/>
        <v>22.981366459627335</v>
      </c>
      <c r="N197" s="202">
        <v>6000000</v>
      </c>
      <c r="O197" s="307" t="s">
        <v>190</v>
      </c>
      <c r="P197" s="316">
        <f t="shared" si="111"/>
        <v>26.317523056653485</v>
      </c>
      <c r="Q197" s="307"/>
    </row>
    <row r="198" spans="1:17" s="306" customFormat="1" x14ac:dyDescent="0.25">
      <c r="A198" s="307" t="s">
        <v>292</v>
      </c>
      <c r="B198" s="308">
        <v>44122</v>
      </c>
      <c r="C198" s="307">
        <v>1.1499999999999999</v>
      </c>
      <c r="D198" s="307">
        <v>1.39</v>
      </c>
      <c r="E198" s="393">
        <f t="shared" si="106"/>
        <v>20.869565217391305</v>
      </c>
      <c r="F198" s="202">
        <v>15000000</v>
      </c>
      <c r="G198" s="201">
        <v>1.5</v>
      </c>
      <c r="H198" s="312">
        <f t="shared" si="112"/>
        <v>7.9136690647482091</v>
      </c>
      <c r="I198" s="201">
        <v>1.5</v>
      </c>
      <c r="J198" s="312">
        <f t="shared" si="113"/>
        <v>7.9136690647482091</v>
      </c>
      <c r="K198" s="314">
        <v>0.39999999999999997</v>
      </c>
      <c r="L198" s="307">
        <v>1.43</v>
      </c>
      <c r="M198" s="387">
        <f t="shared" si="110"/>
        <v>-2.8776978417266217</v>
      </c>
      <c r="N198" s="202">
        <v>13000000</v>
      </c>
      <c r="O198" s="307" t="s">
        <v>167</v>
      </c>
      <c r="P198" s="316">
        <f t="shared" si="111"/>
        <v>28.783234282139514</v>
      </c>
      <c r="Q198" s="307"/>
    </row>
    <row r="199" spans="1:17" s="306" customFormat="1" x14ac:dyDescent="0.25">
      <c r="A199" s="307" t="s">
        <v>293</v>
      </c>
      <c r="B199" s="308">
        <v>44118</v>
      </c>
      <c r="C199" s="307">
        <v>8.3000000000000007</v>
      </c>
      <c r="D199" s="307">
        <v>11.1</v>
      </c>
      <c r="E199" s="393">
        <f t="shared" si="106"/>
        <v>33.734939759036131</v>
      </c>
      <c r="F199" s="202">
        <v>15000000</v>
      </c>
      <c r="G199" s="201">
        <v>11.39</v>
      </c>
      <c r="H199" s="312">
        <f t="shared" si="112"/>
        <v>2.612612612612621</v>
      </c>
      <c r="I199" s="201">
        <v>11.39</v>
      </c>
      <c r="J199" s="312">
        <f t="shared" si="113"/>
        <v>2.612612612612621</v>
      </c>
      <c r="K199" s="314">
        <v>0.3972222222222222</v>
      </c>
      <c r="L199" s="307">
        <v>10.9</v>
      </c>
      <c r="M199" s="331">
        <f t="shared" si="110"/>
        <v>1.8018018018017956</v>
      </c>
      <c r="N199" s="202">
        <v>20000000</v>
      </c>
      <c r="O199" s="307" t="s">
        <v>170</v>
      </c>
      <c r="P199" s="316">
        <f t="shared" si="111"/>
        <v>36.347552371648753</v>
      </c>
      <c r="Q199" s="307"/>
    </row>
    <row r="200" spans="1:17" s="339" customFormat="1" x14ac:dyDescent="0.25">
      <c r="A200" s="332" t="s">
        <v>776</v>
      </c>
      <c r="B200" s="333">
        <v>43845</v>
      </c>
      <c r="C200" s="332">
        <v>2.19</v>
      </c>
      <c r="D200" s="332">
        <v>2.98</v>
      </c>
      <c r="E200" s="336">
        <f t="shared" si="106"/>
        <v>36.073059360730596</v>
      </c>
      <c r="F200" s="335">
        <v>15000000</v>
      </c>
      <c r="G200" s="334">
        <v>3.13</v>
      </c>
      <c r="H200" s="336">
        <f t="shared" si="112"/>
        <v>5.0335570469798627</v>
      </c>
      <c r="I200" s="334">
        <v>3.9</v>
      </c>
      <c r="J200" s="336">
        <f t="shared" si="113"/>
        <v>30.872483221476511</v>
      </c>
      <c r="K200" s="337">
        <v>0.4236111111111111</v>
      </c>
      <c r="L200" s="332">
        <v>3.08</v>
      </c>
      <c r="M200" s="346">
        <f t="shared" si="110"/>
        <v>-3.3557046979865799</v>
      </c>
      <c r="N200" s="335">
        <v>28000000</v>
      </c>
      <c r="O200" s="332" t="s">
        <v>167</v>
      </c>
      <c r="P200" s="338">
        <f t="shared" si="111"/>
        <v>66.945542582207111</v>
      </c>
      <c r="Q200" s="332" t="s">
        <v>832</v>
      </c>
    </row>
    <row r="201" spans="1:17" s="306" customFormat="1" x14ac:dyDescent="0.25">
      <c r="A201" s="307" t="s">
        <v>267</v>
      </c>
      <c r="B201" s="308">
        <v>44085</v>
      </c>
      <c r="C201" s="307">
        <v>3.45</v>
      </c>
      <c r="D201" s="307">
        <v>3.91</v>
      </c>
      <c r="E201" s="393">
        <f t="shared" si="106"/>
        <v>13.33333333333333</v>
      </c>
      <c r="F201" s="202">
        <v>15000000</v>
      </c>
      <c r="G201" s="201">
        <v>4.03</v>
      </c>
      <c r="H201" s="312">
        <f t="shared" si="112"/>
        <v>3.0690537084399003</v>
      </c>
      <c r="I201" s="201">
        <v>4.03</v>
      </c>
      <c r="J201" s="312">
        <f t="shared" si="113"/>
        <v>3.0690537084399003</v>
      </c>
      <c r="K201" s="314">
        <v>0.3972222222222222</v>
      </c>
      <c r="L201" s="307">
        <v>3.79</v>
      </c>
      <c r="M201" s="331">
        <f t="shared" si="110"/>
        <v>3.0690537084399003</v>
      </c>
      <c r="N201" s="202">
        <v>11000000</v>
      </c>
      <c r="O201" s="307" t="s">
        <v>216</v>
      </c>
      <c r="P201" s="316">
        <f t="shared" si="111"/>
        <v>16.402387041773231</v>
      </c>
      <c r="Q201" s="307"/>
    </row>
    <row r="202" spans="1:17" s="306" customFormat="1" x14ac:dyDescent="0.25">
      <c r="A202" s="307" t="s">
        <v>803</v>
      </c>
      <c r="B202" s="308">
        <v>43937</v>
      </c>
      <c r="C202" s="307">
        <v>1.53</v>
      </c>
      <c r="D202" s="307">
        <v>3</v>
      </c>
      <c r="E202" s="312">
        <f t="shared" si="106"/>
        <v>96.078431372549005</v>
      </c>
      <c r="F202" s="202">
        <v>15000000</v>
      </c>
      <c r="G202" s="201">
        <v>3.1</v>
      </c>
      <c r="H202" s="310">
        <f t="shared" si="112"/>
        <v>3.3333333333333361</v>
      </c>
      <c r="I202" s="201">
        <v>3.11</v>
      </c>
      <c r="J202" s="312">
        <f t="shared" si="113"/>
        <v>3.6666666666666625</v>
      </c>
      <c r="K202" s="201">
        <v>0.3972222222222222</v>
      </c>
      <c r="L202" s="307">
        <v>2.11</v>
      </c>
      <c r="M202" s="331">
        <f t="shared" si="110"/>
        <v>29.666666666666668</v>
      </c>
      <c r="N202" s="202">
        <v>10000000</v>
      </c>
      <c r="O202" s="307" t="s">
        <v>190</v>
      </c>
      <c r="P202" s="316">
        <f t="shared" si="111"/>
        <v>99.745098039215662</v>
      </c>
      <c r="Q202" s="307"/>
    </row>
    <row r="203" spans="1:17" s="306" customFormat="1" x14ac:dyDescent="0.25">
      <c r="A203" s="307" t="s">
        <v>169</v>
      </c>
      <c r="B203" s="308">
        <v>44131</v>
      </c>
      <c r="C203" s="307">
        <v>7.9</v>
      </c>
      <c r="D203" s="307">
        <v>9.74</v>
      </c>
      <c r="E203" s="312">
        <f t="shared" si="106"/>
        <v>23.291139240506325</v>
      </c>
      <c r="F203" s="202">
        <v>15000000</v>
      </c>
      <c r="G203" s="201">
        <v>9.77</v>
      </c>
      <c r="H203" s="312">
        <f>(G203-D203)/D203*100</f>
        <v>0.3080082135523548</v>
      </c>
      <c r="I203" s="201">
        <v>9.77</v>
      </c>
      <c r="J203" s="312">
        <f t="shared" si="113"/>
        <v>0.3080082135523548</v>
      </c>
      <c r="K203" s="314">
        <v>0.39583333333333331</v>
      </c>
      <c r="L203" s="307">
        <v>8.76</v>
      </c>
      <c r="M203" s="331">
        <f t="shared" si="110"/>
        <v>10.061601642710476</v>
      </c>
      <c r="N203" s="202">
        <v>13000000</v>
      </c>
      <c r="O203" s="307" t="s">
        <v>190</v>
      </c>
      <c r="P203" s="316">
        <f t="shared" si="111"/>
        <v>23.599147454058681</v>
      </c>
      <c r="Q203" s="307"/>
    </row>
    <row r="204" spans="1:17" x14ac:dyDescent="0.25">
      <c r="A204" s="124" t="s">
        <v>884</v>
      </c>
      <c r="B204" s="261">
        <v>44165</v>
      </c>
      <c r="C204" s="418">
        <v>1.51</v>
      </c>
      <c r="D204" s="124">
        <v>2.08</v>
      </c>
      <c r="E204" s="312">
        <f t="shared" si="106"/>
        <v>37.748344370860934</v>
      </c>
      <c r="F204" s="137">
        <v>15000000</v>
      </c>
      <c r="G204" s="131">
        <v>2.08</v>
      </c>
      <c r="H204" s="317">
        <f t="shared" ref="H204" si="114">(G204-D204)/D204*100</f>
        <v>0</v>
      </c>
      <c r="I204" s="131">
        <v>2.08</v>
      </c>
      <c r="J204" s="317">
        <f t="shared" si="113"/>
        <v>0</v>
      </c>
      <c r="K204" s="280">
        <v>0.3979166666666667</v>
      </c>
      <c r="L204" s="124">
        <v>1.85</v>
      </c>
      <c r="M204" s="331">
        <f t="shared" si="110"/>
        <v>11.057692307692307</v>
      </c>
      <c r="N204" s="137">
        <v>8000000</v>
      </c>
      <c r="O204" s="124" t="s">
        <v>190</v>
      </c>
      <c r="P204" s="316">
        <f t="shared" si="111"/>
        <v>37.748344370860934</v>
      </c>
      <c r="Q204" s="124"/>
    </row>
    <row r="205" spans="1:17" s="141" customFormat="1" x14ac:dyDescent="0.25">
      <c r="A205" s="138" t="s">
        <v>399</v>
      </c>
      <c r="B205" s="143">
        <v>44147</v>
      </c>
      <c r="C205" s="138">
        <v>1.94</v>
      </c>
      <c r="D205" s="138">
        <v>2.69</v>
      </c>
      <c r="E205" s="267">
        <f t="shared" si="106"/>
        <v>38.659793814432994</v>
      </c>
      <c r="F205" s="256">
        <v>15000000</v>
      </c>
      <c r="G205" s="144">
        <v>2.72</v>
      </c>
      <c r="H205" s="267">
        <f t="shared" ref="H205:H207" si="115">(G205-D205)/D205*100</f>
        <v>1.1152416356877417</v>
      </c>
      <c r="I205" s="144">
        <v>3.26</v>
      </c>
      <c r="J205" s="267">
        <f t="shared" si="113"/>
        <v>21.189591078066908</v>
      </c>
      <c r="K205" s="265">
        <v>0.43055555555555558</v>
      </c>
      <c r="L205" s="138">
        <v>2.4500000000000002</v>
      </c>
      <c r="M205" s="271">
        <f t="shared" si="110"/>
        <v>8.9219330855018502</v>
      </c>
      <c r="N205" s="256">
        <v>3000000</v>
      </c>
      <c r="O205" s="138" t="s">
        <v>167</v>
      </c>
      <c r="P205" s="417">
        <f t="shared" si="111"/>
        <v>59.849384892499899</v>
      </c>
      <c r="Q205" s="138"/>
    </row>
    <row r="206" spans="1:17" x14ac:dyDescent="0.25">
      <c r="A206" s="124" t="s">
        <v>899</v>
      </c>
      <c r="B206" s="261">
        <v>44174</v>
      </c>
      <c r="C206" s="124">
        <v>2.31</v>
      </c>
      <c r="D206" s="124">
        <v>3.54</v>
      </c>
      <c r="E206" s="317">
        <f t="shared" si="106"/>
        <v>53.246753246753244</v>
      </c>
      <c r="F206" s="137">
        <v>15000000</v>
      </c>
      <c r="G206" s="131">
        <v>3.54</v>
      </c>
      <c r="H206" s="317">
        <f t="shared" si="115"/>
        <v>0</v>
      </c>
      <c r="I206" s="131">
        <v>3.69</v>
      </c>
      <c r="J206" s="317">
        <f t="shared" si="113"/>
        <v>4.2372881355932179</v>
      </c>
      <c r="K206" s="280">
        <v>0.41666666666666669</v>
      </c>
      <c r="L206" s="124">
        <v>2.8</v>
      </c>
      <c r="M206" s="331">
        <f t="shared" si="110"/>
        <v>20.903954802259893</v>
      </c>
      <c r="N206" s="137">
        <v>1000000</v>
      </c>
      <c r="O206" s="124" t="s">
        <v>190</v>
      </c>
      <c r="P206" s="316">
        <f t="shared" si="111"/>
        <v>57.484041382346462</v>
      </c>
      <c r="Q206" s="124"/>
    </row>
    <row r="207" spans="1:17" x14ac:dyDescent="0.25">
      <c r="A207" s="124" t="s">
        <v>902</v>
      </c>
      <c r="B207" s="261">
        <v>44175</v>
      </c>
      <c r="C207" s="131">
        <v>1.1000000000000001</v>
      </c>
      <c r="D207" s="124">
        <v>1.41</v>
      </c>
      <c r="E207" s="317">
        <f t="shared" si="106"/>
        <v>28.181818181818162</v>
      </c>
      <c r="F207" s="137">
        <v>15000000</v>
      </c>
      <c r="G207" s="131">
        <v>1.51</v>
      </c>
      <c r="H207" s="317">
        <f t="shared" si="115"/>
        <v>7.0921985815602895</v>
      </c>
      <c r="I207" s="131">
        <v>1.51</v>
      </c>
      <c r="J207" s="317">
        <f t="shared" si="113"/>
        <v>7.0921985815602895</v>
      </c>
      <c r="K207" s="280">
        <v>0.39930555555555558</v>
      </c>
      <c r="L207" s="124">
        <v>1.18</v>
      </c>
      <c r="M207" s="331">
        <f t="shared" si="110"/>
        <v>16.312056737588652</v>
      </c>
      <c r="N207" s="137">
        <v>10000000</v>
      </c>
      <c r="O207" s="124" t="s">
        <v>190</v>
      </c>
      <c r="P207" s="316">
        <f t="shared" si="111"/>
        <v>35.274016763378455</v>
      </c>
      <c r="Q207" s="124"/>
    </row>
    <row r="208" spans="1:17" s="306" customFormat="1" x14ac:dyDescent="0.25">
      <c r="A208" s="307" t="s">
        <v>295</v>
      </c>
      <c r="B208" s="308">
        <v>44105</v>
      </c>
      <c r="C208" s="307">
        <v>1.2</v>
      </c>
      <c r="D208" s="307">
        <v>1.72</v>
      </c>
      <c r="E208" s="396">
        <f t="shared" si="106"/>
        <v>43.333333333333336</v>
      </c>
      <c r="F208" s="202">
        <v>14300000</v>
      </c>
      <c r="G208" s="201">
        <v>1.74</v>
      </c>
      <c r="H208" s="312">
        <f t="shared" si="112"/>
        <v>1.1627906976744196</v>
      </c>
      <c r="I208" s="201">
        <v>1.88</v>
      </c>
      <c r="J208" s="312">
        <f t="shared" si="113"/>
        <v>9.302325581395344</v>
      </c>
      <c r="K208" s="314">
        <v>0.41319444444444442</v>
      </c>
      <c r="L208" s="307">
        <v>1.66</v>
      </c>
      <c r="M208" s="331">
        <f t="shared" si="110"/>
        <v>3.4883720930232593</v>
      </c>
      <c r="N208" s="202">
        <v>18000000</v>
      </c>
      <c r="O208" s="307" t="s">
        <v>170</v>
      </c>
      <c r="P208" s="316">
        <f t="shared" si="111"/>
        <v>52.63565891472868</v>
      </c>
      <c r="Q208" s="307"/>
    </row>
    <row r="209" spans="1:17" x14ac:dyDescent="0.25">
      <c r="A209" s="124" t="s">
        <v>854</v>
      </c>
      <c r="B209" s="261">
        <v>44147</v>
      </c>
      <c r="C209" s="124">
        <v>1.88</v>
      </c>
      <c r="D209" s="124">
        <v>2.81</v>
      </c>
      <c r="E209" s="317">
        <f t="shared" si="106"/>
        <v>49.468085106382993</v>
      </c>
      <c r="F209" s="137">
        <v>14000000</v>
      </c>
      <c r="G209" s="131">
        <v>2.98</v>
      </c>
      <c r="H209" s="317">
        <f t="shared" si="112"/>
        <v>6.0498220640569365</v>
      </c>
      <c r="I209" s="131">
        <v>2.98</v>
      </c>
      <c r="J209" s="317">
        <f t="shared" si="113"/>
        <v>6.0498220640569365</v>
      </c>
      <c r="K209" s="280">
        <v>44147</v>
      </c>
      <c r="L209" s="124">
        <v>2.04</v>
      </c>
      <c r="M209" s="331">
        <f t="shared" si="110"/>
        <v>27.402135231316727</v>
      </c>
      <c r="N209" s="137">
        <v>14000000</v>
      </c>
      <c r="O209" s="124" t="s">
        <v>190</v>
      </c>
      <c r="P209" s="316">
        <f t="shared" si="111"/>
        <v>55.517907170439926</v>
      </c>
      <c r="Q209" s="124"/>
    </row>
    <row r="210" spans="1:17" s="306" customFormat="1" x14ac:dyDescent="0.25">
      <c r="A210" s="347" t="s">
        <v>296</v>
      </c>
      <c r="B210" s="348">
        <v>44105</v>
      </c>
      <c r="C210" s="347">
        <v>4.0599999999999996</v>
      </c>
      <c r="D210" s="347">
        <v>5.9</v>
      </c>
      <c r="E210" s="393">
        <f t="shared" si="106"/>
        <v>45.320197044334996</v>
      </c>
      <c r="F210" s="349">
        <v>13300000</v>
      </c>
      <c r="G210" s="350">
        <v>5.5</v>
      </c>
      <c r="H210" s="312">
        <f t="shared" si="112"/>
        <v>-6.7796610169491585</v>
      </c>
      <c r="I210" s="201">
        <v>6.25</v>
      </c>
      <c r="J210" s="312">
        <f t="shared" si="113"/>
        <v>5.9322033898305024</v>
      </c>
      <c r="K210" s="314">
        <v>0.4236111111111111</v>
      </c>
      <c r="L210" s="347">
        <v>5.05</v>
      </c>
      <c r="M210" s="331">
        <f t="shared" si="110"/>
        <v>14.406779661016959</v>
      </c>
      <c r="N210" s="349">
        <v>12000000</v>
      </c>
      <c r="O210" s="307" t="s">
        <v>167</v>
      </c>
      <c r="P210" s="316">
        <f t="shared" si="111"/>
        <v>51.252400434165502</v>
      </c>
      <c r="Q210" s="307"/>
    </row>
    <row r="211" spans="1:17" s="306" customFormat="1" x14ac:dyDescent="0.25">
      <c r="A211" s="307" t="s">
        <v>775</v>
      </c>
      <c r="B211" s="308">
        <v>44089</v>
      </c>
      <c r="C211" s="307">
        <v>2.62</v>
      </c>
      <c r="D211" s="307">
        <v>2.98</v>
      </c>
      <c r="E211" s="312">
        <f t="shared" si="106"/>
        <v>13.740458015267171</v>
      </c>
      <c r="F211" s="202">
        <v>13000000</v>
      </c>
      <c r="G211" s="201">
        <v>3.02</v>
      </c>
      <c r="H211" s="312">
        <f t="shared" si="112"/>
        <v>1.342281879194632</v>
      </c>
      <c r="I211" s="201">
        <v>3.39</v>
      </c>
      <c r="J211" s="312">
        <f t="shared" si="113"/>
        <v>13.758389261744972</v>
      </c>
      <c r="K211" s="314">
        <v>0.42708333333333331</v>
      </c>
      <c r="L211" s="307">
        <v>2.94</v>
      </c>
      <c r="M211" s="331">
        <f t="shared" si="110"/>
        <v>1.342281879194632</v>
      </c>
      <c r="N211" s="202">
        <v>36000000</v>
      </c>
      <c r="O211" s="307" t="s">
        <v>190</v>
      </c>
      <c r="P211" s="316">
        <f t="shared" si="111"/>
        <v>27.498847277012143</v>
      </c>
      <c r="Q211" s="307"/>
    </row>
    <row r="212" spans="1:17" s="306" customFormat="1" x14ac:dyDescent="0.25">
      <c r="A212" s="347" t="s">
        <v>297</v>
      </c>
      <c r="B212" s="308">
        <v>44057</v>
      </c>
      <c r="C212" s="307">
        <v>5.1100000000000003</v>
      </c>
      <c r="D212" s="307">
        <v>9.25</v>
      </c>
      <c r="E212" s="393">
        <f t="shared" si="106"/>
        <v>81.017612524461825</v>
      </c>
      <c r="F212" s="202">
        <v>12400000</v>
      </c>
      <c r="G212" s="201">
        <v>9.27</v>
      </c>
      <c r="H212" s="312">
        <f t="shared" si="112"/>
        <v>0.21621621621621162</v>
      </c>
      <c r="I212" s="201">
        <v>9.27</v>
      </c>
      <c r="J212" s="312">
        <f t="shared" si="113"/>
        <v>0.21621621621621162</v>
      </c>
      <c r="K212" s="314">
        <v>0.39652777777777781</v>
      </c>
      <c r="L212" s="307">
        <v>7.1</v>
      </c>
      <c r="M212" s="331">
        <f t="shared" si="110"/>
        <v>23.243243243243246</v>
      </c>
      <c r="N212" s="202">
        <v>200000000</v>
      </c>
      <c r="O212" s="307" t="s">
        <v>167</v>
      </c>
      <c r="P212" s="316">
        <f t="shared" si="111"/>
        <v>81.233828740678035</v>
      </c>
      <c r="Q212" s="307"/>
    </row>
    <row r="213" spans="1:17" s="306" customFormat="1" x14ac:dyDescent="0.25">
      <c r="A213" s="347" t="s">
        <v>291</v>
      </c>
      <c r="B213" s="308">
        <v>43963</v>
      </c>
      <c r="C213" s="307">
        <v>7.07</v>
      </c>
      <c r="D213" s="307">
        <v>9.6999999999999993</v>
      </c>
      <c r="E213" s="393">
        <f t="shared" si="106"/>
        <v>37.199434229137182</v>
      </c>
      <c r="F213" s="202">
        <v>12000000</v>
      </c>
      <c r="G213" s="201">
        <v>9.86</v>
      </c>
      <c r="H213" s="312">
        <f t="shared" si="112"/>
        <v>1.6494845360824757</v>
      </c>
      <c r="I213" s="201">
        <v>10.6</v>
      </c>
      <c r="J213" s="312">
        <f t="shared" si="113"/>
        <v>9.2783505154639219</v>
      </c>
      <c r="K213" s="314">
        <v>9.42</v>
      </c>
      <c r="L213" s="307">
        <v>9.09</v>
      </c>
      <c r="M213" s="331">
        <f t="shared" si="110"/>
        <v>6.2886597938144275</v>
      </c>
      <c r="N213" s="202">
        <v>5000000</v>
      </c>
      <c r="O213" s="307" t="s">
        <v>190</v>
      </c>
      <c r="P213" s="316">
        <f t="shared" si="111"/>
        <v>46.477784744601102</v>
      </c>
      <c r="Q213" s="307"/>
    </row>
    <row r="214" spans="1:17" s="306" customFormat="1" x14ac:dyDescent="0.25">
      <c r="A214" s="347" t="s">
        <v>298</v>
      </c>
      <c r="B214" s="308">
        <v>43859</v>
      </c>
      <c r="C214" s="307">
        <v>4.95</v>
      </c>
      <c r="D214" s="307">
        <v>6.16</v>
      </c>
      <c r="E214" s="393">
        <f t="shared" si="106"/>
        <v>24.444444444444443</v>
      </c>
      <c r="F214" s="202">
        <v>12000000</v>
      </c>
      <c r="G214" s="201">
        <v>6.35</v>
      </c>
      <c r="H214" s="312">
        <f t="shared" si="112"/>
        <v>3.0844155844155763</v>
      </c>
      <c r="I214" s="201">
        <v>6.9</v>
      </c>
      <c r="J214" s="312">
        <f t="shared" si="113"/>
        <v>12.012987012987015</v>
      </c>
      <c r="K214" s="314">
        <v>0.43402777777777773</v>
      </c>
      <c r="L214" s="307">
        <v>5.84</v>
      </c>
      <c r="M214" s="331">
        <f t="shared" si="110"/>
        <v>5.1948051948051992</v>
      </c>
      <c r="N214" s="202">
        <v>9000000</v>
      </c>
      <c r="O214" s="307" t="s">
        <v>167</v>
      </c>
      <c r="P214" s="316">
        <f t="shared" si="111"/>
        <v>36.457431457431454</v>
      </c>
      <c r="Q214" s="307"/>
    </row>
    <row r="215" spans="1:17" s="306" customFormat="1" x14ac:dyDescent="0.25">
      <c r="A215" s="307" t="s">
        <v>775</v>
      </c>
      <c r="B215" s="308">
        <v>43970</v>
      </c>
      <c r="C215" s="307">
        <v>1.87</v>
      </c>
      <c r="D215" s="307">
        <v>2.69</v>
      </c>
      <c r="E215" s="312">
        <f t="shared" si="106"/>
        <v>43.850267379679131</v>
      </c>
      <c r="F215" s="202">
        <v>12000000</v>
      </c>
      <c r="G215" s="201">
        <v>2.69</v>
      </c>
      <c r="H215" s="310">
        <f t="shared" si="112"/>
        <v>0</v>
      </c>
      <c r="I215" s="201">
        <v>2.69</v>
      </c>
      <c r="J215" s="312">
        <f t="shared" si="113"/>
        <v>0</v>
      </c>
      <c r="K215" s="314">
        <v>0.3972222222222222</v>
      </c>
      <c r="L215" s="307">
        <v>2.31</v>
      </c>
      <c r="M215" s="331">
        <f t="shared" si="110"/>
        <v>14.126394052044605</v>
      </c>
      <c r="N215" s="202">
        <v>36000000</v>
      </c>
      <c r="O215" s="307" t="s">
        <v>216</v>
      </c>
      <c r="P215" s="316">
        <f t="shared" si="111"/>
        <v>43.850267379679131</v>
      </c>
      <c r="Q215" s="307"/>
    </row>
    <row r="216" spans="1:17" s="339" customFormat="1" x14ac:dyDescent="0.25">
      <c r="A216" s="332" t="s">
        <v>846</v>
      </c>
      <c r="B216" s="333">
        <v>44140</v>
      </c>
      <c r="C216" s="332">
        <v>9.81</v>
      </c>
      <c r="D216" s="332">
        <v>18</v>
      </c>
      <c r="E216" s="336">
        <f t="shared" si="106"/>
        <v>83.486238532110079</v>
      </c>
      <c r="F216" s="335">
        <v>12000000</v>
      </c>
      <c r="G216" s="334">
        <v>19.260000000000002</v>
      </c>
      <c r="H216" s="336">
        <f t="shared" si="112"/>
        <v>7.0000000000000089</v>
      </c>
      <c r="I216" s="334">
        <v>30.71</v>
      </c>
      <c r="J216" s="336">
        <f t="shared" si="113"/>
        <v>70.611111111111114</v>
      </c>
      <c r="K216" s="337">
        <v>0.57291666666666663</v>
      </c>
      <c r="L216" s="332">
        <v>30.7</v>
      </c>
      <c r="M216" s="346">
        <f t="shared" si="110"/>
        <v>-70.555555555555543</v>
      </c>
      <c r="N216" s="335">
        <v>1000000</v>
      </c>
      <c r="O216" s="332" t="s">
        <v>167</v>
      </c>
      <c r="P216" s="316">
        <f t="shared" si="111"/>
        <v>154.09734964322121</v>
      </c>
      <c r="Q216" s="332"/>
    </row>
    <row r="217" spans="1:17" s="306" customFormat="1" x14ac:dyDescent="0.25">
      <c r="A217" s="347" t="s">
        <v>291</v>
      </c>
      <c r="B217" s="348">
        <v>43896</v>
      </c>
      <c r="C217" s="347">
        <v>8.09</v>
      </c>
      <c r="D217" s="347">
        <v>11.26</v>
      </c>
      <c r="E217" s="393">
        <f t="shared" si="106"/>
        <v>39.184177997527811</v>
      </c>
      <c r="F217" s="349">
        <v>11000000</v>
      </c>
      <c r="G217" s="350">
        <v>11.02</v>
      </c>
      <c r="H217" s="312">
        <f t="shared" si="112"/>
        <v>-2.1314387211367691</v>
      </c>
      <c r="I217" s="201">
        <v>12.73</v>
      </c>
      <c r="J217" s="312">
        <f t="shared" si="113"/>
        <v>13.055062166962706</v>
      </c>
      <c r="K217" s="314">
        <v>0.41666666666666669</v>
      </c>
      <c r="L217" s="347">
        <v>11.15</v>
      </c>
      <c r="M217" s="331">
        <f t="shared" si="110"/>
        <v>0.97690941385434671</v>
      </c>
      <c r="N217" s="349">
        <v>4000000</v>
      </c>
      <c r="O217" s="307" t="s">
        <v>190</v>
      </c>
      <c r="P217" s="316">
        <f t="shared" si="111"/>
        <v>52.239240164490518</v>
      </c>
      <c r="Q217" s="307"/>
    </row>
    <row r="218" spans="1:17" s="306" customFormat="1" x14ac:dyDescent="0.25">
      <c r="A218" s="307" t="s">
        <v>263</v>
      </c>
      <c r="B218" s="308">
        <v>43941</v>
      </c>
      <c r="C218" s="307">
        <v>1.48</v>
      </c>
      <c r="D218" s="307">
        <v>2.0299999999999998</v>
      </c>
      <c r="E218" s="312">
        <f t="shared" si="106"/>
        <v>37.162162162162147</v>
      </c>
      <c r="F218" s="202">
        <v>11000000</v>
      </c>
      <c r="G218" s="201">
        <v>2.0299999999999998</v>
      </c>
      <c r="H218" s="312">
        <f t="shared" si="112"/>
        <v>0</v>
      </c>
      <c r="I218" s="201">
        <v>2.37</v>
      </c>
      <c r="J218" s="312">
        <f t="shared" si="113"/>
        <v>16.74876847290642</v>
      </c>
      <c r="K218" s="314">
        <v>0.4236111111111111</v>
      </c>
      <c r="L218" s="307">
        <v>1.62</v>
      </c>
      <c r="M218" s="331">
        <f t="shared" si="110"/>
        <v>20.197044334975356</v>
      </c>
      <c r="N218" s="202">
        <v>13000000</v>
      </c>
      <c r="O218" s="307" t="s">
        <v>190</v>
      </c>
      <c r="P218" s="316">
        <f t="shared" si="111"/>
        <v>53.910930635068567</v>
      </c>
      <c r="Q218" s="307"/>
    </row>
    <row r="219" spans="1:17" s="306" customFormat="1" x14ac:dyDescent="0.25">
      <c r="A219" s="307" t="s">
        <v>809</v>
      </c>
      <c r="B219" s="308">
        <v>43957</v>
      </c>
      <c r="C219" s="307">
        <v>1.46</v>
      </c>
      <c r="D219" s="307">
        <v>1.9</v>
      </c>
      <c r="E219" s="312">
        <f t="shared" si="106"/>
        <v>30.136986301369863</v>
      </c>
      <c r="F219" s="202">
        <v>11000000</v>
      </c>
      <c r="G219" s="201">
        <v>1.94</v>
      </c>
      <c r="H219" s="310">
        <f t="shared" si="112"/>
        <v>2.1052631578947389</v>
      </c>
      <c r="I219" s="201">
        <v>1.95</v>
      </c>
      <c r="J219" s="312">
        <f t="shared" si="113"/>
        <v>2.6315789473684239</v>
      </c>
      <c r="K219" s="314">
        <v>0.3979166666666667</v>
      </c>
      <c r="L219" s="307">
        <v>1.5</v>
      </c>
      <c r="M219" s="331">
        <f t="shared" si="110"/>
        <v>21.052631578947363</v>
      </c>
      <c r="N219" s="202">
        <v>13000000</v>
      </c>
      <c r="O219" s="307" t="s">
        <v>190</v>
      </c>
      <c r="P219" s="316">
        <f t="shared" si="111"/>
        <v>32.768565248738284</v>
      </c>
      <c r="Q219" s="307"/>
    </row>
    <row r="220" spans="1:17" s="306" customFormat="1" x14ac:dyDescent="0.25">
      <c r="A220" s="307" t="s">
        <v>187</v>
      </c>
      <c r="B220" s="308">
        <v>44127</v>
      </c>
      <c r="C220" s="307">
        <v>3.4</v>
      </c>
      <c r="D220" s="307">
        <v>3.88</v>
      </c>
      <c r="E220" s="312">
        <f t="shared" si="106"/>
        <v>14.117647058823529</v>
      </c>
      <c r="F220" s="202">
        <v>11000000</v>
      </c>
      <c r="G220" s="351">
        <v>3.93</v>
      </c>
      <c r="H220" s="312">
        <f t="shared" si="112"/>
        <v>1.28865979381444</v>
      </c>
      <c r="I220" s="201">
        <v>3.92</v>
      </c>
      <c r="J220" s="312">
        <f t="shared" si="113"/>
        <v>1.0309278350515474</v>
      </c>
      <c r="K220" s="314">
        <v>0.3972222222222222</v>
      </c>
      <c r="L220" s="307">
        <v>3.79</v>
      </c>
      <c r="M220" s="331">
        <f t="shared" si="110"/>
        <v>2.3195876288659756</v>
      </c>
      <c r="N220" s="202">
        <v>36000000</v>
      </c>
      <c r="O220" s="307" t="s">
        <v>190</v>
      </c>
      <c r="P220" s="316">
        <f t="shared" si="111"/>
        <v>15.148574893875077</v>
      </c>
      <c r="Q220" s="307"/>
    </row>
    <row r="221" spans="1:17" x14ac:dyDescent="0.25">
      <c r="A221" s="124" t="s">
        <v>892</v>
      </c>
      <c r="B221" s="261">
        <v>44173</v>
      </c>
      <c r="C221" s="124">
        <v>2.5499999999999998</v>
      </c>
      <c r="D221" s="124">
        <v>3.03</v>
      </c>
      <c r="E221" s="317">
        <f t="shared" si="106"/>
        <v>18.823529411764707</v>
      </c>
      <c r="F221" s="137">
        <v>11000000</v>
      </c>
      <c r="G221" s="131">
        <v>3.68</v>
      </c>
      <c r="H221" s="317">
        <f t="shared" si="112"/>
        <v>21.452145214521465</v>
      </c>
      <c r="I221" s="131">
        <v>3.74</v>
      </c>
      <c r="J221" s="317">
        <f t="shared" si="113"/>
        <v>23.432343234323447</v>
      </c>
      <c r="K221" s="280">
        <v>0.4375</v>
      </c>
      <c r="L221" s="124">
        <v>2.94</v>
      </c>
      <c r="M221" s="331">
        <f t="shared" si="110"/>
        <v>2.9702970297029658</v>
      </c>
      <c r="N221" s="137">
        <v>2000000</v>
      </c>
      <c r="O221" s="124" t="s">
        <v>190</v>
      </c>
      <c r="P221" s="316">
        <f t="shared" si="111"/>
        <v>42.25587264608815</v>
      </c>
      <c r="Q221" s="124"/>
    </row>
    <row r="222" spans="1:17" x14ac:dyDescent="0.25">
      <c r="A222" s="124" t="s">
        <v>828</v>
      </c>
      <c r="B222" s="261">
        <v>44179</v>
      </c>
      <c r="C222" s="124">
        <v>2.65</v>
      </c>
      <c r="D222" s="124">
        <v>3.18</v>
      </c>
      <c r="E222" s="317">
        <f t="shared" si="106"/>
        <v>20.000000000000011</v>
      </c>
      <c r="F222" s="137">
        <v>11000000</v>
      </c>
      <c r="G222" s="131">
        <v>3.26</v>
      </c>
      <c r="H222" s="317">
        <f t="shared" si="112"/>
        <v>2.5157232704402395</v>
      </c>
      <c r="I222" s="131">
        <v>3.26</v>
      </c>
      <c r="J222" s="317">
        <f t="shared" si="113"/>
        <v>2.5157232704402395</v>
      </c>
      <c r="K222" s="280">
        <v>0.3979166666666667</v>
      </c>
      <c r="L222" s="124">
        <v>2.88</v>
      </c>
      <c r="M222" s="331">
        <f t="shared" si="110"/>
        <v>9.4339622641509511</v>
      </c>
      <c r="N222" s="137">
        <v>4000000</v>
      </c>
      <c r="O222" s="124" t="s">
        <v>190</v>
      </c>
      <c r="P222" s="316">
        <f t="shared" si="111"/>
        <v>22.515723270440251</v>
      </c>
      <c r="Q222" s="124"/>
    </row>
    <row r="223" spans="1:17" s="306" customFormat="1" x14ac:dyDescent="0.25">
      <c r="A223" s="307" t="s">
        <v>299</v>
      </c>
      <c r="B223" s="308">
        <v>44117</v>
      </c>
      <c r="C223" s="307">
        <v>2.02</v>
      </c>
      <c r="D223" s="307">
        <v>2.39</v>
      </c>
      <c r="E223" s="393">
        <f t="shared" si="106"/>
        <v>18.316831683168321</v>
      </c>
      <c r="F223" s="202">
        <v>10000000</v>
      </c>
      <c r="G223" s="201">
        <v>2.44</v>
      </c>
      <c r="H223" s="312">
        <f>(G223-D223)/D223*100</f>
        <v>2.0920502092050137</v>
      </c>
      <c r="I223" s="201">
        <v>2.74</v>
      </c>
      <c r="J223" s="312">
        <f t="shared" si="113"/>
        <v>14.644351464435148</v>
      </c>
      <c r="K223" s="314">
        <v>0.66666666666666663</v>
      </c>
      <c r="L223" s="307">
        <v>2.7</v>
      </c>
      <c r="M223" s="387">
        <f t="shared" si="110"/>
        <v>-12.97071129707113</v>
      </c>
      <c r="N223" s="202">
        <v>4000000</v>
      </c>
      <c r="O223" s="307" t="s">
        <v>167</v>
      </c>
      <c r="P223" s="316">
        <f t="shared" si="111"/>
        <v>32.961183147603471</v>
      </c>
      <c r="Q223" s="307"/>
    </row>
    <row r="224" spans="1:17" s="306" customFormat="1" x14ac:dyDescent="0.25">
      <c r="A224" s="307" t="s">
        <v>759</v>
      </c>
      <c r="B224" s="308">
        <v>43994</v>
      </c>
      <c r="C224" s="307">
        <v>2.2000000000000002</v>
      </c>
      <c r="D224" s="307">
        <v>4.4400000000000004</v>
      </c>
      <c r="E224" s="393">
        <f t="shared" si="106"/>
        <v>101.81818181818183</v>
      </c>
      <c r="F224" s="202">
        <v>10000000</v>
      </c>
      <c r="G224" s="201">
        <v>4.7699999999999996</v>
      </c>
      <c r="H224" s="312">
        <f t="shared" si="112"/>
        <v>7.4324324324324138</v>
      </c>
      <c r="I224" s="201">
        <v>4.7699999999999996</v>
      </c>
      <c r="J224" s="312">
        <f>(I224-D224)/D224*100</f>
        <v>7.4324324324324138</v>
      </c>
      <c r="K224" s="314">
        <v>0.39583333333333331</v>
      </c>
      <c r="L224" s="307">
        <v>2.89</v>
      </c>
      <c r="M224" s="331">
        <f t="shared" si="110"/>
        <v>34.909909909909913</v>
      </c>
      <c r="N224" s="202">
        <v>1000000</v>
      </c>
      <c r="O224" s="307" t="s">
        <v>167</v>
      </c>
      <c r="P224" s="316">
        <f t="shared" si="111"/>
        <v>109.25061425061423</v>
      </c>
      <c r="Q224" s="307"/>
    </row>
    <row r="225" spans="1:17" ht="21" x14ac:dyDescent="0.25">
      <c r="A225" s="272" t="s">
        <v>300</v>
      </c>
      <c r="B225" s="273">
        <f t="shared" ref="B225:O225" si="116">(B224+B223+B222+B221+B220+B219+B218+B217+B216+B215+B214+B213+B212+B211+B210+B209+B207+B208+B206+B205+B204+B203+B202+B201+B200+B199+B198+B197+B196+B195+B194+B193+B192+B191+B190+B189+B188+B187+B186+B185+B184+B183+B182+B181)/44</f>
        <v>44071.045454545456</v>
      </c>
      <c r="C225" s="273">
        <f t="shared" si="116"/>
        <v>4.6150000000000011</v>
      </c>
      <c r="D225" s="273">
        <f t="shared" si="116"/>
        <v>7.139772727272728</v>
      </c>
      <c r="E225" s="273">
        <f t="shared" si="116"/>
        <v>41.739112488610104</v>
      </c>
      <c r="F225" s="273">
        <f t="shared" si="116"/>
        <v>14795454.545454545</v>
      </c>
      <c r="G225" s="273">
        <f t="shared" si="116"/>
        <v>7.4713636363636349</v>
      </c>
      <c r="H225" s="273">
        <f t="shared" si="116"/>
        <v>3.4099938580480345</v>
      </c>
      <c r="I225" s="273">
        <f t="shared" si="116"/>
        <v>8.0547727272727272</v>
      </c>
      <c r="J225" s="273">
        <f t="shared" si="116"/>
        <v>9.9678671632104621</v>
      </c>
      <c r="K225" s="273">
        <f t="shared" si="116"/>
        <v>1004.6489709595958</v>
      </c>
      <c r="L225" s="273">
        <f t="shared" si="116"/>
        <v>6.8525</v>
      </c>
      <c r="M225" s="273">
        <f t="shared" si="116"/>
        <v>7.4827896860044651</v>
      </c>
      <c r="N225" s="273">
        <f t="shared" si="116"/>
        <v>16704545.454545455</v>
      </c>
      <c r="O225" s="273" t="e">
        <f t="shared" si="116"/>
        <v>#VALUE!</v>
      </c>
      <c r="P225" s="273">
        <f>(P224+P223+P222+P221+P220+P219+P218+P217+P216+P215+P214+P213+P212+P211+P210+P209+P207+P208+P206+P205+P204+P203+P202+P201+P200+P199+P198+P197+P196+P195+P194+P193+P192+P191+P190+P189+P188+P187+P186+P185+P184+P183+P182+P181)/44</f>
        <v>51.706979651820546</v>
      </c>
      <c r="Q225" s="411">
        <f>(8/44)*100</f>
        <v>18.181818181818183</v>
      </c>
    </row>
    <row r="226" spans="1:17" ht="21" x14ac:dyDescent="0.25">
      <c r="A226" s="139" t="s">
        <v>108</v>
      </c>
      <c r="B226" s="139" t="s">
        <v>107</v>
      </c>
      <c r="C226" s="139" t="s">
        <v>152</v>
      </c>
      <c r="D226" s="139" t="s">
        <v>153</v>
      </c>
      <c r="E226" s="139" t="s">
        <v>284</v>
      </c>
      <c r="F226" s="139" t="s">
        <v>155</v>
      </c>
      <c r="G226" s="263" t="s">
        <v>156</v>
      </c>
      <c r="H226" s="139" t="s">
        <v>285</v>
      </c>
      <c r="I226" s="263" t="s">
        <v>158</v>
      </c>
      <c r="J226" s="263" t="s">
        <v>159</v>
      </c>
      <c r="K226" s="263" t="s">
        <v>160</v>
      </c>
      <c r="L226" s="139" t="s">
        <v>161</v>
      </c>
      <c r="M226" s="139" t="s">
        <v>162</v>
      </c>
      <c r="N226" s="291" t="s">
        <v>163</v>
      </c>
      <c r="O226" s="285" t="s">
        <v>164</v>
      </c>
      <c r="P226" s="285" t="s">
        <v>174</v>
      </c>
      <c r="Q226" s="285" t="s">
        <v>825</v>
      </c>
    </row>
    <row r="227" spans="1:17" x14ac:dyDescent="0.25">
      <c r="A227" s="124" t="s">
        <v>820</v>
      </c>
      <c r="B227" s="261">
        <v>43951</v>
      </c>
      <c r="C227" s="124">
        <v>1.48</v>
      </c>
      <c r="D227" s="124">
        <v>1.89</v>
      </c>
      <c r="E227" s="317">
        <f t="shared" ref="E227:E267" si="117">(D227-C227)/C227*100</f>
        <v>27.702702702702698</v>
      </c>
      <c r="F227" s="137">
        <v>9000000</v>
      </c>
      <c r="G227" s="318">
        <v>1.9</v>
      </c>
      <c r="H227" s="317">
        <f t="shared" ref="H227:H229" si="118">(G227-D227)/D227*100</f>
        <v>0.52910052910052963</v>
      </c>
      <c r="I227" s="131">
        <v>1.9</v>
      </c>
      <c r="J227" s="317">
        <f t="shared" ref="J227:J229" si="119">(I227-D227)/D227*100</f>
        <v>0.52910052910052963</v>
      </c>
      <c r="K227" s="280"/>
      <c r="L227" s="124">
        <v>1.55</v>
      </c>
      <c r="M227" s="331">
        <f>(D227-L227)/D227*100</f>
        <v>17.989417989417984</v>
      </c>
      <c r="N227" s="137">
        <v>30000000</v>
      </c>
      <c r="O227" s="124" t="s">
        <v>190</v>
      </c>
      <c r="P227" s="146">
        <f t="shared" ref="P227:P230" si="120">E227+J227</f>
        <v>28.231803231803227</v>
      </c>
      <c r="Q227" s="124"/>
    </row>
    <row r="228" spans="1:17" x14ac:dyDescent="0.25">
      <c r="A228" s="124" t="s">
        <v>189</v>
      </c>
      <c r="B228" s="261">
        <v>44127</v>
      </c>
      <c r="C228" s="124">
        <v>2.37</v>
      </c>
      <c r="D228" s="124">
        <v>2.91</v>
      </c>
      <c r="E228" s="317">
        <f t="shared" si="117"/>
        <v>22.784810126582279</v>
      </c>
      <c r="F228" s="137">
        <v>9000000</v>
      </c>
      <c r="G228" s="319">
        <v>2.95</v>
      </c>
      <c r="H228" s="317">
        <f t="shared" si="118"/>
        <v>1.3745704467353963</v>
      </c>
      <c r="I228" s="131">
        <v>2.95</v>
      </c>
      <c r="J228" s="317">
        <f t="shared" si="119"/>
        <v>1.3745704467353963</v>
      </c>
      <c r="K228" s="280">
        <v>0.39652777777777781</v>
      </c>
      <c r="L228" s="124">
        <v>2.7</v>
      </c>
      <c r="M228" s="331">
        <f t="shared" ref="M228:M267" si="121">(D228-L228)/D228*100</f>
        <v>7.2164948453608231</v>
      </c>
      <c r="N228" s="137">
        <v>2000000</v>
      </c>
      <c r="O228" s="124" t="s">
        <v>190</v>
      </c>
      <c r="P228" s="146">
        <f t="shared" si="120"/>
        <v>24.159380573317677</v>
      </c>
      <c r="Q228" s="124"/>
    </row>
    <row r="229" spans="1:17" x14ac:dyDescent="0.25">
      <c r="A229" s="124" t="s">
        <v>292</v>
      </c>
      <c r="B229" s="261">
        <v>44175</v>
      </c>
      <c r="C229" s="131">
        <v>1.18</v>
      </c>
      <c r="D229" s="124">
        <v>1.44</v>
      </c>
      <c r="E229" s="317">
        <f t="shared" si="117"/>
        <v>22.033898305084747</v>
      </c>
      <c r="F229" s="137">
        <v>8000000</v>
      </c>
      <c r="G229" s="131">
        <v>1.45</v>
      </c>
      <c r="H229" s="317">
        <f t="shared" si="118"/>
        <v>0.69444444444444509</v>
      </c>
      <c r="I229" s="131">
        <v>1.52</v>
      </c>
      <c r="J229" s="317">
        <f t="shared" si="119"/>
        <v>5.5555555555555607</v>
      </c>
      <c r="K229" s="280">
        <v>0.41111111111111115</v>
      </c>
      <c r="L229" s="124">
        <v>1.35</v>
      </c>
      <c r="M229" s="331">
        <f t="shared" si="121"/>
        <v>6.2499999999999902</v>
      </c>
      <c r="N229" s="137">
        <v>9000000</v>
      </c>
      <c r="O229" s="124" t="s">
        <v>190</v>
      </c>
      <c r="P229" s="146">
        <f t="shared" si="120"/>
        <v>27.589453860640308</v>
      </c>
      <c r="Q229" s="124"/>
    </row>
    <row r="230" spans="1:17" x14ac:dyDescent="0.25">
      <c r="A230" s="124" t="s">
        <v>781</v>
      </c>
      <c r="B230" s="261">
        <v>44088</v>
      </c>
      <c r="C230" s="124">
        <v>1.0900000000000001</v>
      </c>
      <c r="D230" s="124">
        <v>1.3</v>
      </c>
      <c r="E230" s="317">
        <f t="shared" si="117"/>
        <v>19.266055045871553</v>
      </c>
      <c r="F230" s="137">
        <v>8000000</v>
      </c>
      <c r="G230" s="131">
        <v>1.43</v>
      </c>
      <c r="H230" s="317">
        <f t="shared" ref="H230:H233" si="122">(G230-D230)/D230*100</f>
        <v>9.9999999999999911</v>
      </c>
      <c r="I230" s="131">
        <v>1.46</v>
      </c>
      <c r="J230" s="317">
        <f t="shared" ref="J230:J233" si="123">(I230-D230)/D230*100</f>
        <v>12.307692307692301</v>
      </c>
      <c r="K230" s="280">
        <v>0.40138888888888885</v>
      </c>
      <c r="L230" s="124">
        <v>1.19</v>
      </c>
      <c r="M230" s="331">
        <f t="shared" si="121"/>
        <v>8.4615384615384688</v>
      </c>
      <c r="N230" s="137">
        <v>8000000</v>
      </c>
      <c r="O230" s="124" t="s">
        <v>190</v>
      </c>
      <c r="P230" s="146">
        <f t="shared" si="120"/>
        <v>31.573747353563853</v>
      </c>
      <c r="Q230" s="124"/>
    </row>
    <row r="231" spans="1:17" x14ac:dyDescent="0.25">
      <c r="A231" s="124" t="s">
        <v>797</v>
      </c>
      <c r="B231" s="261">
        <v>43874</v>
      </c>
      <c r="C231" s="124">
        <v>4.74</v>
      </c>
      <c r="D231" s="124">
        <v>5.9</v>
      </c>
      <c r="E231" s="317">
        <f t="shared" si="117"/>
        <v>24.472573839662449</v>
      </c>
      <c r="F231" s="137">
        <v>8000000</v>
      </c>
      <c r="G231" s="131">
        <v>5.98</v>
      </c>
      <c r="H231" s="317">
        <f t="shared" si="122"/>
        <v>1.3559322033898318</v>
      </c>
      <c r="I231" s="131">
        <v>5.98</v>
      </c>
      <c r="J231" s="317">
        <f t="shared" si="123"/>
        <v>1.3559322033898318</v>
      </c>
      <c r="K231" s="280">
        <v>0.3972222222222222</v>
      </c>
      <c r="L231" s="124">
        <v>5.18</v>
      </c>
      <c r="M231" s="331">
        <f t="shared" si="121"/>
        <v>12.203389830508485</v>
      </c>
      <c r="N231" s="137">
        <v>9000000</v>
      </c>
      <c r="O231" s="124" t="s">
        <v>190</v>
      </c>
      <c r="P231" s="146">
        <f t="shared" ref="P231:P232" si="124">E231+J231</f>
        <v>25.828506043052279</v>
      </c>
      <c r="Q231" s="124"/>
    </row>
    <row r="232" spans="1:17" s="306" customFormat="1" x14ac:dyDescent="0.25">
      <c r="A232" s="332" t="s">
        <v>801</v>
      </c>
      <c r="B232" s="333">
        <v>43913</v>
      </c>
      <c r="C232" s="332">
        <v>2.7</v>
      </c>
      <c r="D232" s="332">
        <v>5.73</v>
      </c>
      <c r="E232" s="336">
        <f t="shared" si="117"/>
        <v>112.22222222222223</v>
      </c>
      <c r="F232" s="335">
        <v>8000000</v>
      </c>
      <c r="G232" s="334">
        <v>6.99</v>
      </c>
      <c r="H232" s="336">
        <f t="shared" si="122"/>
        <v>21.989528795811513</v>
      </c>
      <c r="I232" s="334">
        <v>7</v>
      </c>
      <c r="J232" s="336">
        <f t="shared" si="123"/>
        <v>22.164048865619538</v>
      </c>
      <c r="K232" s="337">
        <v>0.3979166666666667</v>
      </c>
      <c r="L232" s="332">
        <v>3.74</v>
      </c>
      <c r="M232" s="340">
        <f t="shared" si="121"/>
        <v>34.72949389179756</v>
      </c>
      <c r="N232" s="335">
        <v>8000000</v>
      </c>
      <c r="O232" s="332" t="s">
        <v>190</v>
      </c>
      <c r="P232" s="338">
        <f t="shared" si="124"/>
        <v>134.38627108784178</v>
      </c>
      <c r="Q232" s="332" t="s">
        <v>826</v>
      </c>
    </row>
    <row r="233" spans="1:17" x14ac:dyDescent="0.25">
      <c r="A233" s="124" t="s">
        <v>903</v>
      </c>
      <c r="B233" s="261">
        <v>44175</v>
      </c>
      <c r="C233" s="131">
        <v>2.0499999999999998</v>
      </c>
      <c r="D233" s="124">
        <v>2.5499999999999998</v>
      </c>
      <c r="E233" s="317">
        <f t="shared" si="117"/>
        <v>24.390243902439028</v>
      </c>
      <c r="F233" s="137">
        <v>8000000</v>
      </c>
      <c r="G233" s="131">
        <v>2.58</v>
      </c>
      <c r="H233" s="317">
        <f t="shared" si="122"/>
        <v>1.1764705882353039</v>
      </c>
      <c r="I233" s="131">
        <v>2.58</v>
      </c>
      <c r="J233" s="317">
        <f t="shared" si="123"/>
        <v>1.1764705882353039</v>
      </c>
      <c r="K233" s="280">
        <v>0.3979166666666667</v>
      </c>
      <c r="L233" s="124">
        <v>2.1800000000000002</v>
      </c>
      <c r="M233" s="331">
        <f t="shared" si="121"/>
        <v>14.509803921568615</v>
      </c>
      <c r="N233" s="137">
        <v>4000000</v>
      </c>
      <c r="O233" s="124" t="s">
        <v>190</v>
      </c>
      <c r="P233" s="146">
        <f t="shared" ref="P233:P234" si="125">E233+J233</f>
        <v>25.566714490674332</v>
      </c>
      <c r="Q233" s="124"/>
    </row>
    <row r="234" spans="1:17" x14ac:dyDescent="0.25">
      <c r="A234" s="124" t="s">
        <v>280</v>
      </c>
      <c r="B234" s="261">
        <v>44063</v>
      </c>
      <c r="C234" s="124">
        <v>6.1</v>
      </c>
      <c r="D234" s="124">
        <v>7.2</v>
      </c>
      <c r="E234" s="317">
        <f t="shared" si="117"/>
        <v>18.032786885245912</v>
      </c>
      <c r="F234" s="137">
        <v>7000000</v>
      </c>
      <c r="G234" s="131">
        <v>7.25</v>
      </c>
      <c r="H234" s="317">
        <f t="shared" ref="H234" si="126">(G234-D234)/D234*100</f>
        <v>0.69444444444444198</v>
      </c>
      <c r="I234" s="131">
        <v>7.42</v>
      </c>
      <c r="J234" s="317">
        <f t="shared" ref="J234" si="127">(I234-D234)/D234*100</f>
        <v>3.0555555555555518</v>
      </c>
      <c r="K234" s="280">
        <v>0.66527777777777775</v>
      </c>
      <c r="L234" s="124">
        <v>7.3</v>
      </c>
      <c r="M234" s="387">
        <f t="shared" si="121"/>
        <v>-1.388888888888884</v>
      </c>
      <c r="N234" s="137">
        <v>7000000</v>
      </c>
      <c r="O234" s="124" t="s">
        <v>190</v>
      </c>
      <c r="P234" s="146">
        <f t="shared" si="125"/>
        <v>21.088342440801462</v>
      </c>
      <c r="Q234" s="124"/>
    </row>
    <row r="235" spans="1:17" x14ac:dyDescent="0.25">
      <c r="A235" s="124" t="s">
        <v>815</v>
      </c>
      <c r="B235" s="261">
        <v>43999</v>
      </c>
      <c r="C235" s="124">
        <v>2.35</v>
      </c>
      <c r="D235" s="124">
        <v>4.9800000000000004</v>
      </c>
      <c r="E235" s="317">
        <f t="shared" si="117"/>
        <v>111.91489361702129</v>
      </c>
      <c r="F235" s="137">
        <v>7000000</v>
      </c>
      <c r="G235" s="131">
        <v>5.41</v>
      </c>
      <c r="H235" s="317">
        <f t="shared" ref="H235:H238" si="128">(G235-D235)/D235*100</f>
        <v>8.6345381526104354</v>
      </c>
      <c r="I235" s="131">
        <v>5.4</v>
      </c>
      <c r="J235" s="317">
        <f t="shared" ref="J235:J238" si="129">(I235-D235)/D235*100</f>
        <v>8.4337349397590344</v>
      </c>
      <c r="K235" s="131">
        <v>0.3972222222222222</v>
      </c>
      <c r="L235" s="124">
        <v>2.78</v>
      </c>
      <c r="M235" s="331">
        <f t="shared" si="121"/>
        <v>44.176706827309246</v>
      </c>
      <c r="N235" s="137">
        <v>2000000</v>
      </c>
      <c r="O235" s="124" t="s">
        <v>216</v>
      </c>
      <c r="P235" s="146">
        <f t="shared" ref="P235" si="130">E235+J235</f>
        <v>120.34862855678033</v>
      </c>
      <c r="Q235" s="124"/>
    </row>
    <row r="236" spans="1:17" x14ac:dyDescent="0.25">
      <c r="A236" s="124" t="s">
        <v>806</v>
      </c>
      <c r="B236" s="261">
        <v>43973</v>
      </c>
      <c r="C236" s="124">
        <v>2.02</v>
      </c>
      <c r="D236" s="124">
        <v>2.8</v>
      </c>
      <c r="E236" s="317">
        <f t="shared" si="117"/>
        <v>38.613861386138602</v>
      </c>
      <c r="F236" s="137">
        <v>7000000</v>
      </c>
      <c r="G236" s="131">
        <v>2.83</v>
      </c>
      <c r="H236" s="317">
        <f t="shared" si="128"/>
        <v>1.0714285714285805</v>
      </c>
      <c r="I236" s="131">
        <v>3.15</v>
      </c>
      <c r="J236" s="317">
        <f t="shared" si="129"/>
        <v>12.500000000000004</v>
      </c>
      <c r="K236" s="280">
        <v>0.40069444444444446</v>
      </c>
      <c r="L236" s="124">
        <v>2.35</v>
      </c>
      <c r="M236" s="331">
        <f t="shared" si="121"/>
        <v>16.071428571428566</v>
      </c>
      <c r="N236" s="137">
        <v>3000000</v>
      </c>
      <c r="O236" s="124" t="s">
        <v>190</v>
      </c>
      <c r="P236" s="146">
        <f t="shared" ref="P236:P238" si="131">E236+J236</f>
        <v>51.113861386138609</v>
      </c>
      <c r="Q236" s="124"/>
    </row>
    <row r="237" spans="1:17" x14ac:dyDescent="0.25">
      <c r="A237" s="124" t="s">
        <v>819</v>
      </c>
      <c r="B237" s="261">
        <v>44004</v>
      </c>
      <c r="C237" s="124">
        <v>1.87</v>
      </c>
      <c r="D237" s="124">
        <v>2.42</v>
      </c>
      <c r="E237" s="317">
        <f t="shared" si="117"/>
        <v>29.411764705882344</v>
      </c>
      <c r="F237" s="137">
        <v>7000000</v>
      </c>
      <c r="G237" s="318">
        <v>2.56</v>
      </c>
      <c r="H237" s="317">
        <f t="shared" si="128"/>
        <v>5.7851239669421535</v>
      </c>
      <c r="I237" s="131">
        <v>2.75</v>
      </c>
      <c r="J237" s="317">
        <f t="shared" si="129"/>
        <v>13.63636363636364</v>
      </c>
      <c r="K237" s="280"/>
      <c r="L237" s="124">
        <v>2.2400000000000002</v>
      </c>
      <c r="M237" s="331">
        <f t="shared" si="121"/>
        <v>7.4380165289256093</v>
      </c>
      <c r="N237" s="137">
        <v>75000000</v>
      </c>
      <c r="O237" s="124" t="s">
        <v>216</v>
      </c>
      <c r="P237" s="146">
        <f t="shared" si="131"/>
        <v>43.048128342245988</v>
      </c>
      <c r="Q237" s="124"/>
    </row>
    <row r="238" spans="1:17" s="141" customFormat="1" x14ac:dyDescent="0.25">
      <c r="A238" s="138" t="s">
        <v>513</v>
      </c>
      <c r="B238" s="143">
        <v>44148</v>
      </c>
      <c r="C238" s="138">
        <v>2.23</v>
      </c>
      <c r="D238" s="138">
        <v>2.78</v>
      </c>
      <c r="E238" s="267">
        <f t="shared" si="117"/>
        <v>24.663677130044835</v>
      </c>
      <c r="F238" s="256">
        <v>7000000</v>
      </c>
      <c r="G238" s="144">
        <v>2.9</v>
      </c>
      <c r="H238" s="267">
        <f t="shared" si="128"/>
        <v>4.3165467625899323</v>
      </c>
      <c r="I238" s="144">
        <v>3.15</v>
      </c>
      <c r="J238" s="267">
        <f t="shared" si="129"/>
        <v>13.309352517985618</v>
      </c>
      <c r="K238" s="265">
        <v>0.40625</v>
      </c>
      <c r="L238" s="138">
        <v>2.75</v>
      </c>
      <c r="M238" s="271">
        <f t="shared" si="121"/>
        <v>1.0791366906474751</v>
      </c>
      <c r="N238" s="256">
        <v>18000000</v>
      </c>
      <c r="O238" s="138" t="s">
        <v>190</v>
      </c>
      <c r="P238" s="417">
        <f t="shared" si="131"/>
        <v>37.973029648030455</v>
      </c>
      <c r="Q238" s="138"/>
    </row>
    <row r="239" spans="1:17" x14ac:dyDescent="0.25">
      <c r="A239" s="124" t="s">
        <v>303</v>
      </c>
      <c r="B239" s="261">
        <v>44112</v>
      </c>
      <c r="C239" s="131">
        <v>3.25</v>
      </c>
      <c r="D239" s="124">
        <v>4.9000000000000004</v>
      </c>
      <c r="E239" s="392">
        <f t="shared" si="117"/>
        <v>50.769230769230781</v>
      </c>
      <c r="F239" s="137">
        <v>6000000</v>
      </c>
      <c r="G239" s="131">
        <v>5.09</v>
      </c>
      <c r="H239" s="267">
        <f t="shared" ref="H239:H249" si="132">(G239-D239)/D239*100</f>
        <v>3.8775510204081529</v>
      </c>
      <c r="I239" s="131">
        <v>5.09</v>
      </c>
      <c r="J239" s="267">
        <f t="shared" ref="J239:J249" si="133">(I239-D239)/D239*100</f>
        <v>3.8775510204081529</v>
      </c>
      <c r="K239" s="280">
        <v>0.39861111111111108</v>
      </c>
      <c r="L239" s="124">
        <v>4.66</v>
      </c>
      <c r="M239" s="331">
        <f t="shared" si="121"/>
        <v>4.897959183673473</v>
      </c>
      <c r="N239" s="137">
        <v>7000000</v>
      </c>
      <c r="O239" s="124" t="s">
        <v>170</v>
      </c>
      <c r="P239" s="131">
        <f>J239+E239</f>
        <v>54.646781789638936</v>
      </c>
      <c r="Q239" s="124"/>
    </row>
    <row r="240" spans="1:17" x14ac:dyDescent="0.25">
      <c r="A240" s="124" t="s">
        <v>762</v>
      </c>
      <c r="B240" s="261">
        <v>44092</v>
      </c>
      <c r="C240" s="124">
        <v>1.6</v>
      </c>
      <c r="D240" s="124">
        <v>1.93</v>
      </c>
      <c r="E240" s="317">
        <f t="shared" si="117"/>
        <v>20.624999999999989</v>
      </c>
      <c r="F240" s="137">
        <v>6000000</v>
      </c>
      <c r="G240" s="131">
        <v>1.94</v>
      </c>
      <c r="H240" s="317">
        <f t="shared" si="132"/>
        <v>0.51813471502590724</v>
      </c>
      <c r="I240" s="131">
        <v>1.94</v>
      </c>
      <c r="J240" s="317">
        <f t="shared" si="133"/>
        <v>0.51813471502590724</v>
      </c>
      <c r="K240" s="280">
        <v>0.39652777777777781</v>
      </c>
      <c r="L240" s="124">
        <v>1.89</v>
      </c>
      <c r="M240" s="331">
        <f t="shared" si="121"/>
        <v>2.072538860103629</v>
      </c>
      <c r="N240" s="137">
        <v>45000000</v>
      </c>
      <c r="O240" s="124" t="s">
        <v>190</v>
      </c>
      <c r="P240" s="146">
        <f t="shared" ref="P240:P244" si="134">E240+J240</f>
        <v>21.143134715025898</v>
      </c>
      <c r="Q240" s="124"/>
    </row>
    <row r="241" spans="1:17" x14ac:dyDescent="0.25">
      <c r="A241" s="124" t="s">
        <v>392</v>
      </c>
      <c r="B241" s="261">
        <v>43854</v>
      </c>
      <c r="C241" s="124">
        <v>2.2799999999999998</v>
      </c>
      <c r="D241" s="124">
        <v>3.15</v>
      </c>
      <c r="E241" s="317">
        <f t="shared" si="117"/>
        <v>38.15789473684211</v>
      </c>
      <c r="F241" s="137">
        <v>6000000</v>
      </c>
      <c r="G241" s="131">
        <v>3.3</v>
      </c>
      <c r="H241" s="317">
        <f t="shared" si="132"/>
        <v>4.7619047619047592</v>
      </c>
      <c r="I241" s="131">
        <v>3.34</v>
      </c>
      <c r="J241" s="317">
        <f t="shared" si="133"/>
        <v>6.0317460317460307</v>
      </c>
      <c r="K241" s="280">
        <v>0.40347222222222223</v>
      </c>
      <c r="L241" s="124">
        <v>3.02</v>
      </c>
      <c r="M241" s="331">
        <f t="shared" si="121"/>
        <v>4.126984126984123</v>
      </c>
      <c r="N241" s="137">
        <v>2000000</v>
      </c>
      <c r="O241" s="124" t="s">
        <v>190</v>
      </c>
      <c r="P241" s="146">
        <f t="shared" si="134"/>
        <v>44.189640768588141</v>
      </c>
      <c r="Q241" s="124"/>
    </row>
    <row r="242" spans="1:17" x14ac:dyDescent="0.25">
      <c r="A242" s="124" t="s">
        <v>836</v>
      </c>
      <c r="B242" s="261">
        <v>44132</v>
      </c>
      <c r="C242" s="124">
        <v>1.71</v>
      </c>
      <c r="D242" s="124">
        <v>1.94</v>
      </c>
      <c r="E242" s="317">
        <f t="shared" si="117"/>
        <v>13.450292397660817</v>
      </c>
      <c r="F242" s="137">
        <v>6000000</v>
      </c>
      <c r="G242" s="131">
        <v>1.94</v>
      </c>
      <c r="H242" s="317">
        <f t="shared" ref="H242:H244" si="135">(G242-D242)/D242*100</f>
        <v>0</v>
      </c>
      <c r="I242" s="131">
        <v>2.1</v>
      </c>
      <c r="J242" s="317">
        <f t="shared" ref="J242:J244" si="136">(I242-D242)/D242*100</f>
        <v>8.2474226804123791</v>
      </c>
      <c r="K242" s="280">
        <v>0.66527777777777775</v>
      </c>
      <c r="L242" s="124">
        <v>2.1</v>
      </c>
      <c r="M242" s="387">
        <f t="shared" ref="M242:M244" si="137">(D242-L242)/D242*100</f>
        <v>-8.2474226804123791</v>
      </c>
      <c r="N242" s="137">
        <v>2000000</v>
      </c>
      <c r="O242" s="124" t="s">
        <v>190</v>
      </c>
      <c r="P242" s="146">
        <f t="shared" si="134"/>
        <v>21.697715078073195</v>
      </c>
      <c r="Q242" s="124"/>
    </row>
    <row r="243" spans="1:17" x14ac:dyDescent="0.25">
      <c r="A243" s="124" t="s">
        <v>249</v>
      </c>
      <c r="B243" s="261">
        <v>44168</v>
      </c>
      <c r="C243" s="124">
        <v>8.3000000000000007</v>
      </c>
      <c r="D243" s="124">
        <v>10.58</v>
      </c>
      <c r="E243" s="317">
        <f t="shared" si="117"/>
        <v>27.469879518072275</v>
      </c>
      <c r="F243" s="137">
        <v>6000000</v>
      </c>
      <c r="G243" s="131">
        <v>11</v>
      </c>
      <c r="H243" s="317">
        <f t="shared" si="135"/>
        <v>3.9697542533081274</v>
      </c>
      <c r="I243" s="131">
        <v>13.75</v>
      </c>
      <c r="J243" s="317">
        <f t="shared" si="136"/>
        <v>29.962192816635159</v>
      </c>
      <c r="K243" s="280">
        <v>0.49305555555555558</v>
      </c>
      <c r="L243" s="124">
        <v>11.5</v>
      </c>
      <c r="M243" s="387">
        <f t="shared" si="137"/>
        <v>-8.695652173913043</v>
      </c>
      <c r="N243" s="137">
        <v>6000000</v>
      </c>
      <c r="O243" s="124" t="s">
        <v>167</v>
      </c>
      <c r="P243" s="146">
        <f t="shared" si="134"/>
        <v>57.432072334707435</v>
      </c>
      <c r="Q243" s="124"/>
    </row>
    <row r="244" spans="1:17" x14ac:dyDescent="0.25">
      <c r="A244" s="124" t="s">
        <v>904</v>
      </c>
      <c r="B244" s="261">
        <v>44175</v>
      </c>
      <c r="C244" s="131">
        <v>2.2799999999999998</v>
      </c>
      <c r="D244" s="124">
        <v>2.79</v>
      </c>
      <c r="E244" s="317">
        <f t="shared" si="117"/>
        <v>22.368421052631589</v>
      </c>
      <c r="F244" s="137">
        <v>6000000</v>
      </c>
      <c r="G244" s="131">
        <v>2.79</v>
      </c>
      <c r="H244" s="317">
        <f t="shared" si="135"/>
        <v>0</v>
      </c>
      <c r="I244" s="131">
        <v>3.3</v>
      </c>
      <c r="J244" s="317">
        <f t="shared" si="136"/>
        <v>18.279569892473109</v>
      </c>
      <c r="K244" s="280">
        <v>0.4236111111111111</v>
      </c>
      <c r="L244" s="124">
        <v>2.64</v>
      </c>
      <c r="M244" s="331">
        <f t="shared" si="137"/>
        <v>5.3763440860215024</v>
      </c>
      <c r="N244" s="137">
        <v>4000000</v>
      </c>
      <c r="O244" s="124" t="s">
        <v>167</v>
      </c>
      <c r="P244" s="146">
        <f t="shared" si="134"/>
        <v>40.647990945104695</v>
      </c>
      <c r="Q244" s="124"/>
    </row>
    <row r="245" spans="1:17" s="306" customFormat="1" x14ac:dyDescent="0.25">
      <c r="A245" s="307" t="s">
        <v>773</v>
      </c>
      <c r="B245" s="308">
        <v>44025</v>
      </c>
      <c r="C245" s="307">
        <v>1.95</v>
      </c>
      <c r="D245" s="307">
        <v>2.5099999999999998</v>
      </c>
      <c r="E245" s="312">
        <f t="shared" si="117"/>
        <v>28.717948717948712</v>
      </c>
      <c r="F245" s="202">
        <v>5000000</v>
      </c>
      <c r="G245" s="201">
        <v>2.86</v>
      </c>
      <c r="H245" s="312">
        <f t="shared" si="132"/>
        <v>13.944223107569725</v>
      </c>
      <c r="I245" s="201">
        <v>2.94</v>
      </c>
      <c r="J245" s="312">
        <f t="shared" si="133"/>
        <v>17.131474103585663</v>
      </c>
      <c r="K245" s="314">
        <v>0.40069444444444446</v>
      </c>
      <c r="L245" s="307">
        <v>2.38</v>
      </c>
      <c r="M245" s="331">
        <f t="shared" si="121"/>
        <v>5.1792828685258927</v>
      </c>
      <c r="N245" s="202">
        <v>8000000</v>
      </c>
      <c r="O245" s="307" t="s">
        <v>190</v>
      </c>
      <c r="P245" s="316">
        <f t="shared" ref="P245:P249" si="138">E245+J245</f>
        <v>45.849422821534375</v>
      </c>
      <c r="Q245" s="307"/>
    </row>
    <row r="246" spans="1:17" x14ac:dyDescent="0.25">
      <c r="A246" s="124" t="s">
        <v>795</v>
      </c>
      <c r="B246" s="261">
        <v>43858</v>
      </c>
      <c r="C246" s="124">
        <v>3.49</v>
      </c>
      <c r="D246" s="124">
        <v>4.95</v>
      </c>
      <c r="E246" s="317">
        <f t="shared" si="117"/>
        <v>41.833810888252145</v>
      </c>
      <c r="F246" s="137">
        <v>5000000</v>
      </c>
      <c r="G246" s="131">
        <v>5.42</v>
      </c>
      <c r="H246" s="317">
        <f t="shared" si="132"/>
        <v>9.4949494949494895</v>
      </c>
      <c r="I246" s="131">
        <v>5.44</v>
      </c>
      <c r="J246" s="317">
        <f t="shared" si="133"/>
        <v>9.8989898989899032</v>
      </c>
      <c r="K246" s="280">
        <v>0.3979166666666667</v>
      </c>
      <c r="L246" s="124">
        <v>3.92</v>
      </c>
      <c r="M246" s="331">
        <f t="shared" si="121"/>
        <v>20.808080808080813</v>
      </c>
      <c r="N246" s="137">
        <v>3000000</v>
      </c>
      <c r="O246" s="124" t="s">
        <v>216</v>
      </c>
      <c r="P246" s="146">
        <f t="shared" si="138"/>
        <v>51.732800787242049</v>
      </c>
      <c r="Q246" s="124"/>
    </row>
    <row r="247" spans="1:17" x14ac:dyDescent="0.25">
      <c r="A247" s="124" t="s">
        <v>812</v>
      </c>
      <c r="B247" s="261">
        <v>44042</v>
      </c>
      <c r="C247" s="124">
        <v>2.08</v>
      </c>
      <c r="D247" s="124">
        <v>2.5</v>
      </c>
      <c r="E247" s="317">
        <f t="shared" si="117"/>
        <v>20.192307692307686</v>
      </c>
      <c r="F247" s="137">
        <v>5000000</v>
      </c>
      <c r="G247" s="131">
        <v>2.5</v>
      </c>
      <c r="H247" s="317">
        <f t="shared" si="132"/>
        <v>0</v>
      </c>
      <c r="I247" s="131">
        <v>2.5</v>
      </c>
      <c r="J247" s="317">
        <f t="shared" si="133"/>
        <v>0</v>
      </c>
      <c r="K247" s="131">
        <v>0.3972222222222222</v>
      </c>
      <c r="L247" s="124">
        <v>1.94</v>
      </c>
      <c r="M247" s="331">
        <f t="shared" si="121"/>
        <v>22.400000000000002</v>
      </c>
      <c r="N247" s="137">
        <v>11000000</v>
      </c>
      <c r="O247" s="124" t="s">
        <v>190</v>
      </c>
      <c r="P247" s="146">
        <f t="shared" si="138"/>
        <v>20.192307692307686</v>
      </c>
      <c r="Q247" s="124"/>
    </row>
    <row r="248" spans="1:17" x14ac:dyDescent="0.25">
      <c r="A248" s="124" t="s">
        <v>73</v>
      </c>
      <c r="B248" s="261">
        <v>44067</v>
      </c>
      <c r="C248" s="124">
        <v>1.3</v>
      </c>
      <c r="D248" s="124">
        <v>1.58</v>
      </c>
      <c r="E248" s="317">
        <f t="shared" si="117"/>
        <v>21.53846153846154</v>
      </c>
      <c r="F248" s="137">
        <v>5000000</v>
      </c>
      <c r="G248" s="318">
        <v>1.6</v>
      </c>
      <c r="H248" s="317">
        <f t="shared" si="132"/>
        <v>1.2658227848101276</v>
      </c>
      <c r="I248" s="131">
        <v>1.6</v>
      </c>
      <c r="J248" s="317">
        <f t="shared" si="133"/>
        <v>1.2658227848101276</v>
      </c>
      <c r="K248" s="280">
        <v>0.3972222222222222</v>
      </c>
      <c r="L248" s="124">
        <v>1.36</v>
      </c>
      <c r="M248" s="331">
        <f t="shared" si="121"/>
        <v>13.924050632911388</v>
      </c>
      <c r="N248" s="137">
        <v>35000000</v>
      </c>
      <c r="O248" s="124" t="s">
        <v>216</v>
      </c>
      <c r="P248" s="146">
        <f t="shared" si="138"/>
        <v>22.804284323271666</v>
      </c>
      <c r="Q248" s="124"/>
    </row>
    <row r="249" spans="1:17" s="141" customFormat="1" x14ac:dyDescent="0.25">
      <c r="A249" s="138" t="s">
        <v>851</v>
      </c>
      <c r="B249" s="143">
        <v>44144</v>
      </c>
      <c r="C249" s="138">
        <v>2.23</v>
      </c>
      <c r="D249" s="138">
        <v>2.4900000000000002</v>
      </c>
      <c r="E249" s="267">
        <f t="shared" si="117"/>
        <v>11.659192825112118</v>
      </c>
      <c r="F249" s="256">
        <v>5000000</v>
      </c>
      <c r="G249" s="144">
        <v>2.58</v>
      </c>
      <c r="H249" s="267">
        <f t="shared" si="132"/>
        <v>3.6144578313252955</v>
      </c>
      <c r="I249" s="144">
        <v>2.75</v>
      </c>
      <c r="J249" s="267">
        <f t="shared" si="133"/>
        <v>10.441767068273084</v>
      </c>
      <c r="K249" s="265">
        <v>0.44097222222222227</v>
      </c>
      <c r="L249" s="138">
        <v>2.41</v>
      </c>
      <c r="M249" s="271">
        <f t="shared" si="121"/>
        <v>3.2128514056224926</v>
      </c>
      <c r="N249" s="256">
        <v>4000000</v>
      </c>
      <c r="O249" s="138" t="s">
        <v>190</v>
      </c>
      <c r="P249" s="417">
        <f t="shared" si="138"/>
        <v>22.100959893385202</v>
      </c>
      <c r="Q249" s="138"/>
    </row>
    <row r="250" spans="1:17" x14ac:dyDescent="0.25">
      <c r="A250" s="124" t="s">
        <v>304</v>
      </c>
      <c r="B250" s="261">
        <v>44111</v>
      </c>
      <c r="C250" s="131">
        <v>1.75</v>
      </c>
      <c r="D250" s="124">
        <v>1.92</v>
      </c>
      <c r="E250" s="392">
        <f t="shared" si="117"/>
        <v>9.71428571428571</v>
      </c>
      <c r="F250" s="137">
        <v>4400000</v>
      </c>
      <c r="G250" s="131">
        <v>2.0499999999999998</v>
      </c>
      <c r="H250" s="267">
        <f>(G250-D250)/D250*100</f>
        <v>6.7708333333333286</v>
      </c>
      <c r="I250" s="131">
        <v>2.0499999999999998</v>
      </c>
      <c r="J250" s="267">
        <f>(I250-D250)/D250*100</f>
        <v>6.7708333333333286</v>
      </c>
      <c r="K250" s="280">
        <v>0.39930555555555558</v>
      </c>
      <c r="L250" s="124">
        <v>1.9</v>
      </c>
      <c r="M250" s="331">
        <f t="shared" si="121"/>
        <v>1.0416666666666676</v>
      </c>
      <c r="N250" s="137">
        <v>30000000</v>
      </c>
      <c r="O250" s="124" t="s">
        <v>190</v>
      </c>
      <c r="P250" s="131">
        <f>J250+E250</f>
        <v>16.485119047619037</v>
      </c>
      <c r="Q250" s="124"/>
    </row>
    <row r="251" spans="1:17" x14ac:dyDescent="0.25">
      <c r="A251" s="124" t="s">
        <v>757</v>
      </c>
      <c r="B251" s="261">
        <v>43958</v>
      </c>
      <c r="C251" s="124">
        <v>6.55</v>
      </c>
      <c r="D251" s="124">
        <v>8.2200000000000006</v>
      </c>
      <c r="E251" s="392">
        <f t="shared" si="117"/>
        <v>25.496183206106881</v>
      </c>
      <c r="F251" s="137">
        <v>4000000</v>
      </c>
      <c r="G251" s="131">
        <v>8.3000000000000007</v>
      </c>
      <c r="H251" s="317">
        <f t="shared" ref="H251:H256" si="139">(G251-D251)/D251*100</f>
        <v>0.9732360097323608</v>
      </c>
      <c r="I251" s="131">
        <v>8.3000000000000007</v>
      </c>
      <c r="J251" s="317">
        <f t="shared" ref="J251:J256" si="140">(I251-D251)/D251*100</f>
        <v>0.9732360097323608</v>
      </c>
      <c r="K251" s="280">
        <v>0.39652777777777781</v>
      </c>
      <c r="L251" s="124">
        <v>7.46</v>
      </c>
      <c r="M251" s="331">
        <f t="shared" si="121"/>
        <v>9.2457420924574283</v>
      </c>
      <c r="N251" s="137">
        <v>9000000</v>
      </c>
      <c r="O251" s="124" t="s">
        <v>190</v>
      </c>
      <c r="P251" s="146">
        <f t="shared" ref="P251:P256" si="141">E251+J251</f>
        <v>26.469419215839242</v>
      </c>
      <c r="Q251" s="124"/>
    </row>
    <row r="252" spans="1:17" x14ac:dyDescent="0.25">
      <c r="A252" s="124" t="s">
        <v>790</v>
      </c>
      <c r="B252" s="261">
        <v>44068</v>
      </c>
      <c r="C252" s="124">
        <v>1.27</v>
      </c>
      <c r="D252" s="124">
        <v>1.41</v>
      </c>
      <c r="E252" s="317">
        <f t="shared" si="117"/>
        <v>11.023622047244086</v>
      </c>
      <c r="F252" s="137">
        <v>4000000</v>
      </c>
      <c r="G252" s="131">
        <v>1.43</v>
      </c>
      <c r="H252" s="317">
        <f t="shared" si="139"/>
        <v>1.4184397163120581</v>
      </c>
      <c r="I252" s="131">
        <v>1.52</v>
      </c>
      <c r="J252" s="317">
        <f t="shared" si="140"/>
        <v>7.8014184397163193</v>
      </c>
      <c r="K252" s="280">
        <v>0.40069444444444446</v>
      </c>
      <c r="L252" s="124">
        <v>1.35</v>
      </c>
      <c r="M252" s="331">
        <f t="shared" si="121"/>
        <v>4.2553191489361586</v>
      </c>
      <c r="N252" s="137">
        <v>14000000</v>
      </c>
      <c r="O252" s="124" t="s">
        <v>190</v>
      </c>
      <c r="P252" s="146">
        <f t="shared" si="141"/>
        <v>18.825040486960404</v>
      </c>
      <c r="Q252" s="124"/>
    </row>
    <row r="253" spans="1:17" x14ac:dyDescent="0.25">
      <c r="A253" s="124" t="s">
        <v>791</v>
      </c>
      <c r="B253" s="261">
        <v>43998</v>
      </c>
      <c r="C253" s="124">
        <v>1.45</v>
      </c>
      <c r="D253" s="124">
        <v>1.7</v>
      </c>
      <c r="E253" s="317">
        <f t="shared" si="117"/>
        <v>17.241379310344829</v>
      </c>
      <c r="F253" s="137">
        <v>4000000</v>
      </c>
      <c r="G253" s="131">
        <v>1.79</v>
      </c>
      <c r="H253" s="317">
        <f t="shared" si="139"/>
        <v>5.2941176470588287</v>
      </c>
      <c r="I253" s="131">
        <v>1.87</v>
      </c>
      <c r="J253" s="317">
        <f t="shared" si="140"/>
        <v>10.000000000000009</v>
      </c>
      <c r="K253" s="280">
        <v>0.40416666666666662</v>
      </c>
      <c r="L253" s="124">
        <v>1.68</v>
      </c>
      <c r="M253" s="331">
        <f t="shared" si="121"/>
        <v>1.176470588235295</v>
      </c>
      <c r="N253" s="137">
        <v>20000000</v>
      </c>
      <c r="O253" s="124" t="s">
        <v>190</v>
      </c>
      <c r="P253" s="146">
        <f t="shared" si="141"/>
        <v>27.24137931034484</v>
      </c>
      <c r="Q253" s="124"/>
    </row>
    <row r="254" spans="1:17" s="306" customFormat="1" x14ac:dyDescent="0.25">
      <c r="A254" s="332" t="s">
        <v>227</v>
      </c>
      <c r="B254" s="333">
        <v>43936</v>
      </c>
      <c r="C254" s="332">
        <v>2.5299999999999998</v>
      </c>
      <c r="D254" s="332">
        <v>2.84</v>
      </c>
      <c r="E254" s="336">
        <f t="shared" si="117"/>
        <v>12.252964426877472</v>
      </c>
      <c r="F254" s="335">
        <v>4000000</v>
      </c>
      <c r="G254" s="334">
        <v>3.08</v>
      </c>
      <c r="H254" s="336">
        <f t="shared" si="139"/>
        <v>8.450704225352121</v>
      </c>
      <c r="I254" s="334">
        <v>3.4</v>
      </c>
      <c r="J254" s="336">
        <f t="shared" si="140"/>
        <v>19.718309859154932</v>
      </c>
      <c r="K254" s="337">
        <v>0.40416666666666662</v>
      </c>
      <c r="L254" s="332">
        <v>2.59</v>
      </c>
      <c r="M254" s="340">
        <f t="shared" si="121"/>
        <v>8.8028169014084519</v>
      </c>
      <c r="N254" s="335">
        <v>5000000</v>
      </c>
      <c r="O254" s="332" t="s">
        <v>190</v>
      </c>
      <c r="P254" s="338">
        <f t="shared" si="141"/>
        <v>31.971274286032404</v>
      </c>
      <c r="Q254" s="332" t="s">
        <v>832</v>
      </c>
    </row>
    <row r="255" spans="1:17" x14ac:dyDescent="0.25">
      <c r="A255" s="124" t="s">
        <v>773</v>
      </c>
      <c r="B255" s="261">
        <v>43852</v>
      </c>
      <c r="C255" s="124">
        <v>2.0499999999999998</v>
      </c>
      <c r="D255" s="124">
        <v>2.75</v>
      </c>
      <c r="E255" s="317">
        <f t="shared" si="117"/>
        <v>34.14634146341465</v>
      </c>
      <c r="F255" s="137">
        <v>4000000</v>
      </c>
      <c r="G255" s="131">
        <v>2.78</v>
      </c>
      <c r="H255" s="317">
        <f t="shared" si="139"/>
        <v>1.0909090909090839</v>
      </c>
      <c r="I255" s="131">
        <v>3.01</v>
      </c>
      <c r="J255" s="317">
        <f t="shared" si="140"/>
        <v>9.4545454545454479</v>
      </c>
      <c r="K255" s="280">
        <v>0.42708333333333331</v>
      </c>
      <c r="L255" s="124">
        <v>2.58</v>
      </c>
      <c r="M255" s="331">
        <f t="shared" si="121"/>
        <v>6.181818181818179</v>
      </c>
      <c r="N255" s="137">
        <v>8000000</v>
      </c>
      <c r="O255" s="124" t="s">
        <v>216</v>
      </c>
      <c r="P255" s="146">
        <f t="shared" si="141"/>
        <v>43.600886917960096</v>
      </c>
      <c r="Q255" s="124"/>
    </row>
    <row r="256" spans="1:17" s="324" customFormat="1" x14ac:dyDescent="0.25">
      <c r="A256" s="380" t="s">
        <v>804</v>
      </c>
      <c r="B256" s="379">
        <v>43930</v>
      </c>
      <c r="C256" s="380">
        <v>2.75</v>
      </c>
      <c r="D256" s="380">
        <v>4.6500000000000004</v>
      </c>
      <c r="E256" s="383">
        <f t="shared" si="117"/>
        <v>69.090909090909108</v>
      </c>
      <c r="F256" s="381">
        <v>4000000</v>
      </c>
      <c r="G256" s="382">
        <v>5.6</v>
      </c>
      <c r="H256" s="383">
        <f t="shared" si="139"/>
        <v>20.430107526881702</v>
      </c>
      <c r="I256" s="382">
        <v>5.62</v>
      </c>
      <c r="J256" s="383">
        <f t="shared" si="140"/>
        <v>20.860215053763433</v>
      </c>
      <c r="K256" s="384">
        <v>0.3979166666666667</v>
      </c>
      <c r="L256" s="380">
        <v>3.34</v>
      </c>
      <c r="M256" s="386">
        <f t="shared" si="121"/>
        <v>28.172043010752695</v>
      </c>
      <c r="N256" s="381">
        <v>7000000</v>
      </c>
      <c r="O256" s="380" t="s">
        <v>216</v>
      </c>
      <c r="P256" s="385">
        <f t="shared" si="141"/>
        <v>89.951124144672548</v>
      </c>
      <c r="Q256" s="380" t="s">
        <v>827</v>
      </c>
    </row>
    <row r="257" spans="1:17" s="306" customFormat="1" x14ac:dyDescent="0.25">
      <c r="A257" s="307" t="s">
        <v>297</v>
      </c>
      <c r="B257" s="308">
        <v>44111</v>
      </c>
      <c r="C257" s="201">
        <v>4.4800000000000004</v>
      </c>
      <c r="D257" s="307">
        <v>6.51</v>
      </c>
      <c r="E257" s="393">
        <f t="shared" si="117"/>
        <v>45.312499999999986</v>
      </c>
      <c r="F257" s="202">
        <v>3200000</v>
      </c>
      <c r="G257" s="201">
        <v>6.51</v>
      </c>
      <c r="H257" s="312">
        <f t="shared" ref="H257:H267" si="142">(G257-D257)/D257*100</f>
        <v>0</v>
      </c>
      <c r="I257" s="201">
        <v>6.51</v>
      </c>
      <c r="J257" s="312">
        <f t="shared" ref="J257:J267" si="143">(I257-D257)/D257*100</f>
        <v>0</v>
      </c>
      <c r="K257" s="314">
        <v>0.39583333333333331</v>
      </c>
      <c r="L257" s="307">
        <v>6.04</v>
      </c>
      <c r="M257" s="331">
        <f t="shared" si="121"/>
        <v>7.2196620583717328</v>
      </c>
      <c r="N257" s="202">
        <v>10000000</v>
      </c>
      <c r="O257" s="307" t="s">
        <v>190</v>
      </c>
      <c r="P257" s="201">
        <f>J257+E257</f>
        <v>45.312499999999986</v>
      </c>
      <c r="Q257" s="307"/>
    </row>
    <row r="258" spans="1:17" s="306" customFormat="1" x14ac:dyDescent="0.25">
      <c r="A258" s="307" t="s">
        <v>787</v>
      </c>
      <c r="B258" s="308">
        <v>43942</v>
      </c>
      <c r="C258" s="307">
        <v>3.09</v>
      </c>
      <c r="D258" s="307">
        <v>3.48</v>
      </c>
      <c r="E258" s="312">
        <f t="shared" si="117"/>
        <v>12.621359223300976</v>
      </c>
      <c r="F258" s="202">
        <v>3000000</v>
      </c>
      <c r="G258" s="201">
        <v>3.5</v>
      </c>
      <c r="H258" s="312">
        <f t="shared" si="142"/>
        <v>0.57471264367816144</v>
      </c>
      <c r="I258" s="201">
        <v>3.78</v>
      </c>
      <c r="J258" s="312">
        <f t="shared" si="143"/>
        <v>8.6206896551724093</v>
      </c>
      <c r="K258" s="314">
        <v>0.43958333333333338</v>
      </c>
      <c r="L258" s="307">
        <v>3.25</v>
      </c>
      <c r="M258" s="331">
        <f t="shared" si="121"/>
        <v>6.6091954022988491</v>
      </c>
      <c r="N258" s="202">
        <v>5000000</v>
      </c>
      <c r="O258" s="307" t="s">
        <v>190</v>
      </c>
      <c r="P258" s="316">
        <f t="shared" ref="P258" si="144">E258+J258</f>
        <v>21.242048878473383</v>
      </c>
      <c r="Q258" s="307"/>
    </row>
    <row r="259" spans="1:17" s="306" customFormat="1" x14ac:dyDescent="0.25">
      <c r="A259" s="307" t="s">
        <v>305</v>
      </c>
      <c r="B259" s="308">
        <v>44123</v>
      </c>
      <c r="C259" s="307">
        <v>7.61</v>
      </c>
      <c r="D259" s="307">
        <v>9.19</v>
      </c>
      <c r="E259" s="393">
        <f t="shared" si="117"/>
        <v>20.762155059132709</v>
      </c>
      <c r="F259" s="202">
        <v>3000000</v>
      </c>
      <c r="G259" s="201">
        <v>10.14</v>
      </c>
      <c r="H259" s="312">
        <f t="shared" si="142"/>
        <v>10.337323177366715</v>
      </c>
      <c r="I259" s="201">
        <v>10.14</v>
      </c>
      <c r="J259" s="312">
        <f t="shared" si="143"/>
        <v>10.337323177366715</v>
      </c>
      <c r="K259" s="314">
        <v>0.39861111111111108</v>
      </c>
      <c r="L259" s="307">
        <v>7.6</v>
      </c>
      <c r="M259" s="331">
        <f t="shared" si="121"/>
        <v>17.301414581066375</v>
      </c>
      <c r="N259" s="202">
        <v>5000000</v>
      </c>
      <c r="O259" s="307" t="s">
        <v>190</v>
      </c>
      <c r="P259" s="316">
        <f t="shared" ref="P259:P267" si="145">E259+J259</f>
        <v>31.099478236499422</v>
      </c>
      <c r="Q259" s="307"/>
    </row>
    <row r="260" spans="1:17" s="306" customFormat="1" x14ac:dyDescent="0.25">
      <c r="A260" s="307" t="s">
        <v>774</v>
      </c>
      <c r="B260" s="308">
        <v>44060</v>
      </c>
      <c r="C260" s="307">
        <v>7.4</v>
      </c>
      <c r="D260" s="307">
        <v>9.99</v>
      </c>
      <c r="E260" s="312">
        <f t="shared" si="117"/>
        <v>35</v>
      </c>
      <c r="F260" s="202">
        <v>3000000</v>
      </c>
      <c r="G260" s="201">
        <v>10.42</v>
      </c>
      <c r="H260" s="312">
        <f t="shared" si="142"/>
        <v>4.3043043043043019</v>
      </c>
      <c r="I260" s="201">
        <v>11.85</v>
      </c>
      <c r="J260" s="312">
        <f t="shared" si="143"/>
        <v>18.618618618618612</v>
      </c>
      <c r="K260" s="314">
        <v>0.66527777777777775</v>
      </c>
      <c r="L260" s="307">
        <v>11.81</v>
      </c>
      <c r="M260" s="387">
        <f t="shared" si="121"/>
        <v>-18.218218218218222</v>
      </c>
      <c r="N260" s="202">
        <v>6000000</v>
      </c>
      <c r="O260" s="307" t="s">
        <v>167</v>
      </c>
      <c r="P260" s="316">
        <f t="shared" si="145"/>
        <v>53.618618618618612</v>
      </c>
      <c r="Q260" s="307"/>
    </row>
    <row r="261" spans="1:17" x14ac:dyDescent="0.25">
      <c r="A261" s="124" t="s">
        <v>794</v>
      </c>
      <c r="B261" s="261">
        <v>43860</v>
      </c>
      <c r="C261" s="124">
        <v>1.39</v>
      </c>
      <c r="D261" s="124">
        <v>1.66</v>
      </c>
      <c r="E261" s="317">
        <f t="shared" si="117"/>
        <v>19.424460431654676</v>
      </c>
      <c r="F261" s="137">
        <v>2000000</v>
      </c>
      <c r="G261" s="131">
        <v>1.76</v>
      </c>
      <c r="H261" s="317">
        <f t="shared" si="142"/>
        <v>6.0240963855421743</v>
      </c>
      <c r="I261" s="131">
        <v>1.77</v>
      </c>
      <c r="J261" s="317">
        <f t="shared" si="143"/>
        <v>6.6265060240963916</v>
      </c>
      <c r="K261" s="280">
        <v>0.3972222222222222</v>
      </c>
      <c r="L261" s="124">
        <v>1.4</v>
      </c>
      <c r="M261" s="331">
        <f t="shared" si="121"/>
        <v>15.66265060240964</v>
      </c>
      <c r="N261" s="137">
        <v>6000000</v>
      </c>
      <c r="O261" s="124" t="s">
        <v>216</v>
      </c>
      <c r="P261" s="146">
        <f t="shared" si="145"/>
        <v>26.050966455751066</v>
      </c>
      <c r="Q261" s="124"/>
    </row>
    <row r="262" spans="1:17" x14ac:dyDescent="0.25">
      <c r="A262" s="124" t="s">
        <v>784</v>
      </c>
      <c r="B262" s="261">
        <v>44125</v>
      </c>
      <c r="C262" s="124">
        <v>1.45</v>
      </c>
      <c r="D262" s="124">
        <v>1.79</v>
      </c>
      <c r="E262" s="317">
        <f t="shared" si="117"/>
        <v>23.448275862068972</v>
      </c>
      <c r="F262" s="137">
        <v>2000000</v>
      </c>
      <c r="G262" s="318">
        <v>1.82</v>
      </c>
      <c r="H262" s="317">
        <f t="shared" si="142"/>
        <v>1.6759776536312863</v>
      </c>
      <c r="I262" s="131">
        <v>1.88</v>
      </c>
      <c r="J262" s="317">
        <f t="shared" si="143"/>
        <v>5.027932960893847</v>
      </c>
      <c r="K262" s="280">
        <v>0.48125000000000001</v>
      </c>
      <c r="L262" s="124">
        <v>1.8</v>
      </c>
      <c r="M262" s="387">
        <f t="shared" si="121"/>
        <v>-0.55865921787709538</v>
      </c>
      <c r="N262" s="137">
        <v>17000000</v>
      </c>
      <c r="O262" s="124" t="s">
        <v>190</v>
      </c>
      <c r="P262" s="146">
        <f t="shared" si="145"/>
        <v>28.476208822962818</v>
      </c>
      <c r="Q262" s="124"/>
    </row>
    <row r="263" spans="1:17" x14ac:dyDescent="0.25">
      <c r="A263" s="124" t="s">
        <v>777</v>
      </c>
      <c r="B263" s="261">
        <v>44102</v>
      </c>
      <c r="C263" s="124">
        <v>4.1900000000000004</v>
      </c>
      <c r="D263" s="124">
        <v>5.81</v>
      </c>
      <c r="E263" s="317">
        <f t="shared" si="117"/>
        <v>38.663484486873486</v>
      </c>
      <c r="F263" s="137">
        <v>1000000</v>
      </c>
      <c r="G263" s="131">
        <v>5.83</v>
      </c>
      <c r="H263" s="317">
        <f t="shared" si="142"/>
        <v>0.34423407917384619</v>
      </c>
      <c r="I263" s="131">
        <v>5.94</v>
      </c>
      <c r="J263" s="317">
        <f t="shared" si="143"/>
        <v>2.2375215146299618</v>
      </c>
      <c r="K263" s="280">
        <v>0.4236111111111111</v>
      </c>
      <c r="L263" s="124">
        <v>5.5</v>
      </c>
      <c r="M263" s="331">
        <f t="shared" si="121"/>
        <v>5.3356282271944862</v>
      </c>
      <c r="N263" s="137">
        <v>37000000</v>
      </c>
      <c r="O263" s="124" t="s">
        <v>216</v>
      </c>
      <c r="P263" s="146">
        <f t="shared" si="145"/>
        <v>40.901006001503447</v>
      </c>
      <c r="Q263" s="124"/>
    </row>
    <row r="264" spans="1:17" x14ac:dyDescent="0.25">
      <c r="A264" s="124" t="s">
        <v>269</v>
      </c>
      <c r="B264" s="261">
        <v>43879</v>
      </c>
      <c r="C264" s="124">
        <v>2.2400000000000002</v>
      </c>
      <c r="D264" s="124">
        <v>2.72</v>
      </c>
      <c r="E264" s="317">
        <f t="shared" si="117"/>
        <v>21.428571428571423</v>
      </c>
      <c r="F264" s="137">
        <v>2000000</v>
      </c>
      <c r="G264" s="131">
        <v>2.81</v>
      </c>
      <c r="H264" s="317">
        <f t="shared" si="142"/>
        <v>3.3088235294117592</v>
      </c>
      <c r="I264" s="131">
        <v>2.83</v>
      </c>
      <c r="J264" s="317">
        <f t="shared" si="143"/>
        <v>4.0441176470588189</v>
      </c>
      <c r="K264" s="280">
        <v>0.3972222222222222</v>
      </c>
      <c r="L264" s="124">
        <v>2.25</v>
      </c>
      <c r="M264" s="331">
        <f t="shared" si="121"/>
        <v>17.279411764705888</v>
      </c>
      <c r="N264" s="137">
        <v>8000000</v>
      </c>
      <c r="O264" s="124" t="s">
        <v>190</v>
      </c>
      <c r="P264" s="146">
        <f t="shared" si="145"/>
        <v>25.472689075630242</v>
      </c>
      <c r="Q264" s="124"/>
    </row>
    <row r="265" spans="1:17" x14ac:dyDescent="0.25">
      <c r="A265" s="124" t="s">
        <v>800</v>
      </c>
      <c r="B265" s="261">
        <v>43921</v>
      </c>
      <c r="C265" s="124">
        <v>4.1500000000000004</v>
      </c>
      <c r="D265" s="124">
        <v>6.33</v>
      </c>
      <c r="E265" s="317">
        <f t="shared" si="117"/>
        <v>52.530120481927703</v>
      </c>
      <c r="F265" s="137">
        <v>2000000</v>
      </c>
      <c r="G265" s="131">
        <v>6.56</v>
      </c>
      <c r="H265" s="317">
        <f t="shared" si="142"/>
        <v>3.6334913112164227</v>
      </c>
      <c r="I265" s="131">
        <v>6.6</v>
      </c>
      <c r="J265" s="317">
        <f t="shared" si="143"/>
        <v>4.2654028436018887</v>
      </c>
      <c r="K265" s="280">
        <v>0.48055555555555557</v>
      </c>
      <c r="L265" s="124">
        <v>5.2</v>
      </c>
      <c r="M265" s="331">
        <f t="shared" si="121"/>
        <v>17.851500789889414</v>
      </c>
      <c r="N265" s="137">
        <v>2000000</v>
      </c>
      <c r="O265" s="124" t="s">
        <v>190</v>
      </c>
      <c r="P265" s="146">
        <f t="shared" si="145"/>
        <v>56.795523325529594</v>
      </c>
      <c r="Q265" s="124"/>
    </row>
    <row r="266" spans="1:17" x14ac:dyDescent="0.25">
      <c r="A266" s="124" t="s">
        <v>412</v>
      </c>
      <c r="B266" s="261">
        <v>43851</v>
      </c>
      <c r="C266" s="124">
        <v>2.0099999999999998</v>
      </c>
      <c r="D266" s="124">
        <v>2.4500000000000002</v>
      </c>
      <c r="E266" s="317">
        <f t="shared" si="117"/>
        <v>21.890547263681615</v>
      </c>
      <c r="F266" s="137">
        <v>1000000</v>
      </c>
      <c r="G266" s="131">
        <v>2.6</v>
      </c>
      <c r="H266" s="317">
        <f t="shared" si="142"/>
        <v>6.122448979591832</v>
      </c>
      <c r="I266" s="131">
        <v>2.4900000000000002</v>
      </c>
      <c r="J266" s="317">
        <f t="shared" si="143"/>
        <v>1.6326530612244909</v>
      </c>
      <c r="K266" s="280">
        <v>0.39652777777777781</v>
      </c>
      <c r="L266" s="124">
        <v>2.2999999999999998</v>
      </c>
      <c r="M266" s="331">
        <f t="shared" si="121"/>
        <v>6.1224489795918506</v>
      </c>
      <c r="N266" s="137">
        <v>2000000</v>
      </c>
      <c r="O266" s="124" t="s">
        <v>190</v>
      </c>
      <c r="P266" s="146">
        <f t="shared" si="145"/>
        <v>23.523200324906107</v>
      </c>
      <c r="Q266" s="124"/>
    </row>
    <row r="267" spans="1:17" x14ac:dyDescent="0.25">
      <c r="A267" s="124" t="s">
        <v>176</v>
      </c>
      <c r="B267" s="261">
        <v>44168</v>
      </c>
      <c r="C267" s="124">
        <v>4.82</v>
      </c>
      <c r="D267" s="124">
        <v>5.77</v>
      </c>
      <c r="E267" s="317">
        <f t="shared" si="117"/>
        <v>19.709543568464714</v>
      </c>
      <c r="F267" s="137">
        <v>1000000</v>
      </c>
      <c r="G267" s="131">
        <v>5.77</v>
      </c>
      <c r="H267" s="317">
        <f t="shared" si="142"/>
        <v>0</v>
      </c>
      <c r="I267" s="131">
        <v>5.77</v>
      </c>
      <c r="J267" s="317">
        <f t="shared" si="143"/>
        <v>0</v>
      </c>
      <c r="K267" s="280">
        <v>0.3972222222222222</v>
      </c>
      <c r="L267" s="124">
        <v>4.8499999999999996</v>
      </c>
      <c r="M267" s="331">
        <f t="shared" si="121"/>
        <v>15.944540727902945</v>
      </c>
      <c r="N267" s="137">
        <v>6000000</v>
      </c>
      <c r="O267" s="124" t="s">
        <v>190</v>
      </c>
      <c r="P267" s="146">
        <f t="shared" si="145"/>
        <v>19.709543568464714</v>
      </c>
      <c r="Q267" s="124"/>
    </row>
    <row r="268" spans="1:17" ht="21" x14ac:dyDescent="0.25">
      <c r="A268" s="272" t="s">
        <v>878</v>
      </c>
      <c r="B268" s="273">
        <f t="shared" ref="B268" si="146">(B227+B228+B230+B231+B232+B234+B235+B236+B237+B239+B240+B241+B246+B245+B247+B248+B250+B251+B252+B253+B254+B255+B257+B258+B259+B260+B261+B262+B263+B264+B265+B266+B242+B249+B267+B243+B229+B233)/38</f>
        <v>44023.710526315786</v>
      </c>
      <c r="C268" s="273">
        <f t="shared" ref="C268:L268" si="147">(C267+C266+C265+C264+C263+C262+C261+C260+C259+C258+C257+C256+C255+C254+C253+C252+C251+C250+C249+C248+C247+C246+C245+C244+C243+C242+C241+C240+C239+C238+C237+C236+C235+C234+C233+C232+C231+C230+C229+C228+C227)/41</f>
        <v>2.9714634146341461</v>
      </c>
      <c r="D268" s="273">
        <f t="shared" si="147"/>
        <v>3.9124390243902436</v>
      </c>
      <c r="E268" s="273">
        <f t="shared" si="147"/>
        <v>30.781673977323823</v>
      </c>
      <c r="F268" s="273">
        <f t="shared" si="147"/>
        <v>5014634.1463414636</v>
      </c>
      <c r="G268" s="273">
        <f t="shared" si="147"/>
        <v>4.0975609756097562</v>
      </c>
      <c r="H268" s="273">
        <f t="shared" si="147"/>
        <v>4.3859191826470774</v>
      </c>
      <c r="I268" s="273">
        <f t="shared" si="147"/>
        <v>4.2765853658536583</v>
      </c>
      <c r="J268" s="273">
        <f t="shared" si="147"/>
        <v>8.2449358978356297</v>
      </c>
      <c r="K268" s="273">
        <f t="shared" si="147"/>
        <v>0.40948509485094847</v>
      </c>
      <c r="L268" s="273">
        <f t="shared" si="147"/>
        <v>3.5617073170731706</v>
      </c>
      <c r="M268" s="273">
        <f>(M267+M266+M265+M264+M263+M262+M261+M260+M259+M258+M257+M256+M255+M254+M253+M252+M251+M250+M249+M248+M247+M246+M245+M244+M243+M242+M241+M240+M239+M238+M237+M236+M235+M234+M233+M232+M231+M230+M229+M228+M227)/41</f>
        <v>9.3467562945078679</v>
      </c>
      <c r="N268" s="273">
        <f t="shared" ref="N268:P268" si="148">(N267+N266+N265+N264+N263+N262+N261+N260+N259+N258+N257+N256+N255+N254+N253+N252+N251+N250+N249+N248+N247+N246+N245+N244+N243+N242+N241+N240+N239+N238+N237+N236+N235+N234+N233+N232+N231+N230+N229+N228+N227)/41</f>
        <v>12170731.707317073</v>
      </c>
      <c r="O268" s="273" t="e">
        <f t="shared" si="148"/>
        <v>#VALUE!</v>
      </c>
      <c r="P268" s="273">
        <f t="shared" si="148"/>
        <v>39.026609875159451</v>
      </c>
      <c r="Q268" s="388">
        <f>(5/41)*100</f>
        <v>12.195121951219512</v>
      </c>
    </row>
    <row r="269" spans="1:17" ht="29.25" customHeight="1" x14ac:dyDescent="0.3">
      <c r="A269" s="139" t="s">
        <v>108</v>
      </c>
      <c r="B269" s="139" t="s">
        <v>107</v>
      </c>
      <c r="C269" s="139" t="s">
        <v>152</v>
      </c>
      <c r="D269" s="139" t="s">
        <v>153</v>
      </c>
      <c r="E269" s="139" t="s">
        <v>284</v>
      </c>
      <c r="F269" s="139" t="s">
        <v>155</v>
      </c>
      <c r="G269" s="263" t="s">
        <v>156</v>
      </c>
      <c r="H269" s="139" t="s">
        <v>285</v>
      </c>
      <c r="I269" s="263" t="s">
        <v>158</v>
      </c>
      <c r="J269" s="263" t="s">
        <v>159</v>
      </c>
      <c r="K269" s="263" t="s">
        <v>160</v>
      </c>
      <c r="L269" s="139" t="s">
        <v>161</v>
      </c>
      <c r="M269" s="139" t="s">
        <v>162</v>
      </c>
      <c r="N269" s="296" t="s">
        <v>163</v>
      </c>
      <c r="O269" s="285" t="s">
        <v>164</v>
      </c>
      <c r="P269" s="285" t="s">
        <v>174</v>
      </c>
      <c r="Q269" s="124"/>
    </row>
    <row r="270" spans="1:17" x14ac:dyDescent="0.25">
      <c r="A270" s="3"/>
      <c r="B270" s="3"/>
      <c r="C270" s="3"/>
      <c r="D270" s="3"/>
      <c r="E270" s="317" t="e">
        <f t="shared" ref="E270:E297" si="149">(D270-C270)/C270*100</f>
        <v>#DIV/0!</v>
      </c>
      <c r="F270" s="3"/>
      <c r="G270" s="21"/>
      <c r="H270" s="317" t="e">
        <f t="shared" ref="H270:H295" si="150">(G270-D270)/D270*100</f>
        <v>#DIV/0!</v>
      </c>
      <c r="I270" s="21"/>
      <c r="J270" s="317" t="e">
        <f t="shared" ref="J270:J297" si="151">(I270-D270)/D270*100</f>
        <v>#DIV/0!</v>
      </c>
      <c r="K270" s="21"/>
      <c r="L270" s="3"/>
      <c r="M270" s="331" t="e">
        <f t="shared" ref="M270:M295" si="152">(D270-L270)/D270*100</f>
        <v>#DIV/0!</v>
      </c>
      <c r="N270" s="44"/>
      <c r="O270" s="124"/>
      <c r="P270" s="3"/>
    </row>
    <row r="271" spans="1:17" x14ac:dyDescent="0.25">
      <c r="A271" s="3"/>
      <c r="B271" s="3"/>
      <c r="C271" s="3"/>
      <c r="D271" s="3"/>
      <c r="E271" s="317" t="e">
        <f t="shared" si="149"/>
        <v>#DIV/0!</v>
      </c>
      <c r="F271" s="3"/>
      <c r="G271" s="21"/>
      <c r="H271" s="317" t="e">
        <f t="shared" si="150"/>
        <v>#DIV/0!</v>
      </c>
      <c r="I271" s="21"/>
      <c r="J271" s="317" t="e">
        <f t="shared" si="151"/>
        <v>#DIV/0!</v>
      </c>
      <c r="K271" s="21"/>
      <c r="L271" s="3"/>
      <c r="M271" s="331" t="e">
        <f t="shared" si="152"/>
        <v>#DIV/0!</v>
      </c>
      <c r="N271" s="44"/>
      <c r="O271" s="124"/>
      <c r="P271" s="3"/>
    </row>
    <row r="272" spans="1:17" x14ac:dyDescent="0.25">
      <c r="A272" s="3"/>
      <c r="B272" s="3"/>
      <c r="C272" s="3"/>
      <c r="D272" s="3"/>
      <c r="E272" s="317" t="e">
        <f t="shared" si="149"/>
        <v>#DIV/0!</v>
      </c>
      <c r="F272" s="3"/>
      <c r="G272" s="21"/>
      <c r="H272" s="317" t="e">
        <f t="shared" si="150"/>
        <v>#DIV/0!</v>
      </c>
      <c r="I272" s="21"/>
      <c r="J272" s="317" t="e">
        <f t="shared" si="151"/>
        <v>#DIV/0!</v>
      </c>
      <c r="K272" s="21"/>
      <c r="L272" s="3"/>
      <c r="M272" s="331" t="e">
        <f t="shared" si="152"/>
        <v>#DIV/0!</v>
      </c>
      <c r="N272" s="44"/>
      <c r="O272" s="124"/>
      <c r="P272" s="3"/>
    </row>
    <row r="273" spans="1:16" x14ac:dyDescent="0.25">
      <c r="A273" s="3"/>
      <c r="B273" s="3"/>
      <c r="C273" s="3"/>
      <c r="D273" s="3"/>
      <c r="E273" s="317" t="e">
        <f t="shared" si="149"/>
        <v>#DIV/0!</v>
      </c>
      <c r="F273" s="3"/>
      <c r="G273" s="21"/>
      <c r="H273" s="317" t="e">
        <f t="shared" si="150"/>
        <v>#DIV/0!</v>
      </c>
      <c r="I273" s="21"/>
      <c r="J273" s="317" t="e">
        <f t="shared" si="151"/>
        <v>#DIV/0!</v>
      </c>
      <c r="K273" s="21"/>
      <c r="L273" s="3"/>
      <c r="M273" s="331" t="e">
        <f t="shared" si="152"/>
        <v>#DIV/0!</v>
      </c>
      <c r="N273" s="44"/>
      <c r="O273" s="124"/>
      <c r="P273" s="3"/>
    </row>
    <row r="274" spans="1:16" x14ac:dyDescent="0.25">
      <c r="A274" s="3"/>
      <c r="B274" s="3"/>
      <c r="C274" s="3"/>
      <c r="D274" s="3"/>
      <c r="E274" s="317" t="e">
        <f t="shared" si="149"/>
        <v>#DIV/0!</v>
      </c>
      <c r="F274" s="3"/>
      <c r="G274" s="21"/>
      <c r="H274" s="317" t="e">
        <f t="shared" si="150"/>
        <v>#DIV/0!</v>
      </c>
      <c r="I274" s="21"/>
      <c r="J274" s="317" t="e">
        <f t="shared" si="151"/>
        <v>#DIV/0!</v>
      </c>
      <c r="K274" s="21"/>
      <c r="L274" s="3"/>
      <c r="M274" s="331" t="e">
        <f t="shared" si="152"/>
        <v>#DIV/0!</v>
      </c>
      <c r="N274" s="44"/>
      <c r="O274" s="124"/>
      <c r="P274" s="3"/>
    </row>
    <row r="275" spans="1:16" x14ac:dyDescent="0.25">
      <c r="A275" s="3"/>
      <c r="B275" s="3"/>
      <c r="C275" s="3"/>
      <c r="D275" s="3"/>
      <c r="E275" s="317" t="e">
        <f t="shared" si="149"/>
        <v>#DIV/0!</v>
      </c>
      <c r="F275" s="3"/>
      <c r="G275" s="21"/>
      <c r="H275" s="317" t="e">
        <f t="shared" si="150"/>
        <v>#DIV/0!</v>
      </c>
      <c r="I275" s="21"/>
      <c r="J275" s="317" t="e">
        <f t="shared" si="151"/>
        <v>#DIV/0!</v>
      </c>
      <c r="K275" s="21"/>
      <c r="L275" s="3"/>
      <c r="M275" s="331" t="e">
        <f t="shared" si="152"/>
        <v>#DIV/0!</v>
      </c>
      <c r="N275" s="44"/>
      <c r="O275" s="124"/>
      <c r="P275" s="3"/>
    </row>
    <row r="276" spans="1:16" x14ac:dyDescent="0.25">
      <c r="A276" s="3"/>
      <c r="B276" s="3"/>
      <c r="C276" s="3"/>
      <c r="D276" s="3"/>
      <c r="E276" s="317" t="e">
        <f t="shared" si="149"/>
        <v>#DIV/0!</v>
      </c>
      <c r="F276" s="3"/>
      <c r="G276" s="21"/>
      <c r="H276" s="317" t="e">
        <f t="shared" si="150"/>
        <v>#DIV/0!</v>
      </c>
      <c r="I276" s="21"/>
      <c r="J276" s="317" t="e">
        <f t="shared" si="151"/>
        <v>#DIV/0!</v>
      </c>
      <c r="K276" s="21"/>
      <c r="L276" s="3"/>
      <c r="M276" s="331" t="e">
        <f t="shared" si="152"/>
        <v>#DIV/0!</v>
      </c>
      <c r="N276" s="44"/>
      <c r="O276" s="124"/>
      <c r="P276" s="3"/>
    </row>
    <row r="277" spans="1:16" x14ac:dyDescent="0.25">
      <c r="A277" s="3"/>
      <c r="B277" s="3"/>
      <c r="C277" s="3"/>
      <c r="D277" s="3"/>
      <c r="E277" s="317" t="e">
        <f t="shared" si="149"/>
        <v>#DIV/0!</v>
      </c>
      <c r="F277" s="3"/>
      <c r="G277" s="21"/>
      <c r="H277" s="317" t="e">
        <f t="shared" si="150"/>
        <v>#DIV/0!</v>
      </c>
      <c r="I277" s="21"/>
      <c r="J277" s="317" t="e">
        <f t="shared" si="151"/>
        <v>#DIV/0!</v>
      </c>
      <c r="K277" s="21"/>
      <c r="L277" s="3"/>
      <c r="M277" s="331" t="e">
        <f t="shared" si="152"/>
        <v>#DIV/0!</v>
      </c>
      <c r="N277" s="44"/>
      <c r="O277" s="124"/>
      <c r="P277" s="3"/>
    </row>
    <row r="278" spans="1:16" x14ac:dyDescent="0.25">
      <c r="A278" s="3"/>
      <c r="B278" s="3"/>
      <c r="C278" s="3"/>
      <c r="D278" s="3"/>
      <c r="E278" s="317" t="e">
        <f t="shared" si="149"/>
        <v>#DIV/0!</v>
      </c>
      <c r="F278" s="3"/>
      <c r="G278" s="21"/>
      <c r="H278" s="317" t="e">
        <f t="shared" si="150"/>
        <v>#DIV/0!</v>
      </c>
      <c r="I278" s="21"/>
      <c r="J278" s="317" t="e">
        <f t="shared" si="151"/>
        <v>#DIV/0!</v>
      </c>
      <c r="K278" s="21"/>
      <c r="L278" s="3"/>
      <c r="M278" s="331" t="e">
        <f t="shared" si="152"/>
        <v>#DIV/0!</v>
      </c>
      <c r="N278" s="44"/>
      <c r="O278" s="124"/>
      <c r="P278" s="3"/>
    </row>
    <row r="279" spans="1:16" x14ac:dyDescent="0.25">
      <c r="A279" s="3"/>
      <c r="B279" s="3"/>
      <c r="C279" s="3"/>
      <c r="D279" s="3"/>
      <c r="E279" s="317" t="e">
        <f t="shared" si="149"/>
        <v>#DIV/0!</v>
      </c>
      <c r="F279" s="3"/>
      <c r="G279" s="21"/>
      <c r="H279" s="317" t="e">
        <f t="shared" si="150"/>
        <v>#DIV/0!</v>
      </c>
      <c r="I279" s="21"/>
      <c r="J279" s="317" t="e">
        <f t="shared" si="151"/>
        <v>#DIV/0!</v>
      </c>
      <c r="K279" s="21"/>
      <c r="L279" s="3"/>
      <c r="M279" s="331" t="e">
        <f t="shared" si="152"/>
        <v>#DIV/0!</v>
      </c>
      <c r="N279" s="44"/>
      <c r="O279" s="124"/>
      <c r="P279" s="3"/>
    </row>
    <row r="280" spans="1:16" x14ac:dyDescent="0.25">
      <c r="A280" s="3"/>
      <c r="B280" s="3"/>
      <c r="C280" s="3"/>
      <c r="D280" s="3"/>
      <c r="E280" s="317" t="e">
        <f t="shared" si="149"/>
        <v>#DIV/0!</v>
      </c>
      <c r="F280" s="3"/>
      <c r="G280" s="21"/>
      <c r="H280" s="317" t="e">
        <f t="shared" si="150"/>
        <v>#DIV/0!</v>
      </c>
      <c r="I280" s="21"/>
      <c r="J280" s="317" t="e">
        <f t="shared" si="151"/>
        <v>#DIV/0!</v>
      </c>
      <c r="K280" s="21"/>
      <c r="L280" s="3"/>
      <c r="M280" s="331" t="e">
        <f t="shared" si="152"/>
        <v>#DIV/0!</v>
      </c>
      <c r="N280" s="44"/>
      <c r="O280" s="124"/>
      <c r="P280" s="3"/>
    </row>
    <row r="281" spans="1:16" x14ac:dyDescent="0.25">
      <c r="A281" s="3"/>
      <c r="B281" s="3"/>
      <c r="C281" s="3"/>
      <c r="D281" s="3"/>
      <c r="E281" s="317" t="e">
        <f t="shared" si="149"/>
        <v>#DIV/0!</v>
      </c>
      <c r="F281" s="3"/>
      <c r="G281" s="21"/>
      <c r="H281" s="317" t="e">
        <f t="shared" si="150"/>
        <v>#DIV/0!</v>
      </c>
      <c r="I281" s="21"/>
      <c r="J281" s="317" t="e">
        <f t="shared" si="151"/>
        <v>#DIV/0!</v>
      </c>
      <c r="K281" s="21"/>
      <c r="L281" s="3"/>
      <c r="M281" s="331" t="e">
        <f t="shared" si="152"/>
        <v>#DIV/0!</v>
      </c>
      <c r="N281" s="44"/>
      <c r="O281" s="124"/>
      <c r="P281" s="3"/>
    </row>
    <row r="282" spans="1:16" x14ac:dyDescent="0.25">
      <c r="A282" s="3"/>
      <c r="B282" s="3"/>
      <c r="C282" s="3"/>
      <c r="D282" s="3"/>
      <c r="E282" s="317" t="e">
        <f t="shared" si="149"/>
        <v>#DIV/0!</v>
      </c>
      <c r="F282" s="3"/>
      <c r="G282" s="21"/>
      <c r="H282" s="317" t="e">
        <f t="shared" si="150"/>
        <v>#DIV/0!</v>
      </c>
      <c r="I282" s="21"/>
      <c r="J282" s="317" t="e">
        <f t="shared" si="151"/>
        <v>#DIV/0!</v>
      </c>
      <c r="K282" s="21"/>
      <c r="L282" s="3"/>
      <c r="M282" s="331" t="e">
        <f t="shared" si="152"/>
        <v>#DIV/0!</v>
      </c>
      <c r="N282" s="44"/>
      <c r="O282" s="124"/>
      <c r="P282" s="3"/>
    </row>
    <row r="283" spans="1:16" x14ac:dyDescent="0.25">
      <c r="A283" s="3"/>
      <c r="B283" s="3"/>
      <c r="C283" s="3"/>
      <c r="D283" s="3"/>
      <c r="E283" s="317" t="e">
        <f t="shared" si="149"/>
        <v>#DIV/0!</v>
      </c>
      <c r="F283" s="3"/>
      <c r="G283" s="21"/>
      <c r="H283" s="317" t="e">
        <f t="shared" si="150"/>
        <v>#DIV/0!</v>
      </c>
      <c r="I283" s="21"/>
      <c r="J283" s="317" t="e">
        <f t="shared" si="151"/>
        <v>#DIV/0!</v>
      </c>
      <c r="K283" s="21"/>
      <c r="L283" s="3"/>
      <c r="M283" s="331" t="e">
        <f t="shared" si="152"/>
        <v>#DIV/0!</v>
      </c>
      <c r="N283" s="44"/>
      <c r="O283" s="124"/>
      <c r="P283" s="3"/>
    </row>
    <row r="284" spans="1:16" x14ac:dyDescent="0.25">
      <c r="A284" s="3"/>
      <c r="B284" s="3"/>
      <c r="C284" s="3"/>
      <c r="D284" s="3"/>
      <c r="E284" s="317" t="e">
        <f t="shared" si="149"/>
        <v>#DIV/0!</v>
      </c>
      <c r="F284" s="3"/>
      <c r="G284" s="21"/>
      <c r="H284" s="317" t="e">
        <f t="shared" si="150"/>
        <v>#DIV/0!</v>
      </c>
      <c r="I284" s="21"/>
      <c r="J284" s="317" t="e">
        <f t="shared" si="151"/>
        <v>#DIV/0!</v>
      </c>
      <c r="K284" s="21"/>
      <c r="L284" s="3"/>
      <c r="M284" s="331" t="e">
        <f t="shared" si="152"/>
        <v>#DIV/0!</v>
      </c>
      <c r="N284" s="44"/>
      <c r="O284" s="124"/>
      <c r="P284" s="3"/>
    </row>
    <row r="285" spans="1:16" x14ac:dyDescent="0.25">
      <c r="A285" s="3"/>
      <c r="B285" s="3"/>
      <c r="C285" s="3"/>
      <c r="D285" s="3"/>
      <c r="E285" s="317" t="e">
        <f t="shared" si="149"/>
        <v>#DIV/0!</v>
      </c>
      <c r="F285" s="3"/>
      <c r="G285" s="21"/>
      <c r="H285" s="317" t="e">
        <f t="shared" si="150"/>
        <v>#DIV/0!</v>
      </c>
      <c r="I285" s="21"/>
      <c r="J285" s="317" t="e">
        <f t="shared" si="151"/>
        <v>#DIV/0!</v>
      </c>
      <c r="K285" s="21"/>
      <c r="L285" s="3"/>
      <c r="M285" s="331" t="e">
        <f t="shared" si="152"/>
        <v>#DIV/0!</v>
      </c>
      <c r="N285" s="44"/>
      <c r="O285" s="124"/>
      <c r="P285" s="3"/>
    </row>
    <row r="286" spans="1:16" x14ac:dyDescent="0.25">
      <c r="A286" s="3"/>
      <c r="B286" s="3"/>
      <c r="C286" s="3"/>
      <c r="D286" s="3"/>
      <c r="E286" s="317" t="e">
        <f t="shared" si="149"/>
        <v>#DIV/0!</v>
      </c>
      <c r="F286" s="3"/>
      <c r="G286" s="21"/>
      <c r="H286" s="317" t="e">
        <f t="shared" si="150"/>
        <v>#DIV/0!</v>
      </c>
      <c r="I286" s="21"/>
      <c r="J286" s="317" t="e">
        <f t="shared" si="151"/>
        <v>#DIV/0!</v>
      </c>
      <c r="K286" s="21"/>
      <c r="L286" s="3"/>
      <c r="M286" s="331" t="e">
        <f t="shared" si="152"/>
        <v>#DIV/0!</v>
      </c>
      <c r="N286" s="44"/>
      <c r="O286" s="124"/>
      <c r="P286" s="3"/>
    </row>
    <row r="287" spans="1:16" x14ac:dyDescent="0.25">
      <c r="A287" s="3"/>
      <c r="B287" s="3"/>
      <c r="C287" s="3"/>
      <c r="D287" s="3"/>
      <c r="E287" s="317" t="e">
        <f t="shared" si="149"/>
        <v>#DIV/0!</v>
      </c>
      <c r="F287" s="3"/>
      <c r="G287" s="21"/>
      <c r="H287" s="317" t="e">
        <f t="shared" si="150"/>
        <v>#DIV/0!</v>
      </c>
      <c r="I287" s="21"/>
      <c r="J287" s="317" t="e">
        <f t="shared" si="151"/>
        <v>#DIV/0!</v>
      </c>
      <c r="K287" s="21"/>
      <c r="L287" s="3"/>
      <c r="M287" s="331" t="e">
        <f t="shared" si="152"/>
        <v>#DIV/0!</v>
      </c>
      <c r="N287" s="44"/>
      <c r="O287" s="124"/>
      <c r="P287" s="3"/>
    </row>
    <row r="288" spans="1:16" x14ac:dyDescent="0.25">
      <c r="A288" s="3"/>
      <c r="B288" s="3"/>
      <c r="C288" s="3"/>
      <c r="D288" s="3"/>
      <c r="E288" s="317" t="e">
        <f t="shared" si="149"/>
        <v>#DIV/0!</v>
      </c>
      <c r="F288" s="3"/>
      <c r="G288" s="21"/>
      <c r="H288" s="317" t="e">
        <f t="shared" si="150"/>
        <v>#DIV/0!</v>
      </c>
      <c r="I288" s="21"/>
      <c r="J288" s="317" t="e">
        <f t="shared" si="151"/>
        <v>#DIV/0!</v>
      </c>
      <c r="K288" s="21"/>
      <c r="L288" s="3"/>
      <c r="M288" s="331" t="e">
        <f t="shared" si="152"/>
        <v>#DIV/0!</v>
      </c>
      <c r="N288" s="44"/>
      <c r="O288" s="124"/>
      <c r="P288" s="3"/>
    </row>
    <row r="289" spans="1:16" x14ac:dyDescent="0.25">
      <c r="A289" s="3"/>
      <c r="B289" s="3"/>
      <c r="C289" s="3"/>
      <c r="D289" s="3"/>
      <c r="E289" s="317" t="e">
        <f t="shared" si="149"/>
        <v>#DIV/0!</v>
      </c>
      <c r="F289" s="3"/>
      <c r="G289" s="21"/>
      <c r="H289" s="317" t="e">
        <f t="shared" si="150"/>
        <v>#DIV/0!</v>
      </c>
      <c r="I289" s="21"/>
      <c r="J289" s="317" t="e">
        <f t="shared" si="151"/>
        <v>#DIV/0!</v>
      </c>
      <c r="K289" s="21"/>
      <c r="L289" s="3"/>
      <c r="M289" s="331" t="e">
        <f t="shared" si="152"/>
        <v>#DIV/0!</v>
      </c>
      <c r="N289" s="44"/>
      <c r="O289" s="124"/>
      <c r="P289" s="3"/>
    </row>
    <row r="290" spans="1:16" x14ac:dyDescent="0.25">
      <c r="A290" s="3"/>
      <c r="B290" s="3"/>
      <c r="C290" s="3"/>
      <c r="D290" s="3"/>
      <c r="E290" s="317" t="e">
        <f t="shared" si="149"/>
        <v>#DIV/0!</v>
      </c>
      <c r="F290" s="3"/>
      <c r="G290" s="21"/>
      <c r="H290" s="317" t="e">
        <f t="shared" si="150"/>
        <v>#DIV/0!</v>
      </c>
      <c r="I290" s="21"/>
      <c r="J290" s="317" t="e">
        <f t="shared" si="151"/>
        <v>#DIV/0!</v>
      </c>
      <c r="K290" s="21"/>
      <c r="L290" s="3"/>
      <c r="M290" s="331" t="e">
        <f t="shared" si="152"/>
        <v>#DIV/0!</v>
      </c>
      <c r="N290" s="44"/>
      <c r="O290" s="124"/>
      <c r="P290" s="3"/>
    </row>
    <row r="291" spans="1:16" x14ac:dyDescent="0.25">
      <c r="A291" s="3"/>
      <c r="B291" s="3"/>
      <c r="C291" s="3"/>
      <c r="D291" s="3"/>
      <c r="E291" s="317" t="e">
        <f t="shared" si="149"/>
        <v>#DIV/0!</v>
      </c>
      <c r="F291" s="3"/>
      <c r="G291" s="21"/>
      <c r="H291" s="317" t="e">
        <f t="shared" si="150"/>
        <v>#DIV/0!</v>
      </c>
      <c r="I291" s="21"/>
      <c r="J291" s="317" t="e">
        <f t="shared" si="151"/>
        <v>#DIV/0!</v>
      </c>
      <c r="K291" s="21"/>
      <c r="L291" s="3"/>
      <c r="M291" s="331" t="e">
        <f t="shared" si="152"/>
        <v>#DIV/0!</v>
      </c>
      <c r="N291" s="44"/>
      <c r="O291" s="124"/>
      <c r="P291" s="3"/>
    </row>
    <row r="292" spans="1:16" x14ac:dyDescent="0.25">
      <c r="A292" s="3"/>
      <c r="B292" s="3"/>
      <c r="C292" s="3"/>
      <c r="D292" s="3"/>
      <c r="E292" s="317" t="e">
        <f t="shared" si="149"/>
        <v>#DIV/0!</v>
      </c>
      <c r="F292" s="3"/>
      <c r="G292" s="21"/>
      <c r="H292" s="317" t="e">
        <f t="shared" si="150"/>
        <v>#DIV/0!</v>
      </c>
      <c r="I292" s="21"/>
      <c r="J292" s="317" t="e">
        <f t="shared" si="151"/>
        <v>#DIV/0!</v>
      </c>
      <c r="K292" s="21"/>
      <c r="L292" s="3"/>
      <c r="M292" s="331" t="e">
        <f t="shared" si="152"/>
        <v>#DIV/0!</v>
      </c>
      <c r="N292" s="44"/>
      <c r="O292" s="124"/>
      <c r="P292" s="3"/>
    </row>
    <row r="293" spans="1:16" x14ac:dyDescent="0.25">
      <c r="A293" s="3"/>
      <c r="B293" s="3"/>
      <c r="C293" s="3"/>
      <c r="D293" s="3"/>
      <c r="E293" s="317" t="e">
        <f t="shared" si="149"/>
        <v>#DIV/0!</v>
      </c>
      <c r="F293" s="3"/>
      <c r="G293" s="21"/>
      <c r="H293" s="317" t="e">
        <f t="shared" si="150"/>
        <v>#DIV/0!</v>
      </c>
      <c r="I293" s="21"/>
      <c r="J293" s="317" t="e">
        <f t="shared" si="151"/>
        <v>#DIV/0!</v>
      </c>
      <c r="K293" s="21"/>
      <c r="L293" s="3"/>
      <c r="M293" s="331" t="e">
        <f t="shared" si="152"/>
        <v>#DIV/0!</v>
      </c>
      <c r="N293" s="44"/>
      <c r="O293" s="124"/>
      <c r="P293" s="3"/>
    </row>
    <row r="294" spans="1:16" x14ac:dyDescent="0.25">
      <c r="A294" s="3"/>
      <c r="B294" s="3"/>
      <c r="C294" s="3"/>
      <c r="D294" s="3"/>
      <c r="E294" s="317" t="e">
        <f t="shared" si="149"/>
        <v>#DIV/0!</v>
      </c>
      <c r="F294" s="3"/>
      <c r="G294" s="21"/>
      <c r="H294" s="317" t="e">
        <f t="shared" si="150"/>
        <v>#DIV/0!</v>
      </c>
      <c r="I294" s="21"/>
      <c r="J294" s="317" t="e">
        <f t="shared" si="151"/>
        <v>#DIV/0!</v>
      </c>
      <c r="K294" s="21"/>
      <c r="L294" s="3"/>
      <c r="M294" s="331" t="e">
        <f t="shared" si="152"/>
        <v>#DIV/0!</v>
      </c>
      <c r="N294" s="44"/>
      <c r="O294" s="124"/>
      <c r="P294" s="3"/>
    </row>
    <row r="295" spans="1:16" x14ac:dyDescent="0.25">
      <c r="A295" s="3"/>
      <c r="B295" s="3"/>
      <c r="C295" s="3"/>
      <c r="D295" s="3"/>
      <c r="E295" s="317" t="e">
        <f t="shared" si="149"/>
        <v>#DIV/0!</v>
      </c>
      <c r="F295" s="3"/>
      <c r="G295" s="21"/>
      <c r="H295" s="317" t="e">
        <f t="shared" si="150"/>
        <v>#DIV/0!</v>
      </c>
      <c r="I295" s="21"/>
      <c r="J295" s="317" t="e">
        <f t="shared" si="151"/>
        <v>#DIV/0!</v>
      </c>
      <c r="K295" s="21"/>
      <c r="L295" s="3"/>
      <c r="M295" s="331" t="e">
        <f t="shared" si="152"/>
        <v>#DIV/0!</v>
      </c>
      <c r="N295" s="44"/>
      <c r="O295" s="124"/>
      <c r="P295" s="3"/>
    </row>
    <row r="296" spans="1:16" x14ac:dyDescent="0.25">
      <c r="A296" s="3"/>
      <c r="B296" s="3"/>
      <c r="C296" s="3"/>
      <c r="D296" s="3"/>
      <c r="E296" s="317" t="e">
        <f t="shared" si="149"/>
        <v>#DIV/0!</v>
      </c>
      <c r="F296" s="3"/>
      <c r="G296" s="21"/>
      <c r="H296" s="21"/>
      <c r="I296" s="21"/>
      <c r="J296" s="317" t="e">
        <f t="shared" si="151"/>
        <v>#DIV/0!</v>
      </c>
      <c r="K296" s="21"/>
      <c r="L296" s="3"/>
      <c r="M296" s="3"/>
      <c r="N296" s="44"/>
      <c r="O296" s="124"/>
      <c r="P296" s="3"/>
    </row>
    <row r="297" spans="1:16" x14ac:dyDescent="0.25">
      <c r="A297" s="3"/>
      <c r="B297" s="3"/>
      <c r="C297" s="3"/>
      <c r="D297" s="3"/>
      <c r="E297" s="317" t="e">
        <f t="shared" si="149"/>
        <v>#DIV/0!</v>
      </c>
      <c r="F297" s="3"/>
      <c r="G297" s="21"/>
      <c r="H297" s="21"/>
      <c r="I297" s="21"/>
      <c r="J297" s="317" t="e">
        <f t="shared" si="151"/>
        <v>#DIV/0!</v>
      </c>
      <c r="K297" s="21"/>
      <c r="L297" s="3"/>
      <c r="M297" s="3"/>
      <c r="N297" s="44"/>
      <c r="O297" s="124"/>
      <c r="P297" s="3"/>
    </row>
    <row r="298" spans="1:16" x14ac:dyDescent="0.25">
      <c r="A298" s="3"/>
      <c r="B298" s="3"/>
      <c r="C298" s="3"/>
      <c r="D298" s="3"/>
      <c r="E298" s="3"/>
      <c r="F298" s="3"/>
      <c r="G298" s="21"/>
      <c r="H298" s="21"/>
      <c r="I298" s="21"/>
      <c r="J298" s="21"/>
      <c r="K298" s="21"/>
      <c r="L298" s="3"/>
      <c r="M298" s="3"/>
      <c r="N298" s="44"/>
      <c r="O298" s="124"/>
      <c r="P298" s="3"/>
    </row>
    <row r="299" spans="1:16" x14ac:dyDescent="0.25">
      <c r="A299" s="3"/>
      <c r="B299" s="3"/>
      <c r="C299" s="3"/>
      <c r="D299" s="3"/>
      <c r="E299" s="3"/>
      <c r="F299" s="3"/>
      <c r="G299" s="21"/>
      <c r="H299" s="21"/>
      <c r="I299" s="21"/>
      <c r="J299" s="21"/>
      <c r="K299" s="21"/>
      <c r="L299" s="3"/>
      <c r="M299" s="3"/>
      <c r="N299" s="44"/>
      <c r="O299" s="124"/>
      <c r="P299" s="3"/>
    </row>
    <row r="300" spans="1:16" x14ac:dyDescent="0.25">
      <c r="A300" s="3"/>
      <c r="B300" s="3"/>
      <c r="C300" s="3"/>
      <c r="D300" s="3"/>
      <c r="E300" s="3"/>
      <c r="F300" s="3"/>
      <c r="G300" s="21"/>
      <c r="H300" s="21"/>
      <c r="I300" s="21"/>
      <c r="J300" s="21"/>
      <c r="K300" s="21"/>
      <c r="L300" s="3"/>
      <c r="M300" s="3"/>
      <c r="N300" s="44"/>
      <c r="O300" s="124"/>
      <c r="P300" s="3"/>
    </row>
    <row r="301" spans="1:16" x14ac:dyDescent="0.25">
      <c r="A301" s="3"/>
      <c r="B301" s="3"/>
      <c r="C301" s="3"/>
      <c r="D301" s="3"/>
      <c r="E301" s="3"/>
      <c r="F301" s="3"/>
      <c r="G301" s="21"/>
      <c r="H301" s="21"/>
      <c r="I301" s="21"/>
      <c r="J301" s="21"/>
      <c r="K301" s="21"/>
      <c r="L301" s="3"/>
      <c r="M301" s="3"/>
      <c r="N301" s="44"/>
      <c r="O301" s="124"/>
      <c r="P301" s="3"/>
    </row>
    <row r="302" spans="1:16" x14ac:dyDescent="0.25">
      <c r="A302" s="3"/>
      <c r="B302" s="3"/>
      <c r="C302" s="3"/>
      <c r="D302" s="3"/>
      <c r="E302" s="3"/>
      <c r="F302" s="3"/>
      <c r="G302" s="21"/>
      <c r="H302" s="21"/>
      <c r="I302" s="21"/>
      <c r="J302" s="21"/>
      <c r="K302" s="21"/>
      <c r="L302" s="3"/>
      <c r="M302" s="3"/>
      <c r="N302" s="44"/>
      <c r="O302" s="124"/>
      <c r="P302" s="3"/>
    </row>
    <row r="303" spans="1:16" x14ac:dyDescent="0.25">
      <c r="A303" s="3"/>
      <c r="B303" s="3"/>
      <c r="C303" s="3"/>
      <c r="D303" s="3"/>
      <c r="E303" s="3"/>
      <c r="F303" s="3"/>
      <c r="G303" s="21"/>
      <c r="H303" s="21"/>
      <c r="I303" s="21"/>
      <c r="J303" s="21"/>
      <c r="K303" s="21"/>
      <c r="L303" s="3"/>
      <c r="M303" s="3"/>
      <c r="N303" s="44"/>
      <c r="O303" s="124"/>
      <c r="P303" s="3"/>
    </row>
    <row r="304" spans="1:16" x14ac:dyDescent="0.25">
      <c r="A304" s="3"/>
      <c r="B304" s="3"/>
      <c r="C304" s="3"/>
      <c r="D304" s="3"/>
      <c r="E304" s="3"/>
      <c r="F304" s="3"/>
      <c r="G304" s="21"/>
      <c r="H304" s="21"/>
      <c r="I304" s="21"/>
      <c r="J304" s="21"/>
      <c r="K304" s="21"/>
      <c r="L304" s="3"/>
      <c r="M304" s="3"/>
      <c r="N304" s="44"/>
      <c r="O304" s="124"/>
      <c r="P304" s="3"/>
    </row>
    <row r="305" spans="1:16" x14ac:dyDescent="0.25">
      <c r="A305" s="3"/>
      <c r="B305" s="3"/>
      <c r="C305" s="3"/>
      <c r="D305" s="3"/>
      <c r="E305" s="3"/>
      <c r="F305" s="3"/>
      <c r="G305" s="21"/>
      <c r="H305" s="21"/>
      <c r="I305" s="21"/>
      <c r="J305" s="21"/>
      <c r="K305" s="21"/>
      <c r="L305" s="3"/>
      <c r="M305" s="3"/>
      <c r="N305" s="44"/>
      <c r="O305" s="124"/>
      <c r="P305" s="3"/>
    </row>
    <row r="306" spans="1:16" x14ac:dyDescent="0.25">
      <c r="A306" s="3"/>
      <c r="B306" s="3"/>
      <c r="C306" s="3"/>
      <c r="D306" s="3"/>
      <c r="E306" s="3"/>
      <c r="F306" s="3"/>
      <c r="G306" s="21"/>
      <c r="H306" s="21"/>
      <c r="I306" s="21"/>
      <c r="J306" s="21"/>
      <c r="K306" s="21"/>
      <c r="L306" s="3"/>
      <c r="M306" s="3"/>
      <c r="N306" s="44"/>
      <c r="O306" s="124"/>
      <c r="P306" s="3"/>
    </row>
    <row r="307" spans="1:16" x14ac:dyDescent="0.25">
      <c r="A307" s="3"/>
      <c r="B307" s="3"/>
      <c r="C307" s="3"/>
      <c r="D307" s="3"/>
      <c r="E307" s="3"/>
      <c r="F307" s="3"/>
      <c r="G307" s="21"/>
      <c r="H307" s="21"/>
      <c r="I307" s="21"/>
      <c r="J307" s="21"/>
      <c r="K307" s="21"/>
      <c r="L307" s="3"/>
      <c r="M307" s="3"/>
      <c r="N307" s="44"/>
      <c r="O307" s="124"/>
      <c r="P307" s="3"/>
    </row>
    <row r="308" spans="1:16" x14ac:dyDescent="0.25">
      <c r="A308" s="3"/>
      <c r="B308" s="3"/>
      <c r="C308" s="3"/>
      <c r="D308" s="3"/>
      <c r="E308" s="3"/>
      <c r="F308" s="3"/>
      <c r="G308" s="21"/>
      <c r="H308" s="21"/>
      <c r="I308" s="21"/>
      <c r="J308" s="21"/>
      <c r="K308" s="21"/>
      <c r="L308" s="3"/>
      <c r="M308" s="3"/>
      <c r="N308" s="44"/>
      <c r="O308" s="124"/>
      <c r="P308" s="3"/>
    </row>
    <row r="309" spans="1:16" x14ac:dyDescent="0.25">
      <c r="A309" s="3"/>
      <c r="B309" s="3"/>
      <c r="C309" s="3"/>
      <c r="D309" s="3"/>
      <c r="E309" s="3"/>
      <c r="F309" s="3"/>
      <c r="G309" s="21"/>
      <c r="H309" s="21"/>
      <c r="I309" s="21"/>
      <c r="J309" s="21"/>
      <c r="K309" s="21"/>
      <c r="L309" s="3"/>
      <c r="M309" s="3"/>
      <c r="N309" s="44"/>
      <c r="O309" s="124"/>
      <c r="P309" s="3"/>
    </row>
    <row r="310" spans="1:16" x14ac:dyDescent="0.25">
      <c r="A310" s="3"/>
      <c r="B310" s="3"/>
      <c r="C310" s="3"/>
      <c r="D310" s="3"/>
      <c r="E310" s="3"/>
      <c r="F310" s="3"/>
      <c r="G310" s="21"/>
      <c r="H310" s="21"/>
      <c r="I310" s="21"/>
      <c r="J310" s="21"/>
      <c r="K310" s="21"/>
      <c r="L310" s="3"/>
      <c r="M310" s="3"/>
      <c r="N310" s="44"/>
      <c r="O310" s="124"/>
      <c r="P310" s="3"/>
    </row>
    <row r="311" spans="1:16" x14ac:dyDescent="0.25">
      <c r="A311" s="3"/>
      <c r="B311" s="3"/>
      <c r="C311" s="3"/>
      <c r="D311" s="3"/>
      <c r="E311" s="3"/>
      <c r="F311" s="3"/>
      <c r="G311" s="21"/>
      <c r="H311" s="21"/>
      <c r="I311" s="21"/>
      <c r="J311" s="21"/>
      <c r="K311" s="21"/>
      <c r="L311" s="3"/>
      <c r="M311" s="3"/>
      <c r="N311" s="44"/>
      <c r="O311" s="124"/>
      <c r="P311" s="3"/>
    </row>
    <row r="312" spans="1:16" x14ac:dyDescent="0.25">
      <c r="A312" s="3"/>
      <c r="B312" s="3"/>
      <c r="C312" s="3"/>
      <c r="D312" s="3"/>
      <c r="E312" s="3"/>
      <c r="F312" s="3"/>
      <c r="G312" s="21"/>
      <c r="H312" s="21"/>
      <c r="I312" s="21"/>
      <c r="J312" s="21"/>
      <c r="K312" s="21"/>
      <c r="L312" s="3"/>
      <c r="M312" s="3"/>
      <c r="N312" s="44"/>
      <c r="O312" s="124"/>
      <c r="P312" s="3"/>
    </row>
    <row r="313" spans="1:16" x14ac:dyDescent="0.25">
      <c r="A313" s="3"/>
      <c r="B313" s="3"/>
      <c r="C313" s="3"/>
      <c r="D313" s="3"/>
      <c r="E313" s="3"/>
      <c r="F313" s="3"/>
      <c r="G313" s="21"/>
      <c r="H313" s="21"/>
      <c r="I313" s="21"/>
      <c r="J313" s="21"/>
      <c r="K313" s="21"/>
      <c r="L313" s="3"/>
      <c r="M313" s="3"/>
      <c r="N313" s="44"/>
      <c r="O313" s="124"/>
      <c r="P313" s="3"/>
    </row>
    <row r="314" spans="1:16" x14ac:dyDescent="0.25">
      <c r="A314" s="3"/>
      <c r="B314" s="3"/>
      <c r="C314" s="3"/>
      <c r="D314" s="3"/>
      <c r="E314" s="3"/>
      <c r="F314" s="3"/>
      <c r="G314" s="21"/>
      <c r="H314" s="21"/>
      <c r="I314" s="21"/>
      <c r="J314" s="21"/>
      <c r="K314" s="21"/>
      <c r="L314" s="3"/>
      <c r="M314" s="3"/>
      <c r="N314" s="44"/>
      <c r="O314" s="124"/>
      <c r="P314" s="3"/>
    </row>
    <row r="315" spans="1:16" x14ac:dyDescent="0.25">
      <c r="A315" s="3"/>
      <c r="B315" s="3"/>
      <c r="C315" s="3"/>
      <c r="D315" s="3"/>
      <c r="E315" s="3"/>
      <c r="F315" s="3"/>
      <c r="G315" s="21"/>
      <c r="H315" s="21"/>
      <c r="I315" s="21"/>
      <c r="J315" s="21"/>
      <c r="K315" s="21"/>
      <c r="L315" s="3"/>
      <c r="M315" s="3"/>
      <c r="N315" s="44"/>
      <c r="O315" s="124"/>
      <c r="P315" s="3"/>
    </row>
    <row r="316" spans="1:16" x14ac:dyDescent="0.25">
      <c r="A316" s="3"/>
      <c r="B316" s="3"/>
      <c r="C316" s="3"/>
      <c r="D316" s="3"/>
      <c r="E316" s="3"/>
      <c r="F316" s="3"/>
      <c r="G316" s="21"/>
      <c r="H316" s="21"/>
      <c r="I316" s="21"/>
      <c r="J316" s="21"/>
      <c r="K316" s="21"/>
      <c r="L316" s="3"/>
      <c r="M316" s="3"/>
      <c r="N316" s="44"/>
      <c r="O316" s="124"/>
      <c r="P316" s="3"/>
    </row>
    <row r="317" spans="1:16" x14ac:dyDescent="0.25">
      <c r="A317" s="3"/>
      <c r="B317" s="3"/>
      <c r="C317" s="3"/>
      <c r="D317" s="3"/>
      <c r="E317" s="3"/>
      <c r="F317" s="3"/>
      <c r="G317" s="21"/>
      <c r="H317" s="21"/>
      <c r="I317" s="21"/>
      <c r="J317" s="21"/>
      <c r="K317" s="21"/>
      <c r="L317" s="3"/>
      <c r="M317" s="3"/>
      <c r="N317" s="44"/>
      <c r="O317" s="124"/>
      <c r="P317" s="3"/>
    </row>
    <row r="318" spans="1:16" x14ac:dyDescent="0.25">
      <c r="A318" s="3"/>
      <c r="B318" s="3"/>
      <c r="C318" s="3"/>
      <c r="D318" s="3"/>
      <c r="E318" s="3"/>
      <c r="F318" s="3"/>
      <c r="G318" s="21"/>
      <c r="H318" s="21"/>
      <c r="I318" s="21"/>
      <c r="J318" s="21"/>
      <c r="K318" s="21"/>
      <c r="L318" s="3"/>
      <c r="M318" s="3"/>
      <c r="N318" s="44"/>
      <c r="O318" s="124"/>
      <c r="P318" s="3"/>
    </row>
    <row r="319" spans="1:16" x14ac:dyDescent="0.25">
      <c r="A319" s="3"/>
      <c r="B319" s="3"/>
      <c r="C319" s="3"/>
      <c r="D319" s="3"/>
      <c r="E319" s="3"/>
      <c r="F319" s="3"/>
      <c r="G319" s="21"/>
      <c r="H319" s="21"/>
      <c r="I319" s="21"/>
      <c r="J319" s="21"/>
      <c r="K319" s="21"/>
      <c r="L319" s="3"/>
      <c r="M319" s="3"/>
      <c r="N319" s="44"/>
      <c r="O319" s="124"/>
      <c r="P319" s="3"/>
    </row>
    <row r="320" spans="1:16" x14ac:dyDescent="0.25">
      <c r="A320" s="3"/>
      <c r="B320" s="3"/>
      <c r="C320" s="3"/>
      <c r="D320" s="3"/>
      <c r="E320" s="3"/>
      <c r="F320" s="3"/>
      <c r="G320" s="21"/>
      <c r="H320" s="21"/>
      <c r="I320" s="21"/>
      <c r="J320" s="21"/>
      <c r="K320" s="21"/>
      <c r="L320" s="3"/>
      <c r="M320" s="3"/>
      <c r="N320" s="44"/>
      <c r="O320" s="124"/>
      <c r="P320" s="3"/>
    </row>
    <row r="321" spans="1:16" x14ac:dyDescent="0.25">
      <c r="A321" s="3"/>
      <c r="B321" s="3"/>
      <c r="C321" s="3"/>
      <c r="D321" s="3"/>
      <c r="E321" s="3"/>
      <c r="F321" s="3"/>
      <c r="G321" s="21"/>
      <c r="H321" s="21"/>
      <c r="I321" s="21"/>
      <c r="J321" s="21"/>
      <c r="K321" s="21"/>
      <c r="L321" s="3"/>
      <c r="M321" s="3"/>
      <c r="N321" s="44"/>
      <c r="O321" s="124"/>
      <c r="P321" s="3"/>
    </row>
    <row r="322" spans="1:16" x14ac:dyDescent="0.25">
      <c r="A322" s="3"/>
      <c r="B322" s="3"/>
      <c r="C322" s="3"/>
      <c r="D322" s="3"/>
      <c r="E322" s="3"/>
      <c r="F322" s="3"/>
      <c r="G322" s="21"/>
      <c r="H322" s="21"/>
      <c r="I322" s="21"/>
      <c r="J322" s="21"/>
      <c r="K322" s="21"/>
      <c r="L322" s="3"/>
      <c r="M322" s="3"/>
      <c r="N322" s="44"/>
      <c r="O322" s="124"/>
      <c r="P322" s="3"/>
    </row>
    <row r="323" spans="1:16" x14ac:dyDescent="0.25">
      <c r="A323" s="3"/>
      <c r="B323" s="3"/>
      <c r="C323" s="3"/>
      <c r="D323" s="3"/>
      <c r="E323" s="3"/>
      <c r="F323" s="3"/>
      <c r="G323" s="21"/>
      <c r="H323" s="21"/>
      <c r="I323" s="21"/>
      <c r="J323" s="21"/>
      <c r="K323" s="21"/>
      <c r="L323" s="3"/>
      <c r="M323" s="3"/>
      <c r="N323" s="44"/>
      <c r="O323" s="124"/>
      <c r="P323" s="3"/>
    </row>
    <row r="324" spans="1:16" x14ac:dyDescent="0.25">
      <c r="A324" s="3"/>
      <c r="B324" s="3"/>
      <c r="C324" s="3"/>
      <c r="D324" s="3"/>
      <c r="E324" s="3"/>
      <c r="F324" s="3"/>
      <c r="G324" s="21"/>
      <c r="H324" s="21"/>
      <c r="I324" s="21"/>
      <c r="J324" s="21"/>
      <c r="K324" s="21"/>
      <c r="L324" s="3"/>
      <c r="M324" s="3"/>
      <c r="N324" s="44"/>
      <c r="O324" s="124"/>
      <c r="P324" s="3"/>
    </row>
    <row r="325" spans="1:16" x14ac:dyDescent="0.25">
      <c r="A325" s="3"/>
      <c r="B325" s="3"/>
      <c r="C325" s="3"/>
      <c r="D325" s="3"/>
      <c r="E325" s="3"/>
      <c r="F325" s="3"/>
      <c r="G325" s="21"/>
      <c r="H325" s="21"/>
      <c r="I325" s="21"/>
      <c r="J325" s="21"/>
      <c r="K325" s="21"/>
      <c r="L325" s="3"/>
      <c r="M325" s="3"/>
      <c r="N325" s="44"/>
      <c r="O325" s="124"/>
      <c r="P325" s="3"/>
    </row>
    <row r="326" spans="1:16" x14ac:dyDescent="0.25">
      <c r="A326" s="3"/>
      <c r="B326" s="3"/>
      <c r="C326" s="3"/>
      <c r="D326" s="3"/>
      <c r="E326" s="3"/>
      <c r="F326" s="3"/>
      <c r="G326" s="21"/>
      <c r="H326" s="21"/>
      <c r="I326" s="21"/>
      <c r="J326" s="21"/>
      <c r="K326" s="21"/>
      <c r="L326" s="3"/>
      <c r="M326" s="3"/>
      <c r="N326" s="44"/>
      <c r="O326" s="124"/>
      <c r="P326" s="3"/>
    </row>
    <row r="327" spans="1:16" x14ac:dyDescent="0.25">
      <c r="A327" s="3"/>
      <c r="B327" s="3"/>
      <c r="C327" s="3"/>
      <c r="D327" s="3"/>
      <c r="E327" s="3"/>
      <c r="F327" s="3"/>
      <c r="G327" s="21"/>
      <c r="H327" s="21"/>
      <c r="I327" s="21"/>
      <c r="J327" s="21"/>
      <c r="K327" s="21"/>
      <c r="L327" s="3"/>
      <c r="M327" s="3"/>
      <c r="N327" s="44"/>
      <c r="O327" s="124"/>
      <c r="P327" s="3"/>
    </row>
    <row r="328" spans="1:16" x14ac:dyDescent="0.25">
      <c r="A328" s="3"/>
      <c r="B328" s="3"/>
      <c r="C328" s="3"/>
      <c r="D328" s="3"/>
      <c r="E328" s="3"/>
      <c r="F328" s="3"/>
      <c r="G328" s="21"/>
      <c r="H328" s="21"/>
      <c r="I328" s="21"/>
      <c r="J328" s="21"/>
      <c r="K328" s="21"/>
      <c r="L328" s="3"/>
      <c r="M328" s="3"/>
      <c r="N328" s="44"/>
      <c r="O328" s="124"/>
      <c r="P328" s="3"/>
    </row>
    <row r="329" spans="1:16" x14ac:dyDescent="0.25">
      <c r="A329" s="3"/>
      <c r="B329" s="3"/>
      <c r="C329" s="3"/>
      <c r="D329" s="3"/>
      <c r="E329" s="3"/>
      <c r="F329" s="3"/>
      <c r="G329" s="21"/>
      <c r="H329" s="21"/>
      <c r="I329" s="21"/>
      <c r="J329" s="21"/>
      <c r="K329" s="21"/>
      <c r="L329" s="3"/>
      <c r="M329" s="3"/>
      <c r="N329" s="44"/>
      <c r="O329" s="124"/>
      <c r="P329" s="3"/>
    </row>
    <row r="330" spans="1:16" x14ac:dyDescent="0.25">
      <c r="A330" s="3"/>
      <c r="B330" s="3"/>
      <c r="C330" s="3"/>
      <c r="D330" s="3"/>
      <c r="E330" s="3"/>
      <c r="F330" s="3"/>
      <c r="G330" s="21"/>
      <c r="H330" s="21"/>
      <c r="I330" s="21"/>
      <c r="J330" s="21"/>
      <c r="K330" s="21"/>
      <c r="L330" s="3"/>
      <c r="M330" s="3"/>
      <c r="N330" s="44"/>
      <c r="O330" s="124"/>
      <c r="P330" s="3"/>
    </row>
    <row r="331" spans="1:16" x14ac:dyDescent="0.25">
      <c r="A331" s="3"/>
      <c r="B331" s="3"/>
      <c r="C331" s="3"/>
      <c r="D331" s="3"/>
      <c r="E331" s="3"/>
      <c r="F331" s="3"/>
      <c r="G331" s="21"/>
      <c r="H331" s="21"/>
      <c r="I331" s="21"/>
      <c r="J331" s="21"/>
      <c r="K331" s="21"/>
      <c r="L331" s="3"/>
      <c r="M331" s="3"/>
      <c r="N331" s="44"/>
      <c r="O331" s="124"/>
      <c r="P331" s="3"/>
    </row>
    <row r="332" spans="1:16" x14ac:dyDescent="0.25">
      <c r="A332" s="3"/>
      <c r="B332" s="3"/>
      <c r="C332" s="3"/>
      <c r="D332" s="3"/>
      <c r="E332" s="3"/>
      <c r="F332" s="3"/>
      <c r="G332" s="21"/>
      <c r="H332" s="21"/>
      <c r="I332" s="21"/>
      <c r="J332" s="21"/>
      <c r="K332" s="21"/>
      <c r="L332" s="3"/>
      <c r="M332" s="3"/>
      <c r="N332" s="44"/>
      <c r="O332" s="124"/>
      <c r="P332" s="3"/>
    </row>
    <row r="333" spans="1:16" x14ac:dyDescent="0.25">
      <c r="A333" s="3"/>
      <c r="B333" s="3"/>
      <c r="C333" s="3"/>
      <c r="D333" s="3"/>
      <c r="E333" s="3"/>
      <c r="F333" s="3"/>
      <c r="G333" s="21"/>
      <c r="H333" s="21"/>
      <c r="I333" s="21"/>
      <c r="J333" s="21"/>
      <c r="K333" s="21"/>
      <c r="L333" s="3"/>
      <c r="M333" s="3"/>
      <c r="N333" s="44"/>
      <c r="O333" s="124"/>
      <c r="P333" s="3"/>
    </row>
    <row r="334" spans="1:16" x14ac:dyDescent="0.25">
      <c r="A334" s="3"/>
      <c r="B334" s="3"/>
      <c r="C334" s="3"/>
      <c r="D334" s="3"/>
      <c r="E334" s="3"/>
      <c r="F334" s="3"/>
      <c r="G334" s="21"/>
      <c r="H334" s="21"/>
      <c r="I334" s="21"/>
      <c r="J334" s="21"/>
      <c r="K334" s="21"/>
      <c r="L334" s="3"/>
      <c r="M334" s="3"/>
      <c r="N334" s="44"/>
      <c r="O334" s="124"/>
      <c r="P334" s="3"/>
    </row>
    <row r="335" spans="1:16" x14ac:dyDescent="0.25">
      <c r="A335" s="3"/>
      <c r="B335" s="3"/>
      <c r="C335" s="3"/>
      <c r="D335" s="3"/>
      <c r="E335" s="3"/>
      <c r="F335" s="3"/>
      <c r="G335" s="21"/>
      <c r="H335" s="21"/>
      <c r="I335" s="21"/>
      <c r="J335" s="21"/>
      <c r="K335" s="21"/>
      <c r="L335" s="3"/>
      <c r="M335" s="3"/>
      <c r="N335" s="44"/>
      <c r="O335" s="124"/>
      <c r="P335" s="3"/>
    </row>
    <row r="336" spans="1:16" x14ac:dyDescent="0.25">
      <c r="A336" s="3"/>
      <c r="B336" s="3"/>
      <c r="C336" s="3"/>
      <c r="D336" s="3"/>
      <c r="E336" s="3"/>
      <c r="F336" s="3"/>
      <c r="G336" s="21"/>
      <c r="H336" s="21"/>
      <c r="I336" s="21"/>
      <c r="J336" s="21"/>
      <c r="K336" s="21"/>
      <c r="L336" s="3"/>
      <c r="M336" s="3"/>
      <c r="N336" s="44"/>
      <c r="O336" s="124"/>
      <c r="P336" s="3"/>
    </row>
    <row r="337" spans="1:16" x14ac:dyDescent="0.25">
      <c r="A337" s="3"/>
      <c r="B337" s="3"/>
      <c r="C337" s="3"/>
      <c r="D337" s="3"/>
      <c r="E337" s="3"/>
      <c r="F337" s="3"/>
      <c r="G337" s="21"/>
      <c r="H337" s="21"/>
      <c r="I337" s="21"/>
      <c r="J337" s="21"/>
      <c r="K337" s="21"/>
      <c r="L337" s="3"/>
      <c r="M337" s="3"/>
      <c r="N337" s="44"/>
      <c r="O337" s="124"/>
      <c r="P337" s="3"/>
    </row>
    <row r="338" spans="1:16" x14ac:dyDescent="0.25">
      <c r="A338" s="3"/>
      <c r="B338" s="3"/>
      <c r="C338" s="3"/>
      <c r="D338" s="3"/>
      <c r="E338" s="3"/>
      <c r="F338" s="3"/>
      <c r="G338" s="21"/>
      <c r="H338" s="21"/>
      <c r="I338" s="21"/>
      <c r="J338" s="21"/>
      <c r="K338" s="21"/>
      <c r="L338" s="3"/>
      <c r="M338" s="3"/>
      <c r="N338" s="44"/>
      <c r="O338" s="124"/>
      <c r="P338" s="3"/>
    </row>
    <row r="339" spans="1:16" x14ac:dyDescent="0.25">
      <c r="A339" s="3"/>
      <c r="B339" s="3"/>
      <c r="C339" s="3"/>
      <c r="D339" s="3"/>
      <c r="E339" s="3"/>
      <c r="F339" s="3"/>
      <c r="G339" s="21"/>
      <c r="H339" s="21"/>
      <c r="I339" s="21"/>
      <c r="J339" s="21"/>
      <c r="K339" s="21"/>
      <c r="L339" s="3"/>
      <c r="M339" s="3"/>
      <c r="N339" s="44"/>
      <c r="O339" s="124"/>
      <c r="P339" s="3"/>
    </row>
    <row r="340" spans="1:16" x14ac:dyDescent="0.25">
      <c r="A340" s="3"/>
      <c r="B340" s="3"/>
      <c r="C340" s="3"/>
      <c r="D340" s="3"/>
      <c r="E340" s="3"/>
      <c r="F340" s="3"/>
      <c r="G340" s="21"/>
      <c r="H340" s="21"/>
      <c r="I340" s="21"/>
      <c r="J340" s="21"/>
      <c r="K340" s="21"/>
      <c r="L340" s="3"/>
      <c r="M340" s="3"/>
      <c r="N340" s="44"/>
      <c r="O340" s="124"/>
      <c r="P340" s="3"/>
    </row>
    <row r="341" spans="1:16" x14ac:dyDescent="0.25">
      <c r="A341" s="3"/>
      <c r="B341" s="3"/>
      <c r="C341" s="3"/>
      <c r="D341" s="3"/>
      <c r="E341" s="3"/>
      <c r="F341" s="3"/>
      <c r="G341" s="21"/>
      <c r="H341" s="21"/>
      <c r="I341" s="21"/>
      <c r="J341" s="21"/>
      <c r="K341" s="21"/>
      <c r="L341" s="3"/>
      <c r="M341" s="3"/>
      <c r="N341" s="44"/>
      <c r="O341" s="124"/>
      <c r="P341" s="3"/>
    </row>
    <row r="342" spans="1:16" x14ac:dyDescent="0.25">
      <c r="A342" s="3"/>
      <c r="B342" s="3"/>
      <c r="C342" s="3"/>
      <c r="D342" s="3"/>
      <c r="E342" s="3"/>
      <c r="F342" s="3"/>
      <c r="G342" s="21"/>
      <c r="H342" s="21"/>
      <c r="I342" s="21"/>
      <c r="J342" s="21"/>
      <c r="K342" s="21"/>
      <c r="L342" s="3"/>
      <c r="M342" s="3"/>
      <c r="N342" s="44"/>
      <c r="O342" s="124"/>
      <c r="P342" s="3"/>
    </row>
    <row r="343" spans="1:16" x14ac:dyDescent="0.25">
      <c r="A343" s="3"/>
      <c r="B343" s="3"/>
      <c r="C343" s="3"/>
      <c r="D343" s="3"/>
      <c r="E343" s="3"/>
      <c r="F343" s="3"/>
      <c r="G343" s="21"/>
      <c r="H343" s="21"/>
      <c r="I343" s="21"/>
      <c r="J343" s="21"/>
      <c r="K343" s="21"/>
      <c r="L343" s="3"/>
      <c r="M343" s="3"/>
      <c r="N343" s="44"/>
      <c r="O343" s="124"/>
      <c r="P343" s="3"/>
    </row>
    <row r="344" spans="1:16" x14ac:dyDescent="0.25">
      <c r="A344" s="3"/>
      <c r="B344" s="3"/>
      <c r="C344" s="3"/>
      <c r="D344" s="3"/>
      <c r="E344" s="3"/>
      <c r="F344" s="3"/>
      <c r="G344" s="21"/>
      <c r="H344" s="21"/>
      <c r="I344" s="21"/>
      <c r="J344" s="21"/>
      <c r="K344" s="21"/>
      <c r="L344" s="3"/>
      <c r="M344" s="3"/>
      <c r="N344" s="44"/>
      <c r="O344" s="124"/>
      <c r="P344" s="3"/>
    </row>
    <row r="345" spans="1:16" x14ac:dyDescent="0.25">
      <c r="A345" s="3"/>
      <c r="B345" s="3"/>
      <c r="C345" s="3"/>
      <c r="D345" s="3"/>
      <c r="E345" s="3"/>
      <c r="F345" s="3"/>
      <c r="G345" s="21"/>
      <c r="H345" s="21"/>
      <c r="I345" s="21"/>
      <c r="J345" s="21"/>
      <c r="K345" s="21"/>
      <c r="L345" s="3"/>
      <c r="M345" s="3"/>
      <c r="N345" s="44"/>
      <c r="O345" s="124"/>
      <c r="P345" s="3"/>
    </row>
    <row r="346" spans="1:16" x14ac:dyDescent="0.25">
      <c r="A346" s="3"/>
      <c r="B346" s="3"/>
      <c r="C346" s="3"/>
      <c r="D346" s="3"/>
      <c r="E346" s="3"/>
      <c r="F346" s="3"/>
      <c r="G346" s="21"/>
      <c r="H346" s="21"/>
      <c r="I346" s="21"/>
      <c r="J346" s="21"/>
      <c r="K346" s="21"/>
      <c r="L346" s="3"/>
      <c r="M346" s="3"/>
      <c r="N346" s="44"/>
      <c r="O346" s="124"/>
      <c r="P346" s="3"/>
    </row>
    <row r="347" spans="1:16" x14ac:dyDescent="0.25">
      <c r="A347" s="3"/>
      <c r="B347" s="3"/>
      <c r="C347" s="3"/>
      <c r="D347" s="3"/>
      <c r="E347" s="3"/>
      <c r="F347" s="3"/>
      <c r="G347" s="21"/>
      <c r="H347" s="21"/>
      <c r="I347" s="21"/>
      <c r="J347" s="21"/>
      <c r="K347" s="21"/>
      <c r="L347" s="3"/>
      <c r="M347" s="3"/>
      <c r="N347" s="44"/>
      <c r="O347" s="124"/>
      <c r="P347" s="3"/>
    </row>
    <row r="348" spans="1:16" x14ac:dyDescent="0.25">
      <c r="A348" s="3"/>
      <c r="B348" s="3"/>
      <c r="C348" s="3"/>
      <c r="D348" s="3"/>
      <c r="E348" s="3"/>
      <c r="F348" s="3"/>
      <c r="G348" s="21"/>
      <c r="H348" s="21"/>
      <c r="I348" s="21"/>
      <c r="J348" s="21"/>
      <c r="K348" s="21"/>
      <c r="L348" s="3"/>
      <c r="M348" s="3"/>
      <c r="N348" s="44"/>
      <c r="O348" s="124"/>
      <c r="P348" s="3"/>
    </row>
    <row r="349" spans="1:16" x14ac:dyDescent="0.25">
      <c r="A349" s="3"/>
      <c r="B349" s="3"/>
      <c r="C349" s="3"/>
      <c r="D349" s="3"/>
      <c r="E349" s="3"/>
      <c r="F349" s="3"/>
      <c r="G349" s="21"/>
      <c r="H349" s="21"/>
      <c r="I349" s="21"/>
      <c r="J349" s="21"/>
      <c r="K349" s="21"/>
      <c r="L349" s="3"/>
      <c r="M349" s="3"/>
      <c r="N349" s="44"/>
      <c r="O349" s="124"/>
      <c r="P349" s="3"/>
    </row>
    <row r="350" spans="1:16" x14ac:dyDescent="0.25">
      <c r="A350" s="3"/>
      <c r="B350" s="3"/>
      <c r="C350" s="3"/>
      <c r="D350" s="3"/>
      <c r="E350" s="3"/>
      <c r="F350" s="3"/>
      <c r="G350" s="21"/>
      <c r="H350" s="21"/>
      <c r="I350" s="21"/>
      <c r="J350" s="21"/>
      <c r="K350" s="21"/>
      <c r="L350" s="3"/>
      <c r="M350" s="3"/>
      <c r="N350" s="44"/>
      <c r="O350" s="124"/>
      <c r="P350" s="3"/>
    </row>
    <row r="351" spans="1:16" x14ac:dyDescent="0.25">
      <c r="A351" s="3"/>
      <c r="B351" s="3"/>
      <c r="C351" s="3"/>
      <c r="D351" s="3"/>
      <c r="E351" s="3"/>
      <c r="F351" s="3"/>
      <c r="G351" s="21"/>
      <c r="H351" s="21"/>
      <c r="I351" s="21"/>
      <c r="J351" s="21"/>
      <c r="K351" s="21"/>
      <c r="L351" s="3"/>
      <c r="M351" s="3"/>
      <c r="N351" s="44"/>
      <c r="O351" s="124"/>
      <c r="P351" s="3"/>
    </row>
    <row r="352" spans="1:16" x14ac:dyDescent="0.25">
      <c r="A352" s="3"/>
      <c r="B352" s="3"/>
      <c r="C352" s="3"/>
      <c r="D352" s="3"/>
      <c r="E352" s="3"/>
      <c r="F352" s="3"/>
      <c r="G352" s="21"/>
      <c r="H352" s="21"/>
      <c r="I352" s="21"/>
      <c r="J352" s="21"/>
      <c r="K352" s="21"/>
      <c r="L352" s="3"/>
      <c r="M352" s="3"/>
      <c r="N352" s="44"/>
      <c r="O352" s="124"/>
      <c r="P352" s="3"/>
    </row>
    <row r="353" spans="1:16" x14ac:dyDescent="0.25">
      <c r="A353" s="3"/>
      <c r="B353" s="3"/>
      <c r="C353" s="3"/>
      <c r="D353" s="3"/>
      <c r="E353" s="3"/>
      <c r="F353" s="3"/>
      <c r="G353" s="21"/>
      <c r="H353" s="21"/>
      <c r="I353" s="21"/>
      <c r="J353" s="21"/>
      <c r="K353" s="21"/>
      <c r="L353" s="3"/>
      <c r="M353" s="3"/>
      <c r="N353" s="44"/>
      <c r="O353" s="124"/>
      <c r="P353" s="3"/>
    </row>
    <row r="354" spans="1:16" x14ac:dyDescent="0.25">
      <c r="A354" s="3"/>
      <c r="B354" s="3"/>
      <c r="C354" s="3"/>
      <c r="D354" s="3"/>
      <c r="E354" s="3"/>
      <c r="F354" s="3"/>
      <c r="G354" s="21"/>
      <c r="H354" s="21"/>
      <c r="I354" s="21"/>
      <c r="J354" s="21"/>
      <c r="K354" s="21"/>
      <c r="L354" s="3"/>
      <c r="M354" s="3"/>
      <c r="N354" s="44"/>
      <c r="O354" s="124"/>
      <c r="P354" s="3"/>
    </row>
    <row r="355" spans="1:16" x14ac:dyDescent="0.25">
      <c r="A355" s="3"/>
      <c r="B355" s="3"/>
      <c r="C355" s="3"/>
      <c r="D355" s="3"/>
      <c r="E355" s="3"/>
      <c r="F355" s="3"/>
      <c r="G355" s="21"/>
      <c r="H355" s="21"/>
      <c r="I355" s="21"/>
      <c r="J355" s="21"/>
      <c r="K355" s="21"/>
      <c r="L355" s="3"/>
      <c r="M355" s="3"/>
      <c r="N355" s="44"/>
      <c r="O355" s="124"/>
      <c r="P355" s="3"/>
    </row>
    <row r="356" spans="1:16" x14ac:dyDescent="0.25">
      <c r="A356" s="3"/>
      <c r="B356" s="3"/>
      <c r="C356" s="3"/>
      <c r="D356" s="3"/>
      <c r="E356" s="3"/>
      <c r="F356" s="3"/>
      <c r="G356" s="21"/>
      <c r="H356" s="21"/>
      <c r="I356" s="21"/>
      <c r="J356" s="21"/>
      <c r="K356" s="21"/>
      <c r="L356" s="3"/>
      <c r="M356" s="3"/>
      <c r="N356" s="44"/>
      <c r="O356" s="124"/>
      <c r="P356" s="3"/>
    </row>
    <row r="357" spans="1:16" x14ac:dyDescent="0.25">
      <c r="A357" s="3"/>
      <c r="B357" s="3"/>
      <c r="C357" s="3"/>
      <c r="D357" s="3"/>
      <c r="E357" s="3"/>
      <c r="F357" s="3"/>
      <c r="G357" s="21"/>
      <c r="H357" s="21"/>
      <c r="I357" s="21"/>
      <c r="J357" s="21"/>
      <c r="K357" s="21"/>
      <c r="L357" s="3"/>
      <c r="M357" s="3"/>
      <c r="N357" s="44"/>
      <c r="O357" s="124"/>
      <c r="P357" s="3"/>
    </row>
    <row r="358" spans="1:16" x14ac:dyDescent="0.25">
      <c r="A358" s="3"/>
      <c r="B358" s="3"/>
      <c r="C358" s="3"/>
      <c r="D358" s="3"/>
      <c r="E358" s="3"/>
      <c r="F358" s="3"/>
      <c r="G358" s="21"/>
      <c r="H358" s="21"/>
      <c r="I358" s="21"/>
      <c r="J358" s="21"/>
      <c r="K358" s="21"/>
      <c r="L358" s="3"/>
      <c r="M358" s="3"/>
      <c r="N358" s="44"/>
      <c r="O358" s="124"/>
      <c r="P358" s="3"/>
    </row>
    <row r="359" spans="1:16" x14ac:dyDescent="0.25">
      <c r="A359" s="3"/>
      <c r="B359" s="3"/>
      <c r="C359" s="3"/>
      <c r="D359" s="3"/>
      <c r="E359" s="3"/>
      <c r="F359" s="3"/>
      <c r="G359" s="21"/>
      <c r="H359" s="21"/>
      <c r="I359" s="21"/>
      <c r="J359" s="21"/>
      <c r="K359" s="21"/>
      <c r="L359" s="3"/>
      <c r="M359" s="3"/>
      <c r="N359" s="44"/>
      <c r="O359" s="124"/>
      <c r="P359" s="3"/>
    </row>
    <row r="360" spans="1:16" x14ac:dyDescent="0.25">
      <c r="A360" s="3"/>
      <c r="B360" s="3"/>
      <c r="C360" s="3"/>
      <c r="D360" s="3"/>
      <c r="E360" s="3"/>
      <c r="F360" s="3"/>
      <c r="G360" s="21"/>
      <c r="H360" s="21"/>
      <c r="I360" s="21"/>
      <c r="J360" s="21"/>
      <c r="K360" s="21"/>
      <c r="L360" s="3"/>
      <c r="M360" s="3"/>
      <c r="N360" s="44"/>
      <c r="O360" s="124"/>
      <c r="P360" s="3"/>
    </row>
    <row r="361" spans="1:16" x14ac:dyDescent="0.25">
      <c r="A361" s="3"/>
      <c r="B361" s="3"/>
      <c r="C361" s="3"/>
      <c r="D361" s="3"/>
      <c r="E361" s="3"/>
      <c r="F361" s="3"/>
      <c r="G361" s="21"/>
      <c r="H361" s="21"/>
      <c r="I361" s="21"/>
      <c r="J361" s="21"/>
      <c r="K361" s="21"/>
      <c r="L361" s="3"/>
      <c r="M361" s="3"/>
      <c r="N361" s="44"/>
      <c r="O361" s="124"/>
      <c r="P361" s="3"/>
    </row>
    <row r="362" spans="1:16" x14ac:dyDescent="0.25">
      <c r="A362" s="3"/>
      <c r="B362" s="3"/>
      <c r="C362" s="3"/>
      <c r="D362" s="3"/>
      <c r="E362" s="3"/>
      <c r="F362" s="3"/>
      <c r="G362" s="21"/>
      <c r="H362" s="21"/>
      <c r="I362" s="21"/>
      <c r="J362" s="21"/>
      <c r="K362" s="21"/>
      <c r="L362" s="3"/>
      <c r="M362" s="3"/>
      <c r="N362" s="44"/>
      <c r="O362" s="124"/>
      <c r="P362" s="3"/>
    </row>
    <row r="363" spans="1:16" x14ac:dyDescent="0.25">
      <c r="A363" s="3"/>
      <c r="B363" s="3"/>
      <c r="C363" s="3"/>
      <c r="D363" s="3"/>
      <c r="E363" s="3"/>
      <c r="F363" s="3"/>
      <c r="G363" s="21"/>
      <c r="H363" s="21"/>
      <c r="I363" s="21"/>
      <c r="J363" s="21"/>
      <c r="K363" s="21"/>
      <c r="L363" s="3"/>
      <c r="M363" s="3"/>
      <c r="N363" s="44"/>
      <c r="O363" s="124"/>
      <c r="P363" s="3"/>
    </row>
    <row r="364" spans="1:16" x14ac:dyDescent="0.25">
      <c r="A364" s="3"/>
      <c r="B364" s="3"/>
      <c r="C364" s="3"/>
      <c r="D364" s="3"/>
      <c r="E364" s="3"/>
      <c r="F364" s="3"/>
      <c r="G364" s="21"/>
      <c r="H364" s="21"/>
      <c r="I364" s="21"/>
      <c r="J364" s="21"/>
      <c r="K364" s="21"/>
      <c r="L364" s="3"/>
      <c r="M364" s="3"/>
      <c r="N364" s="44"/>
      <c r="O364" s="124"/>
      <c r="P364" s="3"/>
    </row>
    <row r="365" spans="1:16" x14ac:dyDescent="0.25">
      <c r="A365" s="3"/>
      <c r="B365" s="3"/>
      <c r="C365" s="3"/>
      <c r="D365" s="3"/>
      <c r="E365" s="3"/>
      <c r="F365" s="3"/>
      <c r="G365" s="21"/>
      <c r="H365" s="21"/>
      <c r="I365" s="21"/>
      <c r="J365" s="21"/>
      <c r="K365" s="21"/>
      <c r="L365" s="3"/>
      <c r="M365" s="3"/>
      <c r="N365" s="44"/>
      <c r="O365" s="124"/>
      <c r="P365" s="3"/>
    </row>
    <row r="366" spans="1:16" x14ac:dyDescent="0.25">
      <c r="A366" s="3"/>
      <c r="B366" s="3"/>
      <c r="C366" s="3"/>
      <c r="D366" s="3"/>
      <c r="E366" s="3"/>
      <c r="F366" s="3"/>
      <c r="G366" s="21"/>
      <c r="H366" s="21"/>
      <c r="I366" s="21"/>
      <c r="J366" s="21"/>
      <c r="K366" s="21"/>
      <c r="L366" s="3"/>
      <c r="M366" s="3"/>
      <c r="N366" s="44"/>
      <c r="O366" s="124"/>
      <c r="P366" s="3"/>
    </row>
    <row r="367" spans="1:16" x14ac:dyDescent="0.25">
      <c r="A367" s="3"/>
      <c r="B367" s="3"/>
      <c r="C367" s="3"/>
      <c r="D367" s="3"/>
      <c r="E367" s="3"/>
      <c r="F367" s="3"/>
      <c r="G367" s="21"/>
      <c r="H367" s="21"/>
      <c r="I367" s="21"/>
      <c r="J367" s="21"/>
      <c r="K367" s="21"/>
      <c r="L367" s="3"/>
      <c r="M367" s="3"/>
      <c r="N367" s="44"/>
      <c r="O367" s="124"/>
      <c r="P367" s="3"/>
    </row>
    <row r="368" spans="1:16" x14ac:dyDescent="0.25">
      <c r="A368" s="3"/>
      <c r="B368" s="3"/>
      <c r="C368" s="3"/>
      <c r="D368" s="3"/>
      <c r="E368" s="3"/>
      <c r="F368" s="3"/>
      <c r="G368" s="21"/>
      <c r="H368" s="21"/>
      <c r="I368" s="21"/>
      <c r="J368" s="21"/>
      <c r="K368" s="21"/>
      <c r="L368" s="3"/>
      <c r="M368" s="3"/>
      <c r="N368" s="44"/>
      <c r="O368" s="124"/>
      <c r="P368" s="3"/>
    </row>
    <row r="369" spans="1:16" x14ac:dyDescent="0.25">
      <c r="A369" s="3"/>
      <c r="B369" s="3"/>
      <c r="C369" s="3"/>
      <c r="D369" s="3"/>
      <c r="E369" s="3"/>
      <c r="F369" s="3"/>
      <c r="G369" s="21"/>
      <c r="H369" s="21"/>
      <c r="I369" s="21"/>
      <c r="J369" s="21"/>
      <c r="K369" s="21"/>
      <c r="L369" s="3"/>
      <c r="M369" s="3"/>
      <c r="N369" s="44"/>
      <c r="O369" s="124"/>
      <c r="P369" s="3"/>
    </row>
    <row r="370" spans="1:16" x14ac:dyDescent="0.25">
      <c r="A370" s="3"/>
      <c r="B370" s="3"/>
      <c r="C370" s="3"/>
      <c r="D370" s="3"/>
      <c r="E370" s="3"/>
      <c r="F370" s="3"/>
      <c r="G370" s="21"/>
      <c r="H370" s="21"/>
      <c r="I370" s="21"/>
      <c r="J370" s="21"/>
      <c r="K370" s="21"/>
      <c r="L370" s="3"/>
      <c r="M370" s="3"/>
      <c r="N370" s="44"/>
      <c r="O370" s="124"/>
      <c r="P370" s="3"/>
    </row>
    <row r="371" spans="1:16" x14ac:dyDescent="0.25">
      <c r="A371" s="3"/>
      <c r="B371" s="3"/>
      <c r="C371" s="3"/>
      <c r="D371" s="3"/>
      <c r="E371" s="3"/>
      <c r="F371" s="3"/>
      <c r="G371" s="21"/>
      <c r="H371" s="21"/>
      <c r="I371" s="21"/>
      <c r="J371" s="21"/>
      <c r="K371" s="21"/>
      <c r="L371" s="3"/>
      <c r="M371" s="3"/>
      <c r="N371" s="44"/>
      <c r="O371" s="124"/>
      <c r="P371" s="3"/>
    </row>
    <row r="372" spans="1:16" x14ac:dyDescent="0.25">
      <c r="A372" s="3"/>
      <c r="B372" s="3"/>
      <c r="C372" s="3"/>
      <c r="D372" s="3"/>
      <c r="E372" s="3"/>
      <c r="F372" s="3"/>
      <c r="G372" s="21"/>
      <c r="H372" s="21"/>
      <c r="I372" s="21"/>
      <c r="J372" s="21"/>
      <c r="K372" s="21"/>
      <c r="L372" s="3"/>
      <c r="M372" s="3"/>
      <c r="N372" s="44"/>
      <c r="O372" s="124"/>
      <c r="P372" s="3"/>
    </row>
    <row r="373" spans="1:16" x14ac:dyDescent="0.25">
      <c r="A373" s="3"/>
      <c r="B373" s="3"/>
      <c r="C373" s="3"/>
      <c r="D373" s="3"/>
      <c r="E373" s="3"/>
      <c r="F373" s="3"/>
      <c r="G373" s="21"/>
      <c r="H373" s="21"/>
      <c r="I373" s="21"/>
      <c r="J373" s="21"/>
      <c r="K373" s="21"/>
      <c r="L373" s="3"/>
      <c r="M373" s="3"/>
      <c r="N373" s="44"/>
      <c r="O373" s="124"/>
      <c r="P373" s="3"/>
    </row>
    <row r="374" spans="1:16" x14ac:dyDescent="0.25">
      <c r="A374" s="3"/>
      <c r="B374" s="3"/>
      <c r="C374" s="3"/>
      <c r="D374" s="3"/>
      <c r="E374" s="3"/>
      <c r="F374" s="3"/>
      <c r="G374" s="21"/>
      <c r="H374" s="21"/>
      <c r="I374" s="21"/>
      <c r="J374" s="21"/>
      <c r="K374" s="21"/>
      <c r="L374" s="3"/>
      <c r="M374" s="3"/>
      <c r="N374" s="44"/>
      <c r="O374" s="124"/>
      <c r="P374" s="3"/>
    </row>
    <row r="375" spans="1:16" x14ac:dyDescent="0.25">
      <c r="A375" s="3"/>
      <c r="B375" s="3"/>
      <c r="C375" s="3"/>
      <c r="D375" s="3"/>
      <c r="E375" s="3"/>
      <c r="F375" s="3"/>
      <c r="G375" s="21"/>
      <c r="H375" s="21"/>
      <c r="I375" s="21"/>
      <c r="J375" s="21"/>
      <c r="K375" s="21"/>
      <c r="L375" s="3"/>
      <c r="M375" s="3"/>
      <c r="N375" s="44"/>
      <c r="O375" s="124"/>
      <c r="P375" s="3"/>
    </row>
    <row r="376" spans="1:16" x14ac:dyDescent="0.25">
      <c r="A376" s="3"/>
      <c r="B376" s="3"/>
      <c r="C376" s="3"/>
      <c r="D376" s="3"/>
      <c r="E376" s="3"/>
      <c r="F376" s="3"/>
      <c r="G376" s="21"/>
      <c r="H376" s="21"/>
      <c r="I376" s="21"/>
      <c r="J376" s="21"/>
      <c r="K376" s="21"/>
      <c r="L376" s="3"/>
      <c r="M376" s="3"/>
      <c r="N376" s="44"/>
      <c r="O376" s="124"/>
      <c r="P376" s="3"/>
    </row>
    <row r="377" spans="1:16" x14ac:dyDescent="0.25">
      <c r="A377" s="3"/>
      <c r="B377" s="3"/>
      <c r="C377" s="3"/>
      <c r="D377" s="3"/>
      <c r="E377" s="3"/>
      <c r="F377" s="3"/>
      <c r="G377" s="21"/>
      <c r="H377" s="21"/>
      <c r="I377" s="21"/>
      <c r="J377" s="21"/>
      <c r="K377" s="21"/>
      <c r="L377" s="3"/>
      <c r="M377" s="3"/>
      <c r="N377" s="44"/>
      <c r="O377" s="124"/>
      <c r="P377" s="3"/>
    </row>
    <row r="378" spans="1:16" x14ac:dyDescent="0.25">
      <c r="A378" s="3"/>
      <c r="B378" s="3"/>
      <c r="C378" s="3"/>
      <c r="D378" s="3"/>
      <c r="E378" s="3"/>
      <c r="F378" s="3"/>
      <c r="G378" s="21"/>
      <c r="H378" s="21"/>
      <c r="I378" s="21"/>
      <c r="J378" s="21"/>
      <c r="K378" s="21"/>
      <c r="L378" s="3"/>
      <c r="M378" s="3"/>
      <c r="N378" s="44"/>
      <c r="O378" s="124"/>
      <c r="P378" s="3"/>
    </row>
    <row r="379" spans="1:16" x14ac:dyDescent="0.25">
      <c r="A379" s="3"/>
      <c r="B379" s="3"/>
      <c r="C379" s="3"/>
      <c r="D379" s="3"/>
      <c r="E379" s="3"/>
      <c r="F379" s="3"/>
      <c r="G379" s="21"/>
      <c r="H379" s="21"/>
      <c r="I379" s="21"/>
      <c r="J379" s="21"/>
      <c r="K379" s="21"/>
      <c r="L379" s="3"/>
      <c r="M379" s="3"/>
      <c r="N379" s="44"/>
      <c r="O379" s="124"/>
      <c r="P379" s="3"/>
    </row>
    <row r="380" spans="1:16" x14ac:dyDescent="0.25">
      <c r="A380" s="3"/>
      <c r="B380" s="3"/>
      <c r="C380" s="3"/>
      <c r="D380" s="3"/>
      <c r="E380" s="3"/>
      <c r="F380" s="3"/>
      <c r="G380" s="21"/>
      <c r="H380" s="21"/>
      <c r="I380" s="21"/>
      <c r="J380" s="21"/>
      <c r="K380" s="21"/>
      <c r="L380" s="3"/>
      <c r="M380" s="3"/>
      <c r="N380" s="44"/>
      <c r="O380" s="124"/>
      <c r="P380" s="3"/>
    </row>
    <row r="381" spans="1:16" x14ac:dyDescent="0.25">
      <c r="A381" s="3"/>
      <c r="B381" s="3"/>
      <c r="C381" s="3"/>
      <c r="D381" s="3"/>
      <c r="E381" s="3"/>
      <c r="F381" s="3"/>
      <c r="G381" s="21"/>
      <c r="H381" s="21"/>
      <c r="I381" s="21"/>
      <c r="J381" s="21"/>
      <c r="K381" s="21"/>
      <c r="L381" s="3"/>
      <c r="M381" s="3"/>
      <c r="N381" s="44"/>
      <c r="O381" s="124"/>
      <c r="P381" s="3"/>
    </row>
    <row r="382" spans="1:16" x14ac:dyDescent="0.25">
      <c r="A382" s="3"/>
      <c r="B382" s="3"/>
      <c r="C382" s="3"/>
      <c r="D382" s="3"/>
      <c r="E382" s="3"/>
      <c r="F382" s="3"/>
      <c r="G382" s="21"/>
      <c r="H382" s="21"/>
      <c r="I382" s="21"/>
      <c r="J382" s="21"/>
      <c r="K382" s="21"/>
      <c r="L382" s="3"/>
      <c r="M382" s="3"/>
      <c r="N382" s="44"/>
      <c r="O382" s="124"/>
      <c r="P382" s="3"/>
    </row>
    <row r="383" spans="1:16" x14ac:dyDescent="0.25">
      <c r="A383" s="3"/>
      <c r="B383" s="3"/>
      <c r="C383" s="3"/>
      <c r="D383" s="3"/>
      <c r="E383" s="3"/>
      <c r="F383" s="3"/>
      <c r="G383" s="21"/>
      <c r="H383" s="21"/>
      <c r="I383" s="21"/>
      <c r="J383" s="21"/>
      <c r="K383" s="21"/>
      <c r="L383" s="3"/>
      <c r="M383" s="3"/>
      <c r="N383" s="44"/>
      <c r="O383" s="124"/>
      <c r="P383" s="3"/>
    </row>
    <row r="384" spans="1:16" x14ac:dyDescent="0.25">
      <c r="A384" s="3"/>
      <c r="B384" s="3"/>
      <c r="C384" s="3"/>
      <c r="D384" s="3"/>
      <c r="E384" s="3"/>
      <c r="F384" s="3"/>
      <c r="G384" s="21"/>
      <c r="H384" s="21"/>
      <c r="I384" s="21"/>
      <c r="J384" s="21"/>
      <c r="K384" s="21"/>
      <c r="L384" s="3"/>
      <c r="M384" s="3"/>
      <c r="N384" s="44"/>
      <c r="O384" s="124"/>
      <c r="P384" s="3"/>
    </row>
    <row r="385" spans="1:16" x14ac:dyDescent="0.25">
      <c r="A385" s="3"/>
      <c r="B385" s="3"/>
      <c r="C385" s="3"/>
      <c r="D385" s="3"/>
      <c r="E385" s="3"/>
      <c r="F385" s="3"/>
      <c r="G385" s="21"/>
      <c r="H385" s="21"/>
      <c r="I385" s="21"/>
      <c r="J385" s="21"/>
      <c r="K385" s="21"/>
      <c r="L385" s="3"/>
      <c r="M385" s="3"/>
      <c r="N385" s="44"/>
      <c r="O385" s="124"/>
      <c r="P385" s="3"/>
    </row>
    <row r="386" spans="1:16" x14ac:dyDescent="0.25">
      <c r="A386" s="3"/>
      <c r="B386" s="3"/>
      <c r="C386" s="3"/>
      <c r="D386" s="3"/>
      <c r="E386" s="3"/>
      <c r="F386" s="3"/>
      <c r="G386" s="21"/>
      <c r="H386" s="21"/>
      <c r="I386" s="21"/>
      <c r="J386" s="21"/>
      <c r="K386" s="21"/>
      <c r="L386" s="3"/>
      <c r="M386" s="3"/>
      <c r="N386" s="44"/>
      <c r="O386" s="124"/>
      <c r="P386" s="3"/>
    </row>
    <row r="387" spans="1:16" x14ac:dyDescent="0.25">
      <c r="A387" s="3"/>
      <c r="B387" s="3"/>
      <c r="C387" s="3"/>
      <c r="D387" s="3"/>
      <c r="E387" s="3"/>
      <c r="F387" s="3"/>
      <c r="G387" s="21"/>
      <c r="H387" s="21"/>
      <c r="I387" s="21"/>
      <c r="J387" s="21"/>
      <c r="K387" s="21"/>
      <c r="L387" s="3"/>
      <c r="M387" s="3"/>
      <c r="N387" s="44"/>
      <c r="O387" s="124"/>
      <c r="P387" s="3"/>
    </row>
    <row r="388" spans="1:16" x14ac:dyDescent="0.25">
      <c r="A388" s="3"/>
      <c r="B388" s="3"/>
      <c r="C388" s="3"/>
      <c r="D388" s="3"/>
      <c r="E388" s="3"/>
      <c r="F388" s="3"/>
      <c r="G388" s="21"/>
      <c r="H388" s="21"/>
      <c r="I388" s="21"/>
      <c r="J388" s="21"/>
      <c r="K388" s="21"/>
      <c r="L388" s="3"/>
      <c r="M388" s="3"/>
      <c r="N388" s="44"/>
      <c r="O388" s="124"/>
      <c r="P388" s="3"/>
    </row>
    <row r="1047955" spans="2:2" x14ac:dyDescent="0.25">
      <c r="B1047955" s="261">
        <v>44173</v>
      </c>
    </row>
  </sheetData>
  <autoFilter ref="A1:A269" xr:uid="{B35D96B6-14F3-4CF2-972B-466064AFA037}"/>
  <phoneticPr fontId="19" type="noConversion"/>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EB7D5-D80D-44D9-B640-0681A29CE67F}">
  <dimension ref="A1:BC274"/>
  <sheetViews>
    <sheetView topLeftCell="A76" zoomScale="80" zoomScaleNormal="80" workbookViewId="0">
      <selection activeCell="A109" sqref="A109"/>
    </sheetView>
  </sheetViews>
  <sheetFormatPr baseColWidth="10" defaultColWidth="8.83203125" defaultRowHeight="16" x14ac:dyDescent="0.2"/>
  <cols>
    <col min="1" max="1" width="13" customWidth="1"/>
    <col min="2" max="2" width="11" customWidth="1"/>
    <col min="3" max="3" width="15.33203125" customWidth="1"/>
    <col min="4" max="4" width="11.33203125" customWidth="1"/>
    <col min="5" max="5" width="12.5" customWidth="1"/>
    <col min="6" max="6" width="15.33203125" customWidth="1"/>
    <col min="7" max="7" width="14" customWidth="1"/>
    <col min="8" max="8" width="11.83203125" customWidth="1"/>
    <col min="9" max="9" width="10.6640625" customWidth="1"/>
    <col min="10" max="10" width="13" customWidth="1"/>
    <col min="11" max="11" width="14.83203125" customWidth="1"/>
    <col min="12" max="12" width="10.1640625" customWidth="1"/>
    <col min="13" max="13" width="11.1640625" customWidth="1"/>
    <col min="14" max="14" width="15.83203125" customWidth="1"/>
    <col min="15" max="15" width="16.1640625" customWidth="1"/>
    <col min="16" max="16" width="14.33203125" customWidth="1"/>
    <col min="17" max="17" width="32.6640625" customWidth="1"/>
  </cols>
  <sheetData>
    <row r="1" spans="1:17" ht="21" x14ac:dyDescent="0.25">
      <c r="A1" s="139" t="s">
        <v>108</v>
      </c>
      <c r="B1" s="139" t="s">
        <v>107</v>
      </c>
      <c r="C1" s="139" t="s">
        <v>152</v>
      </c>
      <c r="D1" s="139" t="s">
        <v>153</v>
      </c>
      <c r="E1" s="139" t="s">
        <v>154</v>
      </c>
      <c r="F1" s="139" t="s">
        <v>155</v>
      </c>
      <c r="G1" s="263" t="s">
        <v>156</v>
      </c>
      <c r="H1" s="263" t="s">
        <v>157</v>
      </c>
      <c r="I1" s="263" t="s">
        <v>158</v>
      </c>
      <c r="J1" s="263" t="s">
        <v>159</v>
      </c>
      <c r="K1" s="263" t="s">
        <v>160</v>
      </c>
      <c r="L1" s="139" t="s">
        <v>161</v>
      </c>
      <c r="M1" s="139" t="s">
        <v>162</v>
      </c>
      <c r="N1" s="291" t="s">
        <v>163</v>
      </c>
      <c r="O1" s="285" t="s">
        <v>164</v>
      </c>
      <c r="P1" s="139" t="s">
        <v>165</v>
      </c>
      <c r="Q1" s="325" t="s">
        <v>833</v>
      </c>
    </row>
    <row r="2" spans="1:17" ht="19" x14ac:dyDescent="0.25">
      <c r="A2" s="124" t="s">
        <v>171</v>
      </c>
      <c r="B2" s="261">
        <v>44112</v>
      </c>
      <c r="C2" s="131">
        <v>0.84</v>
      </c>
      <c r="D2" s="124">
        <v>2.25</v>
      </c>
      <c r="E2" s="264">
        <f t="shared" ref="E2" si="0">(D2-C2)/C2*100</f>
        <v>167.85714285714289</v>
      </c>
      <c r="F2" s="137">
        <v>331000000</v>
      </c>
      <c r="G2" s="131">
        <v>2.4500000000000002</v>
      </c>
      <c r="H2" s="267">
        <f t="shared" ref="H2" si="1">(G2-D2)/D2*100</f>
        <v>8.8888888888888964</v>
      </c>
      <c r="I2" s="131">
        <v>3.91</v>
      </c>
      <c r="J2" s="267">
        <f t="shared" ref="J2" si="2">(I2-D2)/D2*100</f>
        <v>73.777777777777786</v>
      </c>
      <c r="K2" s="280">
        <v>0.42708333333333331</v>
      </c>
      <c r="L2" s="124">
        <v>2.4300000000000002</v>
      </c>
      <c r="M2" s="269">
        <f>(D2-L2)/D2*100</f>
        <v>-8.0000000000000071</v>
      </c>
      <c r="N2" s="137">
        <v>21000000</v>
      </c>
      <c r="O2" s="367" t="s">
        <v>170</v>
      </c>
      <c r="P2" s="146">
        <f>E2+J2</f>
        <v>241.63492063492066</v>
      </c>
      <c r="Q2" s="124"/>
    </row>
    <row r="3" spans="1:17" s="141" customFormat="1" ht="19" x14ac:dyDescent="0.25">
      <c r="A3" s="262" t="s">
        <v>173</v>
      </c>
      <c r="B3" s="272"/>
      <c r="C3" s="274" t="e">
        <f>(#REF!+#REF!+#REF!+C2+#REF!)/5</f>
        <v>#REF!</v>
      </c>
      <c r="D3" s="274" t="e">
        <f>(#REF!+#REF!+#REF!+D2+#REF!)/5</f>
        <v>#REF!</v>
      </c>
      <c r="E3" s="274" t="e">
        <f>(#REF!+#REF!+#REF!+E2+#REF!)/5</f>
        <v>#REF!</v>
      </c>
      <c r="F3" s="274" t="e">
        <f>(#REF!+#REF!+#REF!+F2+#REF!)/5</f>
        <v>#REF!</v>
      </c>
      <c r="G3" s="274" t="e">
        <f>(#REF!+#REF!+#REF!+G2+#REF!)/5</f>
        <v>#REF!</v>
      </c>
      <c r="H3" s="274" t="e">
        <f>(#REF!+#REF!+#REF!+H2+#REF!)/5</f>
        <v>#REF!</v>
      </c>
      <c r="I3" s="274" t="e">
        <f>(#REF!+#REF!+#REF!+I2+#REF!)/5</f>
        <v>#REF!</v>
      </c>
      <c r="J3" s="274" t="e">
        <f>(#REF!+#REF!+#REF!+J2+#REF!)/5</f>
        <v>#REF!</v>
      </c>
      <c r="K3" s="274" t="e">
        <f>(#REF!+#REF!+#REF!+K2+#REF!)/5</f>
        <v>#REF!</v>
      </c>
      <c r="L3" s="274" t="e">
        <f>(#REF!+#REF!+#REF!+L2+#REF!)/5</f>
        <v>#REF!</v>
      </c>
      <c r="M3" s="274" t="e">
        <f>(#REF!+#REF!+#REF!+M2+#REF!)/5</f>
        <v>#REF!</v>
      </c>
      <c r="N3" s="274" t="e">
        <f>(#REF!+#REF!+#REF!+N2+#REF!)/5</f>
        <v>#REF!</v>
      </c>
      <c r="O3" s="368" t="e">
        <f>(#REF!+#REF!+#REF!+O2+#REF!)/5</f>
        <v>#REF!</v>
      </c>
      <c r="P3" s="274" t="e">
        <f>(#REF!+#REF!+#REF!+P2+#REF!)/5</f>
        <v>#REF!</v>
      </c>
      <c r="Q3" s="410">
        <f>(1/1)*100</f>
        <v>100</v>
      </c>
    </row>
    <row r="4" spans="1:17" ht="21" x14ac:dyDescent="0.25">
      <c r="A4" s="139" t="s">
        <v>108</v>
      </c>
      <c r="B4" s="139" t="s">
        <v>107</v>
      </c>
      <c r="C4" s="139" t="s">
        <v>152</v>
      </c>
      <c r="D4" s="139" t="s">
        <v>153</v>
      </c>
      <c r="E4" s="139" t="s">
        <v>154</v>
      </c>
      <c r="F4" s="139" t="s">
        <v>155</v>
      </c>
      <c r="G4" s="263" t="s">
        <v>156</v>
      </c>
      <c r="H4" s="263" t="s">
        <v>157</v>
      </c>
      <c r="I4" s="263" t="s">
        <v>158</v>
      </c>
      <c r="J4" s="263" t="s">
        <v>159</v>
      </c>
      <c r="K4" s="263" t="s">
        <v>160</v>
      </c>
      <c r="L4" s="139" t="s">
        <v>161</v>
      </c>
      <c r="M4" s="139" t="s">
        <v>162</v>
      </c>
      <c r="N4" s="291" t="s">
        <v>163</v>
      </c>
      <c r="O4" s="369" t="s">
        <v>164</v>
      </c>
      <c r="P4" s="285" t="s">
        <v>174</v>
      </c>
      <c r="Q4" s="124"/>
    </row>
    <row r="5" spans="1:17" ht="19" x14ac:dyDescent="0.25">
      <c r="A5" s="124" t="s">
        <v>764</v>
      </c>
      <c r="B5" s="261">
        <v>44132</v>
      </c>
      <c r="C5" s="124">
        <v>0.52</v>
      </c>
      <c r="D5" s="124">
        <v>1.1599999999999999</v>
      </c>
      <c r="E5" s="131">
        <f t="shared" ref="E5" si="3">(D5-C5)/C5*100</f>
        <v>123.07692307692307</v>
      </c>
      <c r="F5" s="137">
        <v>267000000</v>
      </c>
      <c r="G5" s="131">
        <v>1.23</v>
      </c>
      <c r="H5" s="317">
        <f t="shared" ref="H5" si="4">(G5-D5)/D5*100</f>
        <v>6.0344827586206957</v>
      </c>
      <c r="I5" s="131">
        <v>1.37</v>
      </c>
      <c r="J5" s="317">
        <f t="shared" ref="J5" si="5">(I5-D5)/D5*100</f>
        <v>18.103448275862085</v>
      </c>
      <c r="K5" s="280">
        <v>44133</v>
      </c>
      <c r="L5" s="124">
        <v>1.26</v>
      </c>
      <c r="M5" s="269">
        <f t="shared" ref="M5:M73" si="6">(D5-L5)/D5*100</f>
        <v>-8.6206896551724235</v>
      </c>
      <c r="N5" s="137">
        <v>45000000</v>
      </c>
      <c r="O5" s="124" t="s">
        <v>167</v>
      </c>
      <c r="P5" s="146">
        <f t="shared" ref="P5:P9" si="7">E5+J5</f>
        <v>141.18037135278516</v>
      </c>
      <c r="Q5" s="124"/>
    </row>
    <row r="6" spans="1:17" ht="19" x14ac:dyDescent="0.25">
      <c r="A6" s="260" t="s">
        <v>176</v>
      </c>
      <c r="B6" s="261">
        <v>44068</v>
      </c>
      <c r="C6" s="124">
        <v>0.55000000000000004</v>
      </c>
      <c r="D6" s="124">
        <v>0.85</v>
      </c>
      <c r="E6" s="264">
        <f t="shared" ref="E6:E9" si="8">(D6-C6)/C6*100</f>
        <v>54.545454545454533</v>
      </c>
      <c r="F6" s="137">
        <v>268000000</v>
      </c>
      <c r="G6" s="131">
        <v>1.44</v>
      </c>
      <c r="H6" s="267">
        <f t="shared" ref="H6:H9" si="9">(G6-D6)/D6*100</f>
        <v>69.411764705882348</v>
      </c>
      <c r="I6" s="131">
        <v>1.44</v>
      </c>
      <c r="J6" s="267">
        <f t="shared" ref="J6:J9" si="10">(I6-D6)/D6*100</f>
        <v>69.411764705882348</v>
      </c>
      <c r="K6" s="280">
        <v>0.40277777777777773</v>
      </c>
      <c r="L6" s="124">
        <v>0.71</v>
      </c>
      <c r="M6" s="271">
        <f t="shared" si="6"/>
        <v>16.47058823529412</v>
      </c>
      <c r="N6" s="137">
        <v>15000000</v>
      </c>
      <c r="O6" s="124" t="s">
        <v>167</v>
      </c>
      <c r="P6" s="146">
        <f t="shared" si="7"/>
        <v>123.95721925133688</v>
      </c>
      <c r="Q6" s="124"/>
    </row>
    <row r="7" spans="1:17" ht="19" x14ac:dyDescent="0.25">
      <c r="A7" s="124" t="s">
        <v>177</v>
      </c>
      <c r="B7" s="261">
        <v>44032</v>
      </c>
      <c r="C7" s="131">
        <v>0.8</v>
      </c>
      <c r="D7" s="124">
        <v>1.19</v>
      </c>
      <c r="E7" s="264">
        <f t="shared" si="8"/>
        <v>48.749999999999986</v>
      </c>
      <c r="F7" s="137">
        <v>266000000</v>
      </c>
      <c r="G7" s="131">
        <v>1.25</v>
      </c>
      <c r="H7" s="267">
        <f t="shared" si="9"/>
        <v>5.0420168067226943</v>
      </c>
      <c r="I7" s="131">
        <v>1.85</v>
      </c>
      <c r="J7" s="267">
        <f t="shared" si="10"/>
        <v>55.462184873949596</v>
      </c>
      <c r="K7" s="280">
        <v>0.65277777777777779</v>
      </c>
      <c r="L7" s="124">
        <v>1.56</v>
      </c>
      <c r="M7" s="269">
        <f t="shared" si="6"/>
        <v>-31.092436974789926</v>
      </c>
      <c r="N7" s="137">
        <v>50000000</v>
      </c>
      <c r="O7" s="124" t="s">
        <v>167</v>
      </c>
      <c r="P7" s="146">
        <f t="shared" si="7"/>
        <v>104.21218487394958</v>
      </c>
      <c r="Q7" s="124"/>
    </row>
    <row r="8" spans="1:17" ht="19" x14ac:dyDescent="0.25">
      <c r="A8" s="370" t="s">
        <v>179</v>
      </c>
      <c r="B8" s="261">
        <v>44060</v>
      </c>
      <c r="C8" s="131">
        <v>0.79</v>
      </c>
      <c r="D8" s="124">
        <v>1.36</v>
      </c>
      <c r="E8" s="264">
        <f t="shared" si="8"/>
        <v>72.151898734177223</v>
      </c>
      <c r="F8" s="137">
        <v>225000000</v>
      </c>
      <c r="G8" s="131">
        <v>1.65</v>
      </c>
      <c r="H8" s="267">
        <f t="shared" si="9"/>
        <v>21.323529411764692</v>
      </c>
      <c r="I8" s="131">
        <v>2.1</v>
      </c>
      <c r="J8" s="267">
        <f t="shared" si="10"/>
        <v>54.411764705882348</v>
      </c>
      <c r="K8" s="280">
        <v>0.58819444444444446</v>
      </c>
      <c r="L8" s="124">
        <v>1.45</v>
      </c>
      <c r="M8" s="269">
        <f t="shared" si="6"/>
        <v>-6.6176470588235183</v>
      </c>
      <c r="N8" s="137">
        <v>22000000</v>
      </c>
      <c r="O8" s="124" t="s">
        <v>170</v>
      </c>
      <c r="P8" s="146">
        <f t="shared" si="7"/>
        <v>126.56366344005957</v>
      </c>
      <c r="Q8" s="124"/>
    </row>
    <row r="9" spans="1:17" s="141" customFormat="1" ht="19" x14ac:dyDescent="0.25">
      <c r="A9" s="138" t="s">
        <v>181</v>
      </c>
      <c r="B9" s="143">
        <v>44104</v>
      </c>
      <c r="C9" s="138">
        <v>0.64</v>
      </c>
      <c r="D9" s="138">
        <v>1.56</v>
      </c>
      <c r="E9" s="138">
        <f t="shared" si="8"/>
        <v>143.75</v>
      </c>
      <c r="F9" s="256">
        <v>210000000</v>
      </c>
      <c r="G9" s="144">
        <v>1.79</v>
      </c>
      <c r="H9" s="267">
        <f t="shared" si="9"/>
        <v>14.743589743589741</v>
      </c>
      <c r="I9" s="144">
        <v>2.41</v>
      </c>
      <c r="J9" s="267">
        <f t="shared" si="10"/>
        <v>54.487179487179496</v>
      </c>
      <c r="K9" s="265">
        <v>0.40347222222222223</v>
      </c>
      <c r="L9" s="138">
        <v>1.05</v>
      </c>
      <c r="M9" s="271">
        <f t="shared" si="6"/>
        <v>32.692307692307693</v>
      </c>
      <c r="N9" s="256">
        <v>4000000</v>
      </c>
      <c r="O9" s="138" t="s">
        <v>182</v>
      </c>
      <c r="P9" s="146">
        <f t="shared" si="7"/>
        <v>198.2371794871795</v>
      </c>
      <c r="Q9" s="138"/>
    </row>
    <row r="10" spans="1:17" s="141" customFormat="1" ht="19" x14ac:dyDescent="0.25">
      <c r="A10" s="262" t="s">
        <v>183</v>
      </c>
      <c r="B10" s="273"/>
      <c r="C10" s="274">
        <f t="shared" ref="C10:I10" si="11">(C6+C7+C8+C9+C5)/5</f>
        <v>0.66</v>
      </c>
      <c r="D10" s="274">
        <f t="shared" si="11"/>
        <v>1.2240000000000002</v>
      </c>
      <c r="E10" s="274">
        <f t="shared" si="11"/>
        <v>88.454855271310947</v>
      </c>
      <c r="F10" s="274">
        <f t="shared" si="11"/>
        <v>247200000</v>
      </c>
      <c r="G10" s="274">
        <f t="shared" si="11"/>
        <v>1.472</v>
      </c>
      <c r="H10" s="274">
        <f t="shared" si="11"/>
        <v>23.311076685316035</v>
      </c>
      <c r="I10" s="274">
        <f t="shared" si="11"/>
        <v>1.8340000000000003</v>
      </c>
      <c r="J10" s="274">
        <f>(J6+J7+J8+J9+J5)/5</f>
        <v>50.375268409751172</v>
      </c>
      <c r="K10" s="274">
        <f t="shared" ref="K10:P10" si="12">(K6+K7+K8+K9+K5)/5</f>
        <v>8827.0094444444439</v>
      </c>
      <c r="L10" s="274">
        <f t="shared" si="12"/>
        <v>1.206</v>
      </c>
      <c r="M10" s="274">
        <f t="shared" si="12"/>
        <v>0.56642444776318901</v>
      </c>
      <c r="N10" s="274">
        <f t="shared" si="12"/>
        <v>27200000</v>
      </c>
      <c r="O10" s="274" t="e">
        <f t="shared" si="12"/>
        <v>#VALUE!</v>
      </c>
      <c r="P10" s="274">
        <f t="shared" si="12"/>
        <v>138.83012368106216</v>
      </c>
      <c r="Q10" s="410">
        <f>(3/5)*100</f>
        <v>60</v>
      </c>
    </row>
    <row r="11" spans="1:17" ht="21" x14ac:dyDescent="0.25">
      <c r="A11" s="139" t="s">
        <v>108</v>
      </c>
      <c r="B11" s="139" t="s">
        <v>107</v>
      </c>
      <c r="C11" s="139" t="s">
        <v>152</v>
      </c>
      <c r="D11" s="139" t="s">
        <v>153</v>
      </c>
      <c r="E11" s="139" t="s">
        <v>154</v>
      </c>
      <c r="F11" s="139" t="s">
        <v>155</v>
      </c>
      <c r="G11" s="263" t="s">
        <v>156</v>
      </c>
      <c r="H11" s="263" t="s">
        <v>157</v>
      </c>
      <c r="I11" s="263" t="s">
        <v>158</v>
      </c>
      <c r="J11" s="263" t="s">
        <v>159</v>
      </c>
      <c r="K11" s="263" t="s">
        <v>160</v>
      </c>
      <c r="L11" s="139" t="s">
        <v>161</v>
      </c>
      <c r="M11" s="139" t="s">
        <v>162</v>
      </c>
      <c r="N11" s="291" t="s">
        <v>163</v>
      </c>
      <c r="O11" s="285" t="s">
        <v>164</v>
      </c>
      <c r="P11" s="285" t="s">
        <v>174</v>
      </c>
      <c r="Q11" s="124"/>
    </row>
    <row r="12" spans="1:17" ht="19" x14ac:dyDescent="0.25">
      <c r="A12" s="258" t="s">
        <v>188</v>
      </c>
      <c r="B12" s="259">
        <v>43983</v>
      </c>
      <c r="C12" s="282">
        <v>0.93</v>
      </c>
      <c r="D12" s="258">
        <v>2.4900000000000002</v>
      </c>
      <c r="E12" s="264">
        <f t="shared" ref="E12:E16" si="13">(D12-C12)/C12*100</f>
        <v>167.74193548387098</v>
      </c>
      <c r="F12" s="281">
        <v>198000000</v>
      </c>
      <c r="G12" s="282">
        <v>2.73</v>
      </c>
      <c r="H12" s="267">
        <f t="shared" ref="H12:H16" si="14">(G12-D12)/D12*100</f>
        <v>9.6385542168674601</v>
      </c>
      <c r="I12" s="282">
        <v>3.18</v>
      </c>
      <c r="J12" s="267">
        <f t="shared" ref="J12:J16" si="15">(I12-D12)/D12*100</f>
        <v>27.710843373493972</v>
      </c>
      <c r="K12" s="283">
        <v>0.51388888888888895</v>
      </c>
      <c r="L12" s="258">
        <v>2.57</v>
      </c>
      <c r="M12" s="269">
        <f t="shared" si="6"/>
        <v>-3.2128514056224744</v>
      </c>
      <c r="N12" s="281">
        <v>12000000</v>
      </c>
      <c r="O12" s="258" t="s">
        <v>167</v>
      </c>
      <c r="P12" s="146">
        <f t="shared" ref="P12:P14" si="16">E12+J12</f>
        <v>195.45277885736493</v>
      </c>
      <c r="Q12" s="124"/>
    </row>
    <row r="13" spans="1:17" ht="19" x14ac:dyDescent="0.25">
      <c r="A13" s="124" t="s">
        <v>338</v>
      </c>
      <c r="B13" s="261">
        <v>44167</v>
      </c>
      <c r="C13" s="124">
        <v>0.69</v>
      </c>
      <c r="D13" s="124">
        <v>1.61</v>
      </c>
      <c r="E13" s="201">
        <f t="shared" si="13"/>
        <v>133.33333333333337</v>
      </c>
      <c r="F13" s="137">
        <v>178000000</v>
      </c>
      <c r="G13" s="124">
        <v>1.94</v>
      </c>
      <c r="H13" s="317">
        <f t="shared" si="14"/>
        <v>20.496894409937877</v>
      </c>
      <c r="I13" s="124">
        <v>2.34</v>
      </c>
      <c r="J13" s="317">
        <f t="shared" si="15"/>
        <v>45.341614906832277</v>
      </c>
      <c r="K13" s="370">
        <v>0.40277777777777773</v>
      </c>
      <c r="L13" s="124">
        <v>1.0900000000000001</v>
      </c>
      <c r="M13" s="271">
        <f t="shared" si="6"/>
        <v>32.298136645962735</v>
      </c>
      <c r="N13" s="137">
        <v>10000000</v>
      </c>
      <c r="O13" s="124" t="s">
        <v>216</v>
      </c>
      <c r="P13" s="146">
        <f t="shared" si="16"/>
        <v>178.67494824016563</v>
      </c>
      <c r="Q13" s="124"/>
    </row>
    <row r="14" spans="1:17" ht="19" x14ac:dyDescent="0.25">
      <c r="A14" s="124" t="s">
        <v>761</v>
      </c>
      <c r="B14" s="261">
        <v>44071</v>
      </c>
      <c r="C14" s="124">
        <v>0.31</v>
      </c>
      <c r="D14" s="124">
        <v>0.55000000000000004</v>
      </c>
      <c r="E14" s="264">
        <f t="shared" si="13"/>
        <v>77.419354838709694</v>
      </c>
      <c r="F14" s="137">
        <v>162000000</v>
      </c>
      <c r="G14" s="131">
        <v>0.55000000000000004</v>
      </c>
      <c r="H14" s="317">
        <f t="shared" si="14"/>
        <v>0</v>
      </c>
      <c r="I14" s="131">
        <v>0.57999999999999996</v>
      </c>
      <c r="J14" s="317">
        <f t="shared" si="15"/>
        <v>5.454545454545439</v>
      </c>
      <c r="K14" s="280">
        <v>0.40972222222222227</v>
      </c>
      <c r="L14" s="124">
        <v>0.39</v>
      </c>
      <c r="M14" s="271">
        <f t="shared" si="6"/>
        <v>29.090909090909093</v>
      </c>
      <c r="N14" s="137">
        <v>80000000</v>
      </c>
      <c r="O14" s="124" t="s">
        <v>190</v>
      </c>
      <c r="P14" s="146">
        <f t="shared" si="16"/>
        <v>82.873900293255133</v>
      </c>
      <c r="Q14" s="124"/>
    </row>
    <row r="15" spans="1:17" ht="19" x14ac:dyDescent="0.25">
      <c r="A15" s="124" t="s">
        <v>853</v>
      </c>
      <c r="B15" s="261">
        <v>44114</v>
      </c>
      <c r="C15" s="124">
        <v>0.76</v>
      </c>
      <c r="D15" s="124">
        <v>1.06</v>
      </c>
      <c r="E15" s="131">
        <f t="shared" si="13"/>
        <v>39.473684210526322</v>
      </c>
      <c r="F15" s="137">
        <v>160000000</v>
      </c>
      <c r="G15" s="131">
        <v>1.6</v>
      </c>
      <c r="H15" s="317">
        <f t="shared" si="14"/>
        <v>50.943396226415096</v>
      </c>
      <c r="I15" s="131">
        <v>2.0499999999999998</v>
      </c>
      <c r="J15" s="317">
        <f t="shared" si="15"/>
        <v>93.396226415094304</v>
      </c>
      <c r="K15" s="280">
        <v>0.40833333333333338</v>
      </c>
      <c r="L15" s="124">
        <v>1.24</v>
      </c>
      <c r="M15" s="269">
        <f t="shared" si="6"/>
        <v>-16.981132075471692</v>
      </c>
      <c r="N15" s="137">
        <v>160000000</v>
      </c>
      <c r="O15" s="124" t="s">
        <v>167</v>
      </c>
      <c r="P15" s="146">
        <f t="shared" ref="P15:P16" si="17">E15+J15</f>
        <v>132.86991062562063</v>
      </c>
      <c r="Q15" s="124"/>
    </row>
    <row r="16" spans="1:17" ht="19" x14ac:dyDescent="0.25">
      <c r="A16" s="124" t="s">
        <v>196</v>
      </c>
      <c r="B16" s="261">
        <v>44119</v>
      </c>
      <c r="C16" s="124">
        <v>0.79</v>
      </c>
      <c r="D16" s="124">
        <v>2.21</v>
      </c>
      <c r="E16" s="264">
        <f t="shared" si="13"/>
        <v>179.74683544303795</v>
      </c>
      <c r="F16" s="137">
        <v>155000000</v>
      </c>
      <c r="G16" s="131">
        <v>3.12</v>
      </c>
      <c r="H16" s="267">
        <f t="shared" si="14"/>
        <v>41.176470588235304</v>
      </c>
      <c r="I16" s="131">
        <v>3.35</v>
      </c>
      <c r="J16" s="267">
        <f t="shared" si="15"/>
        <v>51.583710407239828</v>
      </c>
      <c r="K16" s="280">
        <v>0.40069444444444446</v>
      </c>
      <c r="L16" s="124">
        <v>1.29</v>
      </c>
      <c r="M16" s="271">
        <f t="shared" si="6"/>
        <v>41.628959276018094</v>
      </c>
      <c r="N16" s="137">
        <v>6000000</v>
      </c>
      <c r="O16" s="124" t="s">
        <v>182</v>
      </c>
      <c r="P16" s="146">
        <f t="shared" si="17"/>
        <v>231.33054585027779</v>
      </c>
      <c r="Q16" s="124"/>
    </row>
    <row r="17" spans="1:17" s="141" customFormat="1" ht="19" x14ac:dyDescent="0.25">
      <c r="A17" s="262" t="s">
        <v>198</v>
      </c>
      <c r="B17" s="274">
        <f t="shared" ref="B17:I17" si="18">(B12+B14+B16+B15+B13)/5</f>
        <v>44090.8</v>
      </c>
      <c r="C17" s="274">
        <f t="shared" si="18"/>
        <v>0.69599999999999995</v>
      </c>
      <c r="D17" s="274">
        <f t="shared" si="18"/>
        <v>1.5840000000000001</v>
      </c>
      <c r="E17" s="274">
        <f t="shared" si="18"/>
        <v>119.54302866189565</v>
      </c>
      <c r="F17" s="274">
        <f t="shared" si="18"/>
        <v>170600000</v>
      </c>
      <c r="G17" s="274">
        <f t="shared" si="18"/>
        <v>1.988</v>
      </c>
      <c r="H17" s="274">
        <f t="shared" si="18"/>
        <v>24.451063088291146</v>
      </c>
      <c r="I17" s="274">
        <f t="shared" si="18"/>
        <v>2.2999999999999998</v>
      </c>
      <c r="J17" s="274">
        <f>(J12+J14+J16+J15+J13)/5</f>
        <v>44.697388111441157</v>
      </c>
      <c r="K17" s="274">
        <f t="shared" ref="K17:P17" si="19">(K12+K14+K16+K15+K13)/5</f>
        <v>0.42708333333333337</v>
      </c>
      <c r="L17" s="274">
        <f t="shared" si="19"/>
        <v>1.3160000000000001</v>
      </c>
      <c r="M17" s="274">
        <f t="shared" si="19"/>
        <v>16.56480430635915</v>
      </c>
      <c r="N17" s="274">
        <f t="shared" si="19"/>
        <v>53600000</v>
      </c>
      <c r="O17" s="274" t="e">
        <f t="shared" si="19"/>
        <v>#VALUE!</v>
      </c>
      <c r="P17" s="274">
        <f t="shared" si="19"/>
        <v>164.24041677333679</v>
      </c>
      <c r="Q17" s="410">
        <f>(2/5)*100</f>
        <v>40</v>
      </c>
    </row>
    <row r="18" spans="1:17" ht="21" x14ac:dyDescent="0.25">
      <c r="A18" s="139" t="s">
        <v>108</v>
      </c>
      <c r="B18" s="139" t="s">
        <v>107</v>
      </c>
      <c r="C18" s="139" t="s">
        <v>152</v>
      </c>
      <c r="D18" s="139" t="s">
        <v>153</v>
      </c>
      <c r="E18" s="139" t="s">
        <v>154</v>
      </c>
      <c r="F18" s="139" t="s">
        <v>155</v>
      </c>
      <c r="G18" s="263" t="s">
        <v>156</v>
      </c>
      <c r="H18" s="263" t="s">
        <v>157</v>
      </c>
      <c r="I18" s="263" t="s">
        <v>158</v>
      </c>
      <c r="J18" s="263" t="s">
        <v>159</v>
      </c>
      <c r="K18" s="263" t="s">
        <v>160</v>
      </c>
      <c r="L18" s="139" t="s">
        <v>161</v>
      </c>
      <c r="M18" s="139" t="s">
        <v>162</v>
      </c>
      <c r="N18" s="291" t="s">
        <v>163</v>
      </c>
      <c r="O18" s="285" t="s">
        <v>164</v>
      </c>
      <c r="P18" s="285" t="s">
        <v>174</v>
      </c>
      <c r="Q18" s="124"/>
    </row>
    <row r="19" spans="1:17" ht="19" x14ac:dyDescent="0.25">
      <c r="A19" s="124" t="s">
        <v>199</v>
      </c>
      <c r="B19" s="261">
        <v>44004</v>
      </c>
      <c r="C19" s="124">
        <v>0.8</v>
      </c>
      <c r="D19" s="124">
        <v>2.73</v>
      </c>
      <c r="E19" s="264">
        <f t="shared" ref="E19:E30" si="20">(D19-C19)/C19*100</f>
        <v>241.24999999999997</v>
      </c>
      <c r="F19" s="137">
        <v>142000000</v>
      </c>
      <c r="G19" s="131">
        <v>2.91</v>
      </c>
      <c r="H19" s="267">
        <f t="shared" ref="H19:H30" si="21">(G19-D19)/D19*100</f>
        <v>6.5934065934065993</v>
      </c>
      <c r="I19" s="144">
        <v>3.15</v>
      </c>
      <c r="J19" s="267">
        <f t="shared" ref="J19:J30" si="22">(I19-D19)/D19*100</f>
        <v>15.384615384615383</v>
      </c>
      <c r="K19" s="265">
        <v>0.4201388888888889</v>
      </c>
      <c r="L19" s="146">
        <v>2.0099999999999998</v>
      </c>
      <c r="M19" s="271">
        <f t="shared" si="6"/>
        <v>26.373626373626379</v>
      </c>
      <c r="N19" s="137">
        <v>18000000</v>
      </c>
      <c r="O19" s="124" t="s">
        <v>167</v>
      </c>
      <c r="P19" s="146">
        <f t="shared" ref="P19:P30" si="23">E19+J19</f>
        <v>256.63461538461536</v>
      </c>
      <c r="Q19" s="124"/>
    </row>
    <row r="20" spans="1:17" ht="19" x14ac:dyDescent="0.25">
      <c r="A20" s="254" t="s">
        <v>205</v>
      </c>
      <c r="B20" s="255">
        <v>43972</v>
      </c>
      <c r="C20" s="254">
        <v>0.83</v>
      </c>
      <c r="D20" s="254">
        <v>1.1499999999999999</v>
      </c>
      <c r="E20" s="264">
        <f t="shared" si="20"/>
        <v>38.554216867469876</v>
      </c>
      <c r="F20" s="257">
        <v>126000000</v>
      </c>
      <c r="G20" s="253">
        <v>1.29</v>
      </c>
      <c r="H20" s="267">
        <f t="shared" si="21"/>
        <v>12.173913043478272</v>
      </c>
      <c r="I20" s="144">
        <v>2.1</v>
      </c>
      <c r="J20" s="267">
        <f t="shared" si="22"/>
        <v>82.608695652173935</v>
      </c>
      <c r="K20" s="265">
        <v>0.47916666666666669</v>
      </c>
      <c r="L20" s="254">
        <v>1.24</v>
      </c>
      <c r="M20" s="269">
        <f t="shared" si="6"/>
        <v>-7.8260869565217464</v>
      </c>
      <c r="N20" s="257">
        <v>7000000</v>
      </c>
      <c r="O20" s="124" t="s">
        <v>167</v>
      </c>
      <c r="P20" s="146">
        <f t="shared" si="23"/>
        <v>121.16291251964381</v>
      </c>
      <c r="Q20" s="124"/>
    </row>
    <row r="21" spans="1:17" ht="19" x14ac:dyDescent="0.25">
      <c r="A21" s="260" t="s">
        <v>206</v>
      </c>
      <c r="B21" s="261">
        <v>44020</v>
      </c>
      <c r="C21" s="124">
        <v>0.85</v>
      </c>
      <c r="D21" s="124">
        <v>1.97</v>
      </c>
      <c r="E21" s="264">
        <f t="shared" si="20"/>
        <v>131.76470588235296</v>
      </c>
      <c r="F21" s="137">
        <v>124000000</v>
      </c>
      <c r="G21" s="131">
        <v>2.2599999999999998</v>
      </c>
      <c r="H21" s="267">
        <f t="shared" si="21"/>
        <v>14.720812182741108</v>
      </c>
      <c r="I21" s="131">
        <v>2.2599999999999998</v>
      </c>
      <c r="J21" s="267">
        <f t="shared" si="22"/>
        <v>14.720812182741108</v>
      </c>
      <c r="K21" s="280">
        <v>0.40069444444444446</v>
      </c>
      <c r="L21" s="124">
        <v>1.25</v>
      </c>
      <c r="M21" s="271">
        <f t="shared" si="6"/>
        <v>36.548223350253807</v>
      </c>
      <c r="N21" s="137">
        <v>24000000</v>
      </c>
      <c r="O21" s="124" t="s">
        <v>170</v>
      </c>
      <c r="P21" s="146">
        <f t="shared" si="23"/>
        <v>146.48551806509406</v>
      </c>
      <c r="Q21" s="124"/>
    </row>
    <row r="22" spans="1:17" ht="19" x14ac:dyDescent="0.25">
      <c r="A22" s="124" t="s">
        <v>207</v>
      </c>
      <c r="B22" s="261">
        <v>44112</v>
      </c>
      <c r="C22" s="131">
        <v>0.42</v>
      </c>
      <c r="D22" s="124">
        <v>0.69</v>
      </c>
      <c r="E22" s="264">
        <f t="shared" si="20"/>
        <v>64.285714285714278</v>
      </c>
      <c r="F22" s="137">
        <v>122000000</v>
      </c>
      <c r="G22" s="131">
        <v>0.71</v>
      </c>
      <c r="H22" s="267">
        <f t="shared" si="21"/>
        <v>2.8985507246376838</v>
      </c>
      <c r="I22" s="131">
        <v>0.72</v>
      </c>
      <c r="J22" s="267">
        <f t="shared" si="22"/>
        <v>4.3478260869565259</v>
      </c>
      <c r="K22" s="280">
        <v>0.42708333333333331</v>
      </c>
      <c r="L22" s="124">
        <v>0.56000000000000005</v>
      </c>
      <c r="M22" s="271">
        <f t="shared" si="6"/>
        <v>18.840579710144915</v>
      </c>
      <c r="N22" s="281">
        <v>55000000</v>
      </c>
      <c r="O22" s="124" t="s">
        <v>167</v>
      </c>
      <c r="P22" s="146">
        <f t="shared" si="23"/>
        <v>68.633540372670808</v>
      </c>
      <c r="Q22" s="124"/>
    </row>
    <row r="23" spans="1:17" ht="19" x14ac:dyDescent="0.25">
      <c r="A23" s="124" t="s">
        <v>208</v>
      </c>
      <c r="B23" s="261">
        <v>44113</v>
      </c>
      <c r="C23" s="131">
        <v>0.37</v>
      </c>
      <c r="D23" s="124">
        <v>1.26</v>
      </c>
      <c r="E23" s="264">
        <f t="shared" si="20"/>
        <v>240.54054054054052</v>
      </c>
      <c r="F23" s="137">
        <v>121000000</v>
      </c>
      <c r="G23" s="131">
        <v>1.42</v>
      </c>
      <c r="H23" s="267">
        <f t="shared" si="21"/>
        <v>12.698412698412692</v>
      </c>
      <c r="I23" s="131">
        <v>1.6</v>
      </c>
      <c r="J23" s="267">
        <f t="shared" si="22"/>
        <v>26.984126984126988</v>
      </c>
      <c r="K23" s="131">
        <v>0.39930555555555558</v>
      </c>
      <c r="L23" s="124">
        <v>0.72</v>
      </c>
      <c r="M23" s="271">
        <f t="shared" si="6"/>
        <v>42.857142857142861</v>
      </c>
      <c r="N23" s="281">
        <v>6000000</v>
      </c>
      <c r="O23" s="124" t="s">
        <v>170</v>
      </c>
      <c r="P23" s="146">
        <f t="shared" si="23"/>
        <v>267.52466752466751</v>
      </c>
      <c r="Q23" s="124"/>
    </row>
    <row r="24" spans="1:17" ht="19" x14ac:dyDescent="0.25">
      <c r="A24" s="124" t="s">
        <v>751</v>
      </c>
      <c r="B24" s="261">
        <v>44124</v>
      </c>
      <c r="C24" s="124">
        <v>0.69</v>
      </c>
      <c r="D24" s="124">
        <v>1.22</v>
      </c>
      <c r="E24" s="264">
        <f t="shared" si="20"/>
        <v>76.811594202898561</v>
      </c>
      <c r="F24" s="137">
        <v>110000000</v>
      </c>
      <c r="G24" s="131">
        <v>1.37</v>
      </c>
      <c r="H24" s="267">
        <f t="shared" si="21"/>
        <v>12.295081967213125</v>
      </c>
      <c r="I24" s="131">
        <v>1.64</v>
      </c>
      <c r="J24" s="267">
        <f t="shared" si="22"/>
        <v>34.426229508196712</v>
      </c>
      <c r="K24" s="280">
        <v>0.40277777777777773</v>
      </c>
      <c r="L24" s="124">
        <v>0.96</v>
      </c>
      <c r="M24" s="271">
        <f t="shared" si="6"/>
        <v>21.311475409836067</v>
      </c>
      <c r="N24" s="137">
        <v>30000000</v>
      </c>
      <c r="O24" s="124" t="s">
        <v>167</v>
      </c>
      <c r="P24" s="146">
        <f t="shared" si="23"/>
        <v>111.23782371109527</v>
      </c>
      <c r="Q24" s="124"/>
    </row>
    <row r="25" spans="1:17" ht="19" x14ac:dyDescent="0.25">
      <c r="A25" s="124" t="s">
        <v>212</v>
      </c>
      <c r="B25" s="261">
        <v>44118</v>
      </c>
      <c r="C25" s="124">
        <v>0.46</v>
      </c>
      <c r="D25" s="124">
        <v>0.75</v>
      </c>
      <c r="E25" s="264">
        <f t="shared" si="20"/>
        <v>63.043478260869556</v>
      </c>
      <c r="F25" s="137">
        <v>109000000</v>
      </c>
      <c r="G25" s="131">
        <v>0.75</v>
      </c>
      <c r="H25" s="267">
        <f t="shared" si="21"/>
        <v>0</v>
      </c>
      <c r="I25" s="131">
        <v>0.75</v>
      </c>
      <c r="J25" s="267">
        <f t="shared" si="22"/>
        <v>0</v>
      </c>
      <c r="K25" s="280">
        <v>0.41180555555555554</v>
      </c>
      <c r="L25" s="124">
        <v>0.56999999999999995</v>
      </c>
      <c r="M25" s="271">
        <f t="shared" si="6"/>
        <v>24.000000000000007</v>
      </c>
      <c r="N25" s="137">
        <v>120000000</v>
      </c>
      <c r="O25" s="124" t="s">
        <v>190</v>
      </c>
      <c r="P25" s="146">
        <f t="shared" si="23"/>
        <v>63.043478260869556</v>
      </c>
      <c r="Q25" s="124"/>
    </row>
    <row r="26" spans="1:17" ht="19" x14ac:dyDescent="0.25">
      <c r="A26" s="276" t="s">
        <v>214</v>
      </c>
      <c r="B26" s="277">
        <v>44106</v>
      </c>
      <c r="C26" s="276">
        <v>0.68</v>
      </c>
      <c r="D26" s="276">
        <v>2.25</v>
      </c>
      <c r="E26" s="278">
        <f t="shared" si="20"/>
        <v>230.88235294117646</v>
      </c>
      <c r="F26" s="279">
        <v>112000000</v>
      </c>
      <c r="G26" s="290">
        <v>2.5</v>
      </c>
      <c r="H26" s="267">
        <f t="shared" si="21"/>
        <v>11.111111111111111</v>
      </c>
      <c r="I26" s="144">
        <v>2.5</v>
      </c>
      <c r="J26" s="267">
        <f t="shared" si="22"/>
        <v>11.111111111111111</v>
      </c>
      <c r="K26" s="265">
        <v>0.39652777777777781</v>
      </c>
      <c r="L26" s="254">
        <v>1.58</v>
      </c>
      <c r="M26" s="271">
        <f t="shared" si="6"/>
        <v>29.777777777777775</v>
      </c>
      <c r="N26" s="257">
        <v>1100000</v>
      </c>
      <c r="O26" s="124" t="s">
        <v>167</v>
      </c>
      <c r="P26" s="146">
        <f t="shared" si="23"/>
        <v>241.99346405228758</v>
      </c>
      <c r="Q26" s="124"/>
    </row>
    <row r="27" spans="1:17" ht="19" x14ac:dyDescent="0.25">
      <c r="A27" s="124" t="s">
        <v>181</v>
      </c>
      <c r="B27" s="261">
        <v>44168</v>
      </c>
      <c r="C27" s="124">
        <v>0.64</v>
      </c>
      <c r="D27" s="124">
        <v>0.87</v>
      </c>
      <c r="E27" s="201">
        <f t="shared" si="20"/>
        <v>35.937499999999993</v>
      </c>
      <c r="F27" s="137">
        <v>107000000</v>
      </c>
      <c r="G27" s="124">
        <v>0.95</v>
      </c>
      <c r="H27" s="317">
        <f t="shared" si="21"/>
        <v>9.1954022988505706</v>
      </c>
      <c r="I27" s="124">
        <v>1.1399999999999999</v>
      </c>
      <c r="J27" s="317">
        <f t="shared" si="22"/>
        <v>31.03448275862068</v>
      </c>
      <c r="K27" s="370">
        <v>0.41666666666666669</v>
      </c>
      <c r="L27" s="124">
        <v>0.85</v>
      </c>
      <c r="M27" s="271">
        <f t="shared" si="6"/>
        <v>2.2988505747126458</v>
      </c>
      <c r="N27" s="137">
        <v>20000000</v>
      </c>
      <c r="O27" s="124" t="s">
        <v>216</v>
      </c>
      <c r="P27" s="146">
        <f t="shared" si="23"/>
        <v>66.971982758620669</v>
      </c>
      <c r="Q27" s="124"/>
    </row>
    <row r="28" spans="1:17" ht="19" x14ac:dyDescent="0.25">
      <c r="A28" s="254" t="s">
        <v>220</v>
      </c>
      <c r="B28" s="255">
        <v>44101</v>
      </c>
      <c r="C28" s="254">
        <v>0.79</v>
      </c>
      <c r="D28" s="254">
        <v>1.49</v>
      </c>
      <c r="E28" s="264">
        <f t="shared" si="20"/>
        <v>88.60759493670885</v>
      </c>
      <c r="F28" s="257">
        <v>103000000</v>
      </c>
      <c r="G28" s="253">
        <v>2.11</v>
      </c>
      <c r="H28" s="267">
        <f t="shared" si="21"/>
        <v>41.610738255033546</v>
      </c>
      <c r="I28" s="144">
        <v>2.5</v>
      </c>
      <c r="J28" s="267">
        <f t="shared" si="22"/>
        <v>67.785234899328856</v>
      </c>
      <c r="K28" s="265">
        <v>0.66597222222222219</v>
      </c>
      <c r="L28" s="254">
        <v>2.13</v>
      </c>
      <c r="M28" s="269">
        <f t="shared" si="6"/>
        <v>-42.953020134228183</v>
      </c>
      <c r="N28" s="257">
        <v>8000000</v>
      </c>
      <c r="O28" s="124" t="s">
        <v>167</v>
      </c>
      <c r="P28" s="146">
        <f t="shared" si="23"/>
        <v>156.39282983603772</v>
      </c>
      <c r="Q28" s="124"/>
    </row>
    <row r="29" spans="1:17" ht="19" x14ac:dyDescent="0.25">
      <c r="A29" s="124" t="s">
        <v>221</v>
      </c>
      <c r="B29" s="261">
        <v>44028</v>
      </c>
      <c r="C29" s="124">
        <v>0.66</v>
      </c>
      <c r="D29" s="124">
        <v>1.03</v>
      </c>
      <c r="E29" s="264">
        <f t="shared" si="20"/>
        <v>56.060606060606055</v>
      </c>
      <c r="F29" s="137">
        <v>102000000</v>
      </c>
      <c r="G29" s="131">
        <v>1.1499999999999999</v>
      </c>
      <c r="H29" s="267">
        <f t="shared" si="21"/>
        <v>11.650485436893192</v>
      </c>
      <c r="I29" s="131">
        <v>1.1499999999999999</v>
      </c>
      <c r="J29" s="267">
        <f t="shared" si="22"/>
        <v>11.650485436893192</v>
      </c>
      <c r="K29" s="280">
        <v>0.40069444444444446</v>
      </c>
      <c r="L29" s="124">
        <v>0.84</v>
      </c>
      <c r="M29" s="271">
        <f t="shared" si="6"/>
        <v>18.446601941747577</v>
      </c>
      <c r="N29" s="137">
        <v>800000000</v>
      </c>
      <c r="O29" s="124" t="s">
        <v>167</v>
      </c>
      <c r="P29" s="146">
        <f t="shared" si="23"/>
        <v>67.71109149749924</v>
      </c>
      <c r="Q29" s="124"/>
    </row>
    <row r="30" spans="1:17" ht="19" x14ac:dyDescent="0.25">
      <c r="A30" s="260" t="s">
        <v>222</v>
      </c>
      <c r="B30" s="261">
        <v>43949</v>
      </c>
      <c r="C30" s="124">
        <v>0.96</v>
      </c>
      <c r="D30" s="124">
        <v>1.41</v>
      </c>
      <c r="E30" s="264">
        <f t="shared" si="20"/>
        <v>46.874999999999993</v>
      </c>
      <c r="F30" s="137">
        <v>101000000</v>
      </c>
      <c r="G30" s="131">
        <v>1.52</v>
      </c>
      <c r="H30" s="267">
        <f t="shared" si="21"/>
        <v>7.8014184397163193</v>
      </c>
      <c r="I30" s="131">
        <v>1.52</v>
      </c>
      <c r="J30" s="267">
        <f t="shared" si="22"/>
        <v>7.8014184397163193</v>
      </c>
      <c r="K30" s="280">
        <v>0.3979166666666667</v>
      </c>
      <c r="L30" s="124">
        <v>1.1000000000000001</v>
      </c>
      <c r="M30" s="271">
        <f t="shared" si="6"/>
        <v>21.985815602836869</v>
      </c>
      <c r="N30" s="137">
        <v>4000000</v>
      </c>
      <c r="O30" s="124" t="s">
        <v>190</v>
      </c>
      <c r="P30" s="146">
        <f t="shared" si="23"/>
        <v>54.676418439716315</v>
      </c>
      <c r="Q30" s="124"/>
    </row>
    <row r="31" spans="1:17" s="141" customFormat="1" ht="19" x14ac:dyDescent="0.25">
      <c r="A31" s="274" t="s">
        <v>875</v>
      </c>
      <c r="B31" s="274">
        <f t="shared" ref="B31" si="24">(B19+B20+B21+B22+B23+B24+B25+B26+B28+B29+B30)/11</f>
        <v>44058.818181818184</v>
      </c>
      <c r="C31" s="274">
        <f t="shared" ref="C31:I31" si="25">(C19+C20+C21+C22+C23+C24+C25+C26+C28+C29+C30+C27)/12</f>
        <v>0.6791666666666667</v>
      </c>
      <c r="D31" s="274">
        <f t="shared" si="25"/>
        <v>1.4016666666666666</v>
      </c>
      <c r="E31" s="274">
        <f t="shared" si="25"/>
        <v>109.55110866486142</v>
      </c>
      <c r="F31" s="274">
        <f t="shared" si="25"/>
        <v>114916666.66666667</v>
      </c>
      <c r="G31" s="274">
        <f t="shared" si="25"/>
        <v>1.5783333333333331</v>
      </c>
      <c r="H31" s="274">
        <f t="shared" si="25"/>
        <v>11.895777729291188</v>
      </c>
      <c r="I31" s="274">
        <f t="shared" si="25"/>
        <v>1.7524999999999997</v>
      </c>
      <c r="J31" s="274">
        <f>(J19+J20+J21+J22+J23+J24+J25+J26+J28+J29+J30+J27)/12</f>
        <v>25.654586537040071</v>
      </c>
      <c r="K31" s="274">
        <f t="shared" ref="K31:P31" si="26">(K19+K20+K21+K22+K23+K24+K25+K26+K28+K29+K30+K27)/12</f>
        <v>0.43489583333333343</v>
      </c>
      <c r="L31" s="274">
        <f t="shared" si="26"/>
        <v>1.1508333333333332</v>
      </c>
      <c r="M31" s="274">
        <f t="shared" si="26"/>
        <v>15.97174887561075</v>
      </c>
      <c r="N31" s="274">
        <f t="shared" si="26"/>
        <v>91091666.666666672</v>
      </c>
      <c r="O31" s="274" t="e">
        <f t="shared" si="26"/>
        <v>#VALUE!</v>
      </c>
      <c r="P31" s="274">
        <f t="shared" si="26"/>
        <v>135.20569520190151</v>
      </c>
      <c r="Q31" s="410">
        <f>(2/12)*100</f>
        <v>16.666666666666664</v>
      </c>
    </row>
    <row r="32" spans="1:17" ht="21" x14ac:dyDescent="0.25">
      <c r="A32" s="139" t="s">
        <v>108</v>
      </c>
      <c r="B32" s="139" t="s">
        <v>107</v>
      </c>
      <c r="C32" s="139" t="s">
        <v>152</v>
      </c>
      <c r="D32" s="139" t="s">
        <v>153</v>
      </c>
      <c r="E32" s="139" t="s">
        <v>154</v>
      </c>
      <c r="F32" s="139" t="s">
        <v>155</v>
      </c>
      <c r="G32" s="263" t="s">
        <v>156</v>
      </c>
      <c r="H32" s="263" t="s">
        <v>157</v>
      </c>
      <c r="I32" s="263" t="s">
        <v>158</v>
      </c>
      <c r="J32" s="263" t="s">
        <v>159</v>
      </c>
      <c r="K32" s="263" t="s">
        <v>160</v>
      </c>
      <c r="L32" s="139" t="s">
        <v>161</v>
      </c>
      <c r="M32" s="139" t="s">
        <v>162</v>
      </c>
      <c r="N32" s="291" t="s">
        <v>163</v>
      </c>
      <c r="O32" s="285" t="s">
        <v>164</v>
      </c>
      <c r="P32" s="285" t="s">
        <v>174</v>
      </c>
      <c r="Q32" s="124"/>
    </row>
    <row r="33" spans="1:17" s="306" customFormat="1" ht="19" x14ac:dyDescent="0.25">
      <c r="A33" s="358" t="s">
        <v>834</v>
      </c>
      <c r="B33" s="357">
        <v>44131</v>
      </c>
      <c r="C33" s="358">
        <v>0.96</v>
      </c>
      <c r="D33" s="358">
        <v>1.37</v>
      </c>
      <c r="E33" s="201">
        <f t="shared" ref="E33:E45" si="27">(D33-C33)/C33*100</f>
        <v>42.70833333333335</v>
      </c>
      <c r="F33" s="359">
        <v>99000000</v>
      </c>
      <c r="G33" s="360">
        <v>1.55</v>
      </c>
      <c r="H33" s="312">
        <f t="shared" ref="H33:H45" si="28">(G33-D33)/D33*100</f>
        <v>13.138686131386857</v>
      </c>
      <c r="I33" s="360">
        <v>1.75</v>
      </c>
      <c r="J33" s="312">
        <f t="shared" ref="J33:J45" si="29">(I33-D33)/D33*100</f>
        <v>27.737226277372251</v>
      </c>
      <c r="K33" s="362">
        <v>0.41319444444444442</v>
      </c>
      <c r="L33" s="358">
        <v>1.24</v>
      </c>
      <c r="M33" s="271">
        <f t="shared" si="6"/>
        <v>9.4890510948905185</v>
      </c>
      <c r="N33" s="359">
        <v>8000000</v>
      </c>
      <c r="O33" s="358" t="s">
        <v>216</v>
      </c>
      <c r="P33" s="316">
        <f t="shared" ref="P33:P36" si="30">E33+J33</f>
        <v>70.445559610705601</v>
      </c>
      <c r="Q33" s="307"/>
    </row>
    <row r="34" spans="1:17" s="306" customFormat="1" ht="19" x14ac:dyDescent="0.25">
      <c r="A34" s="307" t="s">
        <v>769</v>
      </c>
      <c r="B34" s="308">
        <v>44000</v>
      </c>
      <c r="C34" s="307">
        <v>0.56999999999999995</v>
      </c>
      <c r="D34" s="307">
        <v>0.98</v>
      </c>
      <c r="E34" s="201">
        <f t="shared" si="27"/>
        <v>71.929824561403521</v>
      </c>
      <c r="F34" s="202">
        <v>99000000</v>
      </c>
      <c r="G34" s="201">
        <v>1.17</v>
      </c>
      <c r="H34" s="312">
        <f t="shared" si="28"/>
        <v>19.38775510204081</v>
      </c>
      <c r="I34" s="201">
        <v>1.55</v>
      </c>
      <c r="J34" s="312">
        <f t="shared" si="29"/>
        <v>58.163265306122454</v>
      </c>
      <c r="K34" s="314">
        <v>0.4201388888888889</v>
      </c>
      <c r="L34" s="307">
        <v>0.9</v>
      </c>
      <c r="M34" s="271">
        <f t="shared" si="6"/>
        <v>8.1632653061224456</v>
      </c>
      <c r="N34" s="202">
        <v>5000000</v>
      </c>
      <c r="O34" s="307" t="s">
        <v>216</v>
      </c>
      <c r="P34" s="316">
        <f t="shared" si="30"/>
        <v>130.09308986752598</v>
      </c>
      <c r="Q34" s="307"/>
    </row>
    <row r="35" spans="1:17" ht="19" x14ac:dyDescent="0.25">
      <c r="A35" s="124" t="s">
        <v>856</v>
      </c>
      <c r="B35" s="124">
        <v>0.84</v>
      </c>
      <c r="C35" s="124">
        <v>1.63</v>
      </c>
      <c r="D35" s="124">
        <v>1.62</v>
      </c>
      <c r="E35" s="201">
        <v>1.63</v>
      </c>
      <c r="F35" s="137">
        <v>96000000</v>
      </c>
      <c r="G35" s="124">
        <v>2.2799999999999998</v>
      </c>
      <c r="H35" s="317">
        <f t="shared" si="28"/>
        <v>40.740740740740719</v>
      </c>
      <c r="I35" s="124">
        <v>2.54</v>
      </c>
      <c r="J35" s="317">
        <f t="shared" si="29"/>
        <v>56.79012345679012</v>
      </c>
      <c r="K35" s="370">
        <v>0.37777777777777777</v>
      </c>
      <c r="L35" s="124">
        <v>1.52</v>
      </c>
      <c r="M35" s="271">
        <f t="shared" si="6"/>
        <v>6.1728395061728447</v>
      </c>
      <c r="N35" s="146">
        <v>6000000</v>
      </c>
      <c r="O35" s="124" t="s">
        <v>167</v>
      </c>
      <c r="P35" s="124"/>
      <c r="Q35" s="124"/>
    </row>
    <row r="36" spans="1:17" s="306" customFormat="1" ht="19" x14ac:dyDescent="0.25">
      <c r="A36" s="307" t="s">
        <v>780</v>
      </c>
      <c r="B36" s="308">
        <v>44125</v>
      </c>
      <c r="C36" s="307">
        <v>0.86</v>
      </c>
      <c r="D36" s="307">
        <v>1.28</v>
      </c>
      <c r="E36" s="201">
        <f t="shared" si="27"/>
        <v>48.837209302325583</v>
      </c>
      <c r="F36" s="202">
        <v>92000000</v>
      </c>
      <c r="G36" s="341">
        <v>1.29</v>
      </c>
      <c r="H36" s="312">
        <f t="shared" si="28"/>
        <v>0.78125000000000067</v>
      </c>
      <c r="I36" s="201">
        <v>1.49</v>
      </c>
      <c r="J36" s="312">
        <f t="shared" si="29"/>
        <v>16.406249999999996</v>
      </c>
      <c r="K36" s="314">
        <v>0.53125</v>
      </c>
      <c r="L36" s="307">
        <v>1.1599999999999999</v>
      </c>
      <c r="M36" s="271">
        <f t="shared" si="6"/>
        <v>9.3750000000000089</v>
      </c>
      <c r="N36" s="202">
        <v>9000000</v>
      </c>
      <c r="O36" s="307" t="s">
        <v>167</v>
      </c>
      <c r="P36" s="316">
        <f t="shared" si="30"/>
        <v>65.243459302325576</v>
      </c>
      <c r="Q36" s="307"/>
    </row>
    <row r="37" spans="1:17" s="141" customFormat="1" ht="19" x14ac:dyDescent="0.25">
      <c r="A37" s="262" t="s">
        <v>879</v>
      </c>
      <c r="B37" s="273">
        <f t="shared" ref="B37:I37" si="31">(B33+B34+B36+B35)/4</f>
        <v>33064.21</v>
      </c>
      <c r="C37" s="273">
        <f t="shared" si="31"/>
        <v>1.0049999999999999</v>
      </c>
      <c r="D37" s="273">
        <f t="shared" si="31"/>
        <v>1.3125</v>
      </c>
      <c r="E37" s="273">
        <f t="shared" si="31"/>
        <v>41.276341799265616</v>
      </c>
      <c r="F37" s="273">
        <f t="shared" si="31"/>
        <v>96500000</v>
      </c>
      <c r="G37" s="273">
        <f t="shared" si="31"/>
        <v>1.5724999999999998</v>
      </c>
      <c r="H37" s="273">
        <f t="shared" si="31"/>
        <v>18.512107993542095</v>
      </c>
      <c r="I37" s="273">
        <f t="shared" si="31"/>
        <v>1.8325</v>
      </c>
      <c r="J37" s="273">
        <f>(J33+J34+J36+J35)/4</f>
        <v>39.774216260071206</v>
      </c>
      <c r="K37" s="273">
        <f t="shared" ref="K37:P37" si="32">(K33+K34+K36+K35)/4</f>
        <v>0.43559027777777776</v>
      </c>
      <c r="L37" s="273">
        <f t="shared" si="32"/>
        <v>1.2050000000000001</v>
      </c>
      <c r="M37" s="273">
        <f t="shared" si="32"/>
        <v>8.3000389767964542</v>
      </c>
      <c r="N37" s="273">
        <f t="shared" si="32"/>
        <v>7000000</v>
      </c>
      <c r="O37" s="273" t="e">
        <f t="shared" si="32"/>
        <v>#VALUE!</v>
      </c>
      <c r="P37" s="273">
        <f t="shared" si="32"/>
        <v>66.445527195139292</v>
      </c>
      <c r="Q37" s="410">
        <f>(0/4)*100</f>
        <v>0</v>
      </c>
    </row>
    <row r="38" spans="1:17" ht="21" x14ac:dyDescent="0.25">
      <c r="A38" s="139" t="s">
        <v>108</v>
      </c>
      <c r="B38" s="139" t="s">
        <v>107</v>
      </c>
      <c r="C38" s="139" t="s">
        <v>152</v>
      </c>
      <c r="D38" s="139" t="s">
        <v>153</v>
      </c>
      <c r="E38" s="139" t="s">
        <v>154</v>
      </c>
      <c r="F38" s="139" t="s">
        <v>155</v>
      </c>
      <c r="G38" s="263" t="s">
        <v>156</v>
      </c>
      <c r="H38" s="263" t="s">
        <v>157</v>
      </c>
      <c r="I38" s="263" t="s">
        <v>158</v>
      </c>
      <c r="J38" s="263" t="s">
        <v>159</v>
      </c>
      <c r="K38" s="263" t="s">
        <v>160</v>
      </c>
      <c r="L38" s="139" t="s">
        <v>161</v>
      </c>
      <c r="M38" s="139" t="s">
        <v>162</v>
      </c>
      <c r="N38" s="291" t="s">
        <v>163</v>
      </c>
      <c r="O38" s="285" t="s">
        <v>164</v>
      </c>
      <c r="P38" s="285" t="s">
        <v>174</v>
      </c>
      <c r="Q38" s="124"/>
    </row>
    <row r="39" spans="1:17" s="306" customFormat="1" ht="19" x14ac:dyDescent="0.25">
      <c r="A39" s="307" t="s">
        <v>763</v>
      </c>
      <c r="B39" s="308">
        <v>44064</v>
      </c>
      <c r="C39" s="307">
        <v>0.57999999999999996</v>
      </c>
      <c r="D39" s="307">
        <v>0.84</v>
      </c>
      <c r="E39" s="201">
        <f t="shared" si="27"/>
        <v>44.827586206896555</v>
      </c>
      <c r="F39" s="202">
        <v>76000000</v>
      </c>
      <c r="G39" s="201">
        <v>0.94</v>
      </c>
      <c r="H39" s="312">
        <f t="shared" si="28"/>
        <v>11.904761904761903</v>
      </c>
      <c r="I39" s="201">
        <v>0.96</v>
      </c>
      <c r="J39" s="312">
        <f t="shared" si="29"/>
        <v>14.285714285714285</v>
      </c>
      <c r="K39" s="314">
        <v>0.40069444444444446</v>
      </c>
      <c r="L39" s="307">
        <v>0.68</v>
      </c>
      <c r="M39" s="271">
        <f t="shared" si="6"/>
        <v>19.047619047619037</v>
      </c>
      <c r="N39" s="202">
        <v>52000000</v>
      </c>
      <c r="O39" s="307" t="s">
        <v>167</v>
      </c>
      <c r="P39" s="316">
        <f t="shared" ref="P39:P45" si="33">E39+J39</f>
        <v>59.11330049261084</v>
      </c>
      <c r="Q39" s="307"/>
    </row>
    <row r="40" spans="1:17" s="306" customFormat="1" ht="19" x14ac:dyDescent="0.25">
      <c r="A40" s="307" t="s">
        <v>783</v>
      </c>
      <c r="B40" s="308">
        <v>44125</v>
      </c>
      <c r="C40" s="307">
        <v>0.92</v>
      </c>
      <c r="D40" s="307">
        <v>2.94</v>
      </c>
      <c r="E40" s="201">
        <f t="shared" si="27"/>
        <v>219.56521739130434</v>
      </c>
      <c r="F40" s="202">
        <v>69000000</v>
      </c>
      <c r="G40" s="201">
        <v>3.81</v>
      </c>
      <c r="H40" s="312">
        <f t="shared" si="28"/>
        <v>29.591836734693882</v>
      </c>
      <c r="I40" s="201">
        <v>4.38</v>
      </c>
      <c r="J40" s="312">
        <f t="shared" si="29"/>
        <v>48.979591836734691</v>
      </c>
      <c r="K40" s="314">
        <v>0.4201388888888889</v>
      </c>
      <c r="L40" s="307">
        <v>0.38</v>
      </c>
      <c r="M40" s="271">
        <f t="shared" si="6"/>
        <v>87.074829931972801</v>
      </c>
      <c r="N40" s="202">
        <v>5000000</v>
      </c>
      <c r="O40" s="307">
        <v>52</v>
      </c>
      <c r="P40" s="316">
        <f t="shared" si="33"/>
        <v>268.54480922803901</v>
      </c>
      <c r="Q40" s="307"/>
    </row>
    <row r="41" spans="1:17" s="306" customFormat="1" ht="19" x14ac:dyDescent="0.25">
      <c r="A41" s="307" t="s">
        <v>233</v>
      </c>
      <c r="B41" s="308">
        <v>44111</v>
      </c>
      <c r="C41" s="201">
        <v>0.53</v>
      </c>
      <c r="D41" s="307">
        <v>1.98</v>
      </c>
      <c r="E41" s="309">
        <f t="shared" si="27"/>
        <v>273.58490566037733</v>
      </c>
      <c r="F41" s="202">
        <v>67000000</v>
      </c>
      <c r="G41" s="201">
        <v>1.98</v>
      </c>
      <c r="H41" s="312">
        <f t="shared" si="28"/>
        <v>0</v>
      </c>
      <c r="I41" s="328">
        <v>1.98</v>
      </c>
      <c r="J41" s="312">
        <f t="shared" si="29"/>
        <v>0</v>
      </c>
      <c r="K41" s="330">
        <v>0.39583333333333331</v>
      </c>
      <c r="L41" s="326">
        <v>1.17</v>
      </c>
      <c r="M41" s="271">
        <f t="shared" si="6"/>
        <v>40.909090909090914</v>
      </c>
      <c r="N41" s="329">
        <v>140000000</v>
      </c>
      <c r="O41" s="326" t="s">
        <v>170</v>
      </c>
      <c r="P41" s="316">
        <f t="shared" si="33"/>
        <v>273.58490566037733</v>
      </c>
      <c r="Q41" s="307"/>
    </row>
    <row r="42" spans="1:17" s="306" customFormat="1" ht="19" x14ac:dyDescent="0.25">
      <c r="A42" s="307" t="s">
        <v>234</v>
      </c>
      <c r="B42" s="308">
        <v>44116</v>
      </c>
      <c r="C42" s="307">
        <v>0.59</v>
      </c>
      <c r="D42" s="307">
        <v>2.63</v>
      </c>
      <c r="E42" s="309">
        <f t="shared" si="27"/>
        <v>345.76271186440681</v>
      </c>
      <c r="F42" s="202">
        <v>66000000</v>
      </c>
      <c r="G42" s="201">
        <v>2.79</v>
      </c>
      <c r="H42" s="312">
        <f t="shared" si="28"/>
        <v>6.0836501901140743</v>
      </c>
      <c r="I42" s="201">
        <v>2.79</v>
      </c>
      <c r="J42" s="312">
        <f t="shared" si="29"/>
        <v>6.0836501901140743</v>
      </c>
      <c r="K42" s="314">
        <v>0.39861111111111108</v>
      </c>
      <c r="L42" s="307">
        <v>1.1200000000000001</v>
      </c>
      <c r="M42" s="271">
        <f t="shared" si="6"/>
        <v>57.414448669201512</v>
      </c>
      <c r="N42" s="202">
        <v>3000000</v>
      </c>
      <c r="O42" s="307" t="s">
        <v>167</v>
      </c>
      <c r="P42" s="316">
        <f t="shared" si="33"/>
        <v>351.84636205452091</v>
      </c>
      <c r="Q42" s="307"/>
    </row>
    <row r="43" spans="1:17" s="306" customFormat="1" ht="19" x14ac:dyDescent="0.25">
      <c r="A43" s="307" t="s">
        <v>413</v>
      </c>
      <c r="B43" s="308">
        <v>43941</v>
      </c>
      <c r="C43" s="307">
        <v>0.76</v>
      </c>
      <c r="D43" s="307">
        <v>1.7</v>
      </c>
      <c r="E43" s="309">
        <f t="shared" si="27"/>
        <v>123.68421052631578</v>
      </c>
      <c r="F43" s="202">
        <v>62000000</v>
      </c>
      <c r="G43" s="201">
        <v>1.85</v>
      </c>
      <c r="H43" s="312">
        <f t="shared" si="28"/>
        <v>8.8235294117647136</v>
      </c>
      <c r="I43" s="201">
        <v>1.85</v>
      </c>
      <c r="J43" s="312">
        <f t="shared" si="29"/>
        <v>8.8235294117647136</v>
      </c>
      <c r="K43" s="314">
        <v>0.3972222222222222</v>
      </c>
      <c r="L43" s="307">
        <v>1.29</v>
      </c>
      <c r="M43" s="271">
        <f t="shared" si="6"/>
        <v>24.117647058823525</v>
      </c>
      <c r="N43" s="202">
        <v>33000000</v>
      </c>
      <c r="O43" s="307" t="s">
        <v>190</v>
      </c>
      <c r="P43" s="316">
        <f t="shared" si="33"/>
        <v>132.5077399380805</v>
      </c>
      <c r="Q43" s="307"/>
    </row>
    <row r="44" spans="1:17" s="306" customFormat="1" ht="19" x14ac:dyDescent="0.25">
      <c r="A44" s="307" t="s">
        <v>237</v>
      </c>
      <c r="B44" s="308">
        <v>43920</v>
      </c>
      <c r="C44" s="307">
        <v>0.53</v>
      </c>
      <c r="D44" s="307">
        <v>1</v>
      </c>
      <c r="E44" s="309">
        <f t="shared" si="27"/>
        <v>88.679245283018858</v>
      </c>
      <c r="F44" s="202">
        <v>63000000</v>
      </c>
      <c r="G44" s="201">
        <v>1.1299999999999999</v>
      </c>
      <c r="H44" s="312">
        <f t="shared" si="28"/>
        <v>12.999999999999989</v>
      </c>
      <c r="I44" s="201">
        <v>1.91</v>
      </c>
      <c r="J44" s="312">
        <f t="shared" si="29"/>
        <v>90.999999999999986</v>
      </c>
      <c r="K44" s="314">
        <v>0.4201388888888889</v>
      </c>
      <c r="L44" s="307">
        <v>1.08</v>
      </c>
      <c r="M44" s="269">
        <f t="shared" si="6"/>
        <v>-8.0000000000000071</v>
      </c>
      <c r="N44" s="202">
        <v>10000000</v>
      </c>
      <c r="O44" s="307" t="s">
        <v>167</v>
      </c>
      <c r="P44" s="316">
        <f t="shared" si="33"/>
        <v>179.67924528301884</v>
      </c>
      <c r="Q44" s="307"/>
    </row>
    <row r="45" spans="1:17" s="306" customFormat="1" ht="19" x14ac:dyDescent="0.25">
      <c r="A45" s="307" t="s">
        <v>813</v>
      </c>
      <c r="B45" s="308">
        <v>44056</v>
      </c>
      <c r="C45" s="307">
        <v>0.55000000000000004</v>
      </c>
      <c r="D45" s="307">
        <v>0.63</v>
      </c>
      <c r="E45" s="201">
        <f t="shared" si="27"/>
        <v>14.545454545454536</v>
      </c>
      <c r="F45" s="202">
        <v>61000000</v>
      </c>
      <c r="G45" s="201">
        <v>0.64</v>
      </c>
      <c r="H45" s="310">
        <f t="shared" si="28"/>
        <v>1.5873015873015885</v>
      </c>
      <c r="I45" s="201">
        <v>0.78</v>
      </c>
      <c r="J45" s="312">
        <f t="shared" si="29"/>
        <v>23.809523809523814</v>
      </c>
      <c r="K45" s="201">
        <v>0.54513888888888895</v>
      </c>
      <c r="L45" s="307">
        <v>0.7</v>
      </c>
      <c r="M45" s="269">
        <f t="shared" si="6"/>
        <v>-11.111111111111104</v>
      </c>
      <c r="N45" s="202">
        <v>110000000</v>
      </c>
      <c r="O45" s="307" t="s">
        <v>190</v>
      </c>
      <c r="P45" s="316">
        <f t="shared" si="33"/>
        <v>38.35497835497835</v>
      </c>
      <c r="Q45" s="307"/>
    </row>
    <row r="46" spans="1:17" s="141" customFormat="1" ht="19" x14ac:dyDescent="0.25">
      <c r="A46" s="275" t="s">
        <v>314</v>
      </c>
      <c r="B46" s="275">
        <f t="shared" ref="B46:I46" si="34">(B39+B40+B41+B42+B43+B44+B45)/7</f>
        <v>44047.571428571428</v>
      </c>
      <c r="C46" s="275">
        <f t="shared" si="34"/>
        <v>0.63714285714285712</v>
      </c>
      <c r="D46" s="275">
        <f t="shared" si="34"/>
        <v>1.6742857142857144</v>
      </c>
      <c r="E46" s="275">
        <f t="shared" si="34"/>
        <v>158.66419021111059</v>
      </c>
      <c r="F46" s="275">
        <f t="shared" si="34"/>
        <v>66285714.285714284</v>
      </c>
      <c r="G46" s="275">
        <f t="shared" si="34"/>
        <v>1.8771428571428572</v>
      </c>
      <c r="H46" s="275">
        <f t="shared" si="34"/>
        <v>10.141582832662305</v>
      </c>
      <c r="I46" s="275">
        <f t="shared" si="34"/>
        <v>2.0928571428571425</v>
      </c>
      <c r="J46" s="275">
        <f>(J39+J40+J41+J42+J43+J44+J45)/7</f>
        <v>27.568858504835937</v>
      </c>
      <c r="K46" s="275">
        <f t="shared" ref="K46:P46" si="35">(K39+K40+K41+K42+K43+K44+K45)/7</f>
        <v>0.42539682539682533</v>
      </c>
      <c r="L46" s="275">
        <f t="shared" si="35"/>
        <v>0.91714285714285726</v>
      </c>
      <c r="M46" s="275">
        <f t="shared" si="35"/>
        <v>29.921789215085237</v>
      </c>
      <c r="N46" s="275">
        <f t="shared" si="35"/>
        <v>50428571.428571425</v>
      </c>
      <c r="O46" s="275" t="e">
        <f t="shared" si="35"/>
        <v>#VALUE!</v>
      </c>
      <c r="P46" s="275">
        <f t="shared" si="35"/>
        <v>186.23304871594655</v>
      </c>
      <c r="Q46" s="410">
        <f>(2/7)*100</f>
        <v>28.571428571428569</v>
      </c>
    </row>
    <row r="47" spans="1:17" ht="21" x14ac:dyDescent="0.25">
      <c r="A47" s="139" t="s">
        <v>108</v>
      </c>
      <c r="B47" s="139" t="s">
        <v>107</v>
      </c>
      <c r="C47" s="139" t="s">
        <v>152</v>
      </c>
      <c r="D47" s="139" t="s">
        <v>153</v>
      </c>
      <c r="E47" s="139" t="s">
        <v>154</v>
      </c>
      <c r="F47" s="139" t="s">
        <v>155</v>
      </c>
      <c r="G47" s="263" t="s">
        <v>156</v>
      </c>
      <c r="H47" s="263" t="s">
        <v>157</v>
      </c>
      <c r="I47" s="263" t="s">
        <v>158</v>
      </c>
      <c r="J47" s="263" t="s">
        <v>159</v>
      </c>
      <c r="K47" s="263" t="s">
        <v>160</v>
      </c>
      <c r="L47" s="139" t="s">
        <v>161</v>
      </c>
      <c r="M47" s="139" t="s">
        <v>162</v>
      </c>
      <c r="N47" s="291" t="s">
        <v>163</v>
      </c>
      <c r="O47" s="285" t="s">
        <v>164</v>
      </c>
      <c r="P47" s="285" t="s">
        <v>174</v>
      </c>
      <c r="Q47" s="124"/>
    </row>
    <row r="48" spans="1:17" s="306" customFormat="1" ht="19" x14ac:dyDescent="0.25">
      <c r="A48" s="307" t="s">
        <v>112</v>
      </c>
      <c r="B48" s="308">
        <v>43843</v>
      </c>
      <c r="C48" s="307">
        <v>0.84</v>
      </c>
      <c r="D48" s="307">
        <v>1.6</v>
      </c>
      <c r="E48" s="309">
        <f t="shared" ref="E48:E50" si="36">(D48-C48)/C48*100</f>
        <v>90.476190476190496</v>
      </c>
      <c r="F48" s="202">
        <v>59000000</v>
      </c>
      <c r="G48" s="201">
        <v>1.72</v>
      </c>
      <c r="H48" s="312">
        <f t="shared" ref="H48:H50" si="37">(G48-D48)/D48*100</f>
        <v>7.4999999999999929</v>
      </c>
      <c r="I48" s="201">
        <v>2.21</v>
      </c>
      <c r="J48" s="312">
        <f t="shared" ref="J48:J50" si="38">(I48-D48)/D48*100</f>
        <v>38.124999999999993</v>
      </c>
      <c r="K48" s="314">
        <v>0.52777777777777779</v>
      </c>
      <c r="L48" s="307">
        <v>1.65</v>
      </c>
      <c r="M48" s="269">
        <f t="shared" si="6"/>
        <v>-3.1249999999999889</v>
      </c>
      <c r="N48" s="202">
        <v>20000000</v>
      </c>
      <c r="O48" s="307" t="s">
        <v>167</v>
      </c>
      <c r="P48" s="316">
        <f t="shared" ref="P48:P55" si="39">E48+J48</f>
        <v>128.60119047619048</v>
      </c>
      <c r="Q48" s="307"/>
    </row>
    <row r="49" spans="1:17" s="306" customFormat="1" ht="19" x14ac:dyDescent="0.25">
      <c r="A49" s="307" t="s">
        <v>413</v>
      </c>
      <c r="B49" s="308">
        <v>44061</v>
      </c>
      <c r="C49" s="307">
        <v>0.96</v>
      </c>
      <c r="D49" s="307">
        <v>1.26</v>
      </c>
      <c r="E49" s="309">
        <f t="shared" si="36"/>
        <v>31.250000000000007</v>
      </c>
      <c r="F49" s="202">
        <v>59000000</v>
      </c>
      <c r="G49" s="201">
        <v>1.43</v>
      </c>
      <c r="H49" s="312">
        <f t="shared" si="37"/>
        <v>13.492063492063485</v>
      </c>
      <c r="I49" s="201">
        <v>1.43</v>
      </c>
      <c r="J49" s="312">
        <f t="shared" si="38"/>
        <v>13.492063492063485</v>
      </c>
      <c r="K49" s="314">
        <v>0.3972222222222222</v>
      </c>
      <c r="L49" s="307">
        <v>1.06</v>
      </c>
      <c r="M49" s="271">
        <f t="shared" si="6"/>
        <v>15.87301587301587</v>
      </c>
      <c r="N49" s="202">
        <v>30000000</v>
      </c>
      <c r="O49" s="307" t="s">
        <v>190</v>
      </c>
      <c r="P49" s="316">
        <f t="shared" si="39"/>
        <v>44.742063492063494</v>
      </c>
      <c r="Q49" s="307"/>
    </row>
    <row r="50" spans="1:17" s="306" customFormat="1" ht="19" x14ac:dyDescent="0.25">
      <c r="A50" s="307" t="s">
        <v>243</v>
      </c>
      <c r="B50" s="308">
        <v>44077</v>
      </c>
      <c r="C50" s="307">
        <v>0.83</v>
      </c>
      <c r="D50" s="307">
        <v>1.28</v>
      </c>
      <c r="E50" s="309">
        <f t="shared" si="36"/>
        <v>54.216867469879524</v>
      </c>
      <c r="F50" s="202">
        <v>57000000</v>
      </c>
      <c r="G50" s="201">
        <v>1.4</v>
      </c>
      <c r="H50" s="312">
        <f t="shared" si="37"/>
        <v>9.3749999999999911</v>
      </c>
      <c r="I50" s="201">
        <v>1.4</v>
      </c>
      <c r="J50" s="312">
        <f t="shared" si="38"/>
        <v>9.3749999999999911</v>
      </c>
      <c r="K50" s="314">
        <v>0.3979166666666667</v>
      </c>
      <c r="L50" s="307">
        <v>1.01</v>
      </c>
      <c r="M50" s="271">
        <f t="shared" si="6"/>
        <v>21.09375</v>
      </c>
      <c r="N50" s="202">
        <v>5000000</v>
      </c>
      <c r="O50" s="307" t="s">
        <v>167</v>
      </c>
      <c r="P50" s="316">
        <f t="shared" si="39"/>
        <v>63.591867469879517</v>
      </c>
      <c r="Q50" s="307"/>
    </row>
    <row r="51" spans="1:17" s="306" customFormat="1" ht="19" x14ac:dyDescent="0.25">
      <c r="A51" s="347" t="s">
        <v>238</v>
      </c>
      <c r="B51" s="348">
        <v>43928</v>
      </c>
      <c r="C51" s="347">
        <v>0.79</v>
      </c>
      <c r="D51" s="347">
        <v>1.26</v>
      </c>
      <c r="E51" s="309">
        <f>(D51-C51)/C51*100</f>
        <v>59.493670886075947</v>
      </c>
      <c r="F51" s="349">
        <v>56000000</v>
      </c>
      <c r="G51" s="350">
        <v>1.28</v>
      </c>
      <c r="H51" s="312">
        <f>(G51-D51)/D51*100</f>
        <v>1.5873015873015885</v>
      </c>
      <c r="I51" s="201">
        <v>1.95</v>
      </c>
      <c r="J51" s="312">
        <f>(I51-D51)/D51*100</f>
        <v>54.761904761904759</v>
      </c>
      <c r="K51" s="314">
        <v>0.47916666666666669</v>
      </c>
      <c r="L51" s="347">
        <v>1.58</v>
      </c>
      <c r="M51" s="269">
        <f t="shared" si="6"/>
        <v>-25.396825396825403</v>
      </c>
      <c r="N51" s="349">
        <v>10000000</v>
      </c>
      <c r="O51" s="307" t="s">
        <v>167</v>
      </c>
      <c r="P51" s="316">
        <f t="shared" si="39"/>
        <v>114.25557564798071</v>
      </c>
      <c r="Q51" s="307"/>
    </row>
    <row r="52" spans="1:17" s="306" customFormat="1" ht="19" x14ac:dyDescent="0.25">
      <c r="A52" s="307" t="s">
        <v>488</v>
      </c>
      <c r="B52" s="308">
        <v>44084</v>
      </c>
      <c r="C52" s="307">
        <v>0.35</v>
      </c>
      <c r="D52" s="307">
        <v>0.52</v>
      </c>
      <c r="E52" s="201">
        <f t="shared" ref="E52" si="40">(D52-C52)/C52*100</f>
        <v>48.571428571428591</v>
      </c>
      <c r="F52" s="202">
        <v>54000000</v>
      </c>
      <c r="G52" s="201">
        <v>0.56000000000000005</v>
      </c>
      <c r="H52" s="312">
        <f t="shared" ref="H52" si="41">(G52-D52)/D52*100</f>
        <v>7.6923076923076987</v>
      </c>
      <c r="I52" s="201">
        <v>0.55000000000000004</v>
      </c>
      <c r="J52" s="312">
        <f t="shared" ref="J52" si="42">(I52-D52)/D52*100</f>
        <v>5.7692307692307745</v>
      </c>
      <c r="K52" s="314">
        <v>0.39930555555555558</v>
      </c>
      <c r="L52" s="307">
        <v>0.38</v>
      </c>
      <c r="M52" s="271">
        <f t="shared" si="6"/>
        <v>26.923076923076927</v>
      </c>
      <c r="N52" s="202">
        <v>25000000</v>
      </c>
      <c r="O52" s="307" t="s">
        <v>190</v>
      </c>
      <c r="P52" s="316">
        <f t="shared" si="39"/>
        <v>54.340659340659364</v>
      </c>
      <c r="Q52" s="307"/>
    </row>
    <row r="53" spans="1:17" s="306" customFormat="1" ht="19" x14ac:dyDescent="0.25">
      <c r="A53" s="347" t="s">
        <v>240</v>
      </c>
      <c r="B53" s="308">
        <v>43957</v>
      </c>
      <c r="C53" s="307">
        <v>0.96</v>
      </c>
      <c r="D53" s="307">
        <v>2.06</v>
      </c>
      <c r="E53" s="309">
        <f>(D53-C53)/C53*100</f>
        <v>114.58333333333334</v>
      </c>
      <c r="F53" s="202">
        <v>52000000</v>
      </c>
      <c r="G53" s="201">
        <v>2.59</v>
      </c>
      <c r="H53" s="312">
        <f>(G53-D53)/D53*100</f>
        <v>25.728155339805813</v>
      </c>
      <c r="I53" s="201">
        <v>3.06</v>
      </c>
      <c r="J53" s="312">
        <f>(I53-D53)/D53*100</f>
        <v>48.543689320388353</v>
      </c>
      <c r="K53" s="314">
        <v>0.40902777777777777</v>
      </c>
      <c r="L53" s="307">
        <v>1.65</v>
      </c>
      <c r="M53" s="271">
        <f t="shared" si="6"/>
        <v>19.902912621359228</v>
      </c>
      <c r="N53" s="202">
        <v>15000000</v>
      </c>
      <c r="O53" s="307" t="s">
        <v>167</v>
      </c>
      <c r="P53" s="316">
        <f t="shared" si="39"/>
        <v>163.1270226537217</v>
      </c>
      <c r="Q53" s="307"/>
    </row>
    <row r="54" spans="1:17" ht="19" x14ac:dyDescent="0.25">
      <c r="A54" s="124" t="s">
        <v>798</v>
      </c>
      <c r="B54" s="261">
        <v>44166</v>
      </c>
      <c r="C54" s="124">
        <v>0.78</v>
      </c>
      <c r="D54" s="124">
        <v>1.1000000000000001</v>
      </c>
      <c r="E54" s="201">
        <f t="shared" ref="E54" si="43">(D54-C54)/C54*100</f>
        <v>41.025641025641029</v>
      </c>
      <c r="F54" s="137">
        <v>52000000</v>
      </c>
      <c r="G54" s="124">
        <v>1.22</v>
      </c>
      <c r="H54" s="317">
        <f t="shared" ref="H54" si="44">(G54-D54)/D54*100</f>
        <v>10.909090909090898</v>
      </c>
      <c r="I54" s="124">
        <v>1.22</v>
      </c>
      <c r="J54" s="317">
        <f t="shared" ref="J54" si="45">(I54-D54)/D54*100</f>
        <v>10.909090909090898</v>
      </c>
      <c r="K54" s="370">
        <v>0.39930555555555558</v>
      </c>
      <c r="L54" s="124">
        <v>0.99</v>
      </c>
      <c r="M54" s="271">
        <f t="shared" si="6"/>
        <v>10.000000000000007</v>
      </c>
      <c r="N54" s="146">
        <v>30000000</v>
      </c>
      <c r="O54" s="124" t="s">
        <v>190</v>
      </c>
      <c r="P54" s="316">
        <f t="shared" si="39"/>
        <v>51.934731934731929</v>
      </c>
      <c r="Q54" s="124"/>
    </row>
    <row r="55" spans="1:17" s="306" customFormat="1" ht="19" x14ac:dyDescent="0.25">
      <c r="A55" s="307" t="s">
        <v>243</v>
      </c>
      <c r="B55" s="308">
        <v>44117</v>
      </c>
      <c r="C55" s="307">
        <v>0.84</v>
      </c>
      <c r="D55" s="307">
        <v>1.22</v>
      </c>
      <c r="E55" s="309">
        <f t="shared" ref="E55" si="46">(D55-C55)/C55*100</f>
        <v>45.238095238095241</v>
      </c>
      <c r="F55" s="202">
        <v>50000000</v>
      </c>
      <c r="G55" s="201">
        <v>1.29</v>
      </c>
      <c r="H55" s="312">
        <f t="shared" ref="H55" si="47">(G55-D55)/D55*100</f>
        <v>5.7377049180327919</v>
      </c>
      <c r="I55" s="201">
        <v>1.29</v>
      </c>
      <c r="J55" s="312">
        <f t="shared" ref="J55" si="48">(I55-D55)/D55*100</f>
        <v>5.7377049180327919</v>
      </c>
      <c r="K55" s="314">
        <v>0.39652777777777781</v>
      </c>
      <c r="L55" s="307">
        <v>1.03</v>
      </c>
      <c r="M55" s="271">
        <f t="shared" si="6"/>
        <v>15.573770491803273</v>
      </c>
      <c r="N55" s="202">
        <v>4000000</v>
      </c>
      <c r="O55" s="307" t="s">
        <v>190</v>
      </c>
      <c r="P55" s="316">
        <f t="shared" si="39"/>
        <v>50.975800156128031</v>
      </c>
      <c r="Q55" s="307"/>
    </row>
    <row r="56" spans="1:17" s="141" customFormat="1" ht="19" x14ac:dyDescent="0.25">
      <c r="A56" s="275" t="s">
        <v>315</v>
      </c>
      <c r="B56" s="275">
        <f t="shared" ref="B56:I56" si="49">(B48+B49+B50+B51+B52+B53+B55+B54)/8</f>
        <v>44029.125</v>
      </c>
      <c r="C56" s="275">
        <f t="shared" si="49"/>
        <v>0.79375000000000007</v>
      </c>
      <c r="D56" s="275">
        <f t="shared" si="49"/>
        <v>1.2875000000000001</v>
      </c>
      <c r="E56" s="275">
        <f t="shared" si="49"/>
        <v>60.606903375080535</v>
      </c>
      <c r="F56" s="275">
        <f t="shared" si="49"/>
        <v>54875000</v>
      </c>
      <c r="G56" s="275">
        <f t="shared" si="49"/>
        <v>1.43625</v>
      </c>
      <c r="H56" s="275">
        <f t="shared" si="49"/>
        <v>10.252702992325283</v>
      </c>
      <c r="I56" s="275">
        <f t="shared" si="49"/>
        <v>1.6387500000000002</v>
      </c>
      <c r="J56" s="275">
        <f>(J48+J49+J50+J51+J52+J53+J55+J54)/8</f>
        <v>23.339210521338881</v>
      </c>
      <c r="K56" s="275">
        <f t="shared" ref="K56:P56" si="50">(K48+K49+K50+K51+K52+K53+K55+K54)/8</f>
        <v>0.42578125</v>
      </c>
      <c r="L56" s="275">
        <f t="shared" si="50"/>
        <v>1.16875</v>
      </c>
      <c r="M56" s="275">
        <f t="shared" si="50"/>
        <v>10.105587564053739</v>
      </c>
      <c r="N56" s="275">
        <f t="shared" si="50"/>
        <v>17375000</v>
      </c>
      <c r="O56" s="275" t="e">
        <f t="shared" si="50"/>
        <v>#VALUE!</v>
      </c>
      <c r="P56" s="275">
        <f t="shared" si="50"/>
        <v>83.946113896419405</v>
      </c>
      <c r="Q56" s="410">
        <f>(2/8)*100</f>
        <v>25</v>
      </c>
    </row>
    <row r="57" spans="1:17" ht="21" x14ac:dyDescent="0.25">
      <c r="A57" s="139" t="s">
        <v>108</v>
      </c>
      <c r="B57" s="139" t="s">
        <v>107</v>
      </c>
      <c r="C57" s="139" t="s">
        <v>152</v>
      </c>
      <c r="D57" s="139" t="s">
        <v>153</v>
      </c>
      <c r="E57" s="139" t="s">
        <v>154</v>
      </c>
      <c r="F57" s="139" t="s">
        <v>155</v>
      </c>
      <c r="G57" s="263" t="s">
        <v>156</v>
      </c>
      <c r="H57" s="263" t="s">
        <v>157</v>
      </c>
      <c r="I57" s="263" t="s">
        <v>158</v>
      </c>
      <c r="J57" s="263" t="s">
        <v>159</v>
      </c>
      <c r="K57" s="263" t="s">
        <v>160</v>
      </c>
      <c r="L57" s="139" t="s">
        <v>161</v>
      </c>
      <c r="M57" s="139" t="s">
        <v>162</v>
      </c>
      <c r="N57" s="291" t="s">
        <v>163</v>
      </c>
      <c r="O57" s="285" t="s">
        <v>164</v>
      </c>
      <c r="P57" s="285" t="s">
        <v>174</v>
      </c>
      <c r="Q57" s="124"/>
    </row>
    <row r="58" spans="1:17" s="306" customFormat="1" ht="19" x14ac:dyDescent="0.25">
      <c r="A58" s="307" t="s">
        <v>245</v>
      </c>
      <c r="B58" s="308">
        <v>44113</v>
      </c>
      <c r="C58" s="201">
        <v>0.32</v>
      </c>
      <c r="D58" s="307">
        <v>0.59</v>
      </c>
      <c r="E58" s="309">
        <f t="shared" ref="E58:E60" si="51">(D58-C58)/C58*100</f>
        <v>84.374999999999986</v>
      </c>
      <c r="F58" s="202">
        <v>49000000</v>
      </c>
      <c r="G58" s="201">
        <v>0.59</v>
      </c>
      <c r="H58" s="312">
        <f t="shared" ref="H58:H60" si="52">(G58-D58)/D58*100</f>
        <v>0</v>
      </c>
      <c r="I58" s="201">
        <v>0.64</v>
      </c>
      <c r="J58" s="312">
        <f t="shared" ref="J58:J60" si="53">(I58-D58)/D58*100</f>
        <v>8.4745762711864483</v>
      </c>
      <c r="K58" s="314">
        <v>0.40069444444444446</v>
      </c>
      <c r="L58" s="307">
        <v>0.45</v>
      </c>
      <c r="M58" s="271">
        <f t="shared" si="6"/>
        <v>23.728813559322028</v>
      </c>
      <c r="N58" s="202">
        <v>8000000</v>
      </c>
      <c r="O58" s="307" t="s">
        <v>216</v>
      </c>
      <c r="P58" s="316">
        <f t="shared" ref="P58:P60" si="54">E58+J58</f>
        <v>92.849576271186436</v>
      </c>
      <c r="Q58" s="307"/>
    </row>
    <row r="59" spans="1:17" ht="19" x14ac:dyDescent="0.25">
      <c r="A59" s="124" t="s">
        <v>237</v>
      </c>
      <c r="B59" s="261">
        <v>44165</v>
      </c>
      <c r="C59" s="124">
        <v>0.86</v>
      </c>
      <c r="D59" s="124">
        <v>1.59</v>
      </c>
      <c r="E59" s="201">
        <f t="shared" si="51"/>
        <v>84.88372093023257</v>
      </c>
      <c r="F59" s="137">
        <v>45000000</v>
      </c>
      <c r="G59" s="124">
        <v>1.64</v>
      </c>
      <c r="H59" s="317">
        <f t="shared" si="52"/>
        <v>3.1446540880503036</v>
      </c>
      <c r="I59" s="124">
        <v>1.64</v>
      </c>
      <c r="J59" s="317">
        <f t="shared" si="53"/>
        <v>3.1446540880503036</v>
      </c>
      <c r="K59" s="370">
        <v>0.3979166666666667</v>
      </c>
      <c r="L59" s="124">
        <v>1.2</v>
      </c>
      <c r="M59" s="271">
        <f t="shared" si="6"/>
        <v>24.528301886792459</v>
      </c>
      <c r="N59" s="146">
        <v>12000000</v>
      </c>
      <c r="O59" s="124" t="s">
        <v>167</v>
      </c>
      <c r="P59" s="124"/>
      <c r="Q59" s="124"/>
    </row>
    <row r="60" spans="1:17" s="306" customFormat="1" ht="19" x14ac:dyDescent="0.25">
      <c r="A60" s="307" t="s">
        <v>247</v>
      </c>
      <c r="B60" s="308">
        <v>44091</v>
      </c>
      <c r="C60" s="307">
        <v>0.96</v>
      </c>
      <c r="D60" s="307">
        <v>1.21</v>
      </c>
      <c r="E60" s="309">
        <f t="shared" si="51"/>
        <v>26.041666666666668</v>
      </c>
      <c r="F60" s="202">
        <v>44000000</v>
      </c>
      <c r="G60" s="201">
        <v>1.22</v>
      </c>
      <c r="H60" s="312">
        <f t="shared" si="52"/>
        <v>0.82644628099173623</v>
      </c>
      <c r="I60" s="201">
        <v>1.22</v>
      </c>
      <c r="J60" s="312">
        <f t="shared" si="53"/>
        <v>0.82644628099173623</v>
      </c>
      <c r="K60" s="314">
        <v>0.3979166666666667</v>
      </c>
      <c r="L60" s="307">
        <v>1.1399999999999999</v>
      </c>
      <c r="M60" s="271">
        <f t="shared" si="6"/>
        <v>5.7851239669421535</v>
      </c>
      <c r="N60" s="202">
        <v>440000000</v>
      </c>
      <c r="O60" s="307" t="s">
        <v>190</v>
      </c>
      <c r="P60" s="316">
        <f t="shared" si="54"/>
        <v>26.868112947658403</v>
      </c>
      <c r="Q60" s="307"/>
    </row>
    <row r="61" spans="1:17" ht="19" x14ac:dyDescent="0.25">
      <c r="A61" s="262" t="s">
        <v>254</v>
      </c>
      <c r="B61" s="262"/>
      <c r="C61" s="273">
        <f t="shared" ref="C61:I61" si="55">(C58+C60+C59)/3</f>
        <v>0.71333333333333337</v>
      </c>
      <c r="D61" s="273">
        <f t="shared" si="55"/>
        <v>1.1299999999999999</v>
      </c>
      <c r="E61" s="273">
        <f t="shared" si="55"/>
        <v>65.1001291989664</v>
      </c>
      <c r="F61" s="273">
        <f t="shared" si="55"/>
        <v>46000000</v>
      </c>
      <c r="G61" s="273">
        <f t="shared" si="55"/>
        <v>1.1500000000000001</v>
      </c>
      <c r="H61" s="273">
        <f t="shared" si="55"/>
        <v>1.3237001230140133</v>
      </c>
      <c r="I61" s="273">
        <f t="shared" si="55"/>
        <v>1.1666666666666667</v>
      </c>
      <c r="J61" s="273">
        <f>(J58+J60+J59)/3</f>
        <v>4.1485588800761626</v>
      </c>
      <c r="K61" s="273">
        <f t="shared" ref="K61:P61" si="56">(K58+K60+K59)/3</f>
        <v>0.39884259259259264</v>
      </c>
      <c r="L61" s="273">
        <f t="shared" si="56"/>
        <v>0.93</v>
      </c>
      <c r="M61" s="273">
        <f t="shared" si="56"/>
        <v>18.01407980435221</v>
      </c>
      <c r="N61" s="273">
        <f t="shared" si="56"/>
        <v>153333333.33333334</v>
      </c>
      <c r="O61" s="273" t="e">
        <f t="shared" si="56"/>
        <v>#VALUE!</v>
      </c>
      <c r="P61" s="273">
        <f t="shared" si="56"/>
        <v>39.905896406281613</v>
      </c>
      <c r="Q61" s="410">
        <f>(0/3)*100</f>
        <v>0</v>
      </c>
    </row>
    <row r="62" spans="1:17" ht="21" x14ac:dyDescent="0.25">
      <c r="A62" s="139" t="s">
        <v>108</v>
      </c>
      <c r="B62" s="139" t="s">
        <v>107</v>
      </c>
      <c r="C62" s="139" t="s">
        <v>152</v>
      </c>
      <c r="D62" s="139" t="s">
        <v>153</v>
      </c>
      <c r="E62" s="139" t="s">
        <v>154</v>
      </c>
      <c r="F62" s="139" t="s">
        <v>155</v>
      </c>
      <c r="G62" s="263" t="s">
        <v>156</v>
      </c>
      <c r="H62" s="263" t="s">
        <v>157</v>
      </c>
      <c r="I62" s="263" t="s">
        <v>158</v>
      </c>
      <c r="J62" s="263" t="s">
        <v>159</v>
      </c>
      <c r="K62" s="263" t="s">
        <v>160</v>
      </c>
      <c r="L62" s="139" t="s">
        <v>161</v>
      </c>
      <c r="M62" s="139" t="s">
        <v>162</v>
      </c>
      <c r="N62" s="291" t="s">
        <v>163</v>
      </c>
      <c r="O62" s="285" t="s">
        <v>164</v>
      </c>
      <c r="P62" s="285" t="s">
        <v>174</v>
      </c>
      <c r="Q62" s="124"/>
    </row>
    <row r="63" spans="1:17" s="306" customFormat="1" ht="19" x14ac:dyDescent="0.25">
      <c r="A63" s="307" t="s">
        <v>257</v>
      </c>
      <c r="B63" s="308">
        <v>44116</v>
      </c>
      <c r="C63" s="307">
        <v>0.43</v>
      </c>
      <c r="D63" s="307">
        <v>0.6</v>
      </c>
      <c r="E63" s="309">
        <f t="shared" ref="E63:E69" si="57">(D63-C63)/C63*100</f>
        <v>39.534883720930232</v>
      </c>
      <c r="F63" s="202">
        <v>35000000</v>
      </c>
      <c r="G63" s="201">
        <v>0.7</v>
      </c>
      <c r="H63" s="312">
        <f t="shared" ref="H63:H69" si="58">(G63-D63)/D63*100</f>
        <v>16.666666666666664</v>
      </c>
      <c r="I63" s="201">
        <v>1.06</v>
      </c>
      <c r="J63" s="312">
        <f t="shared" ref="J63:J69" si="59">(I63-D63)/D63*100</f>
        <v>76.666666666666686</v>
      </c>
      <c r="K63" s="314">
        <v>0.4201388888888889</v>
      </c>
      <c r="L63" s="307">
        <v>0.6</v>
      </c>
      <c r="M63" s="271">
        <f t="shared" si="6"/>
        <v>0</v>
      </c>
      <c r="N63" s="202">
        <v>180000000</v>
      </c>
      <c r="O63" s="307" t="s">
        <v>167</v>
      </c>
      <c r="P63" s="316">
        <f t="shared" ref="P63:P69" si="60">E63+J63</f>
        <v>116.20155038759691</v>
      </c>
      <c r="Q63" s="307"/>
    </row>
    <row r="64" spans="1:17" s="306" customFormat="1" ht="19" x14ac:dyDescent="0.25">
      <c r="A64" s="307" t="s">
        <v>559</v>
      </c>
      <c r="B64" s="308">
        <v>44126</v>
      </c>
      <c r="C64" s="307">
        <v>0.88</v>
      </c>
      <c r="D64" s="307">
        <v>1.22</v>
      </c>
      <c r="E64" s="201">
        <f t="shared" si="57"/>
        <v>38.636363636363633</v>
      </c>
      <c r="F64" s="202">
        <v>35000000</v>
      </c>
      <c r="G64" s="341">
        <v>1.33</v>
      </c>
      <c r="H64" s="312">
        <f t="shared" si="58"/>
        <v>9.0163934426229595</v>
      </c>
      <c r="I64" s="201">
        <v>1.33</v>
      </c>
      <c r="J64" s="312">
        <f t="shared" si="59"/>
        <v>9.0163934426229595</v>
      </c>
      <c r="K64" s="314">
        <v>0.3972222222222222</v>
      </c>
      <c r="L64" s="307">
        <v>1.07</v>
      </c>
      <c r="M64" s="271">
        <f t="shared" si="6"/>
        <v>12.295081967213108</v>
      </c>
      <c r="N64" s="202">
        <v>4000000</v>
      </c>
      <c r="O64" s="307" t="s">
        <v>190</v>
      </c>
      <c r="P64" s="316">
        <f t="shared" si="60"/>
        <v>47.652757078986596</v>
      </c>
      <c r="Q64" s="307"/>
    </row>
    <row r="65" spans="1:17" s="306" customFormat="1" ht="19" x14ac:dyDescent="0.25">
      <c r="A65" s="307" t="s">
        <v>779</v>
      </c>
      <c r="B65" s="308">
        <v>44098</v>
      </c>
      <c r="C65" s="307">
        <v>0.52</v>
      </c>
      <c r="D65" s="307">
        <v>0.94</v>
      </c>
      <c r="E65" s="201">
        <f t="shared" si="57"/>
        <v>80.769230769230745</v>
      </c>
      <c r="F65" s="202">
        <v>33000000</v>
      </c>
      <c r="G65" s="201">
        <v>1.1100000000000001</v>
      </c>
      <c r="H65" s="312">
        <f t="shared" si="58"/>
        <v>18.08510638297874</v>
      </c>
      <c r="I65" s="201">
        <v>1.23</v>
      </c>
      <c r="J65" s="312">
        <f t="shared" si="59"/>
        <v>30.85106382978724</v>
      </c>
      <c r="K65" s="314">
        <v>0.40069444444444446</v>
      </c>
      <c r="L65" s="307">
        <v>0.68</v>
      </c>
      <c r="M65" s="271">
        <f t="shared" si="6"/>
        <v>27.659574468085097</v>
      </c>
      <c r="N65" s="202">
        <v>19000000</v>
      </c>
      <c r="O65" s="307" t="s">
        <v>170</v>
      </c>
      <c r="P65" s="316">
        <f t="shared" si="60"/>
        <v>111.62029459901798</v>
      </c>
      <c r="Q65" s="307"/>
    </row>
    <row r="66" spans="1:17" s="306" customFormat="1" ht="21" customHeight="1" x14ac:dyDescent="0.25">
      <c r="A66" s="307" t="s">
        <v>260</v>
      </c>
      <c r="B66" s="308">
        <v>44116</v>
      </c>
      <c r="C66" s="307">
        <v>0.6</v>
      </c>
      <c r="D66" s="307">
        <v>0.85</v>
      </c>
      <c r="E66" s="309">
        <f t="shared" si="57"/>
        <v>41.666666666666671</v>
      </c>
      <c r="F66" s="202">
        <v>33000000</v>
      </c>
      <c r="G66" s="201">
        <v>0.88</v>
      </c>
      <c r="H66" s="312">
        <f t="shared" si="58"/>
        <v>3.5294117647058858</v>
      </c>
      <c r="I66" s="201">
        <v>0.88</v>
      </c>
      <c r="J66" s="312">
        <f t="shared" si="59"/>
        <v>3.5294117647058858</v>
      </c>
      <c r="K66" s="314">
        <v>0.3972222222222222</v>
      </c>
      <c r="L66" s="307">
        <v>0.63</v>
      </c>
      <c r="M66" s="271">
        <f t="shared" si="6"/>
        <v>25.882352941176467</v>
      </c>
      <c r="N66" s="202">
        <v>18000000</v>
      </c>
      <c r="O66" s="307" t="s">
        <v>167</v>
      </c>
      <c r="P66" s="316">
        <f t="shared" si="60"/>
        <v>45.196078431372555</v>
      </c>
      <c r="Q66" s="307"/>
    </row>
    <row r="67" spans="1:17" s="306" customFormat="1" ht="19" x14ac:dyDescent="0.25">
      <c r="A67" s="307" t="s">
        <v>261</v>
      </c>
      <c r="B67" s="308">
        <v>44099</v>
      </c>
      <c r="C67" s="307">
        <v>0.92</v>
      </c>
      <c r="D67" s="307">
        <v>1.22</v>
      </c>
      <c r="E67" s="309">
        <f t="shared" si="57"/>
        <v>32.6086956521739</v>
      </c>
      <c r="F67" s="202">
        <v>33000000</v>
      </c>
      <c r="G67" s="201">
        <v>1.23</v>
      </c>
      <c r="H67" s="312">
        <f t="shared" si="58"/>
        <v>0.81967213114754167</v>
      </c>
      <c r="I67" s="201">
        <v>1.86</v>
      </c>
      <c r="J67" s="312">
        <f t="shared" si="59"/>
        <v>52.459016393442639</v>
      </c>
      <c r="K67" s="314">
        <v>0.4201388888888889</v>
      </c>
      <c r="L67" s="307">
        <v>1.33</v>
      </c>
      <c r="M67" s="269">
        <f t="shared" si="6"/>
        <v>-9.0163934426229595</v>
      </c>
      <c r="N67" s="202">
        <v>10000000</v>
      </c>
      <c r="O67" s="307" t="s">
        <v>190</v>
      </c>
      <c r="P67" s="316">
        <f t="shared" si="60"/>
        <v>85.067712045616531</v>
      </c>
      <c r="Q67" s="307"/>
    </row>
    <row r="68" spans="1:17" s="306" customFormat="1" ht="19" x14ac:dyDescent="0.25">
      <c r="A68" s="307" t="s">
        <v>814</v>
      </c>
      <c r="B68" s="308">
        <v>44057</v>
      </c>
      <c r="C68" s="307">
        <v>0.69</v>
      </c>
      <c r="D68" s="307">
        <v>0.82</v>
      </c>
      <c r="E68" s="201">
        <f t="shared" si="57"/>
        <v>18.840579710144929</v>
      </c>
      <c r="F68" s="202">
        <v>31000000</v>
      </c>
      <c r="G68" s="201">
        <v>0.93</v>
      </c>
      <c r="H68" s="310">
        <f t="shared" si="58"/>
        <v>13.414634146341475</v>
      </c>
      <c r="I68" s="201">
        <v>0.94</v>
      </c>
      <c r="J68" s="312">
        <f t="shared" si="59"/>
        <v>14.634146341463413</v>
      </c>
      <c r="K68" s="201">
        <v>0.3979166666666667</v>
      </c>
      <c r="L68" s="307">
        <v>0.76</v>
      </c>
      <c r="M68" s="271">
        <f t="shared" si="6"/>
        <v>7.3170731707317014</v>
      </c>
      <c r="N68" s="202">
        <v>38000000</v>
      </c>
      <c r="O68" s="307" t="s">
        <v>190</v>
      </c>
      <c r="P68" s="316">
        <f t="shared" si="60"/>
        <v>33.474726051608343</v>
      </c>
      <c r="Q68" s="307"/>
    </row>
    <row r="69" spans="1:17" s="141" customFormat="1" ht="19" x14ac:dyDescent="0.25">
      <c r="A69" s="138" t="s">
        <v>265</v>
      </c>
      <c r="B69" s="143">
        <v>43866</v>
      </c>
      <c r="C69" s="138">
        <v>2.2999999999999998</v>
      </c>
      <c r="D69" s="138">
        <v>3</v>
      </c>
      <c r="E69" s="421">
        <f t="shared" si="57"/>
        <v>30.434782608695659</v>
      </c>
      <c r="F69" s="256">
        <v>30000000</v>
      </c>
      <c r="G69" s="144">
        <v>3.15</v>
      </c>
      <c r="H69" s="267">
        <f t="shared" si="58"/>
        <v>4.9999999999999964</v>
      </c>
      <c r="I69" s="144">
        <v>4.1500000000000004</v>
      </c>
      <c r="J69" s="267">
        <f t="shared" si="59"/>
        <v>38.33333333333335</v>
      </c>
      <c r="K69" s="265">
        <v>0.625</v>
      </c>
      <c r="L69" s="138">
        <v>3.39</v>
      </c>
      <c r="M69" s="269">
        <f t="shared" si="6"/>
        <v>-13.000000000000004</v>
      </c>
      <c r="N69" s="256">
        <v>10000000</v>
      </c>
      <c r="O69" s="138" t="s">
        <v>167</v>
      </c>
      <c r="P69" s="417">
        <f t="shared" si="60"/>
        <v>68.768115942029013</v>
      </c>
      <c r="Q69" s="138"/>
    </row>
    <row r="70" spans="1:17" ht="19" x14ac:dyDescent="0.25">
      <c r="A70" s="262" t="s">
        <v>268</v>
      </c>
      <c r="B70" s="273">
        <f t="shared" ref="B70:I70" si="61">(B63+B64+B65+B66+B67+B68+B69)/7</f>
        <v>44068.285714285717</v>
      </c>
      <c r="C70" s="273">
        <f t="shared" si="61"/>
        <v>0.90571428571428569</v>
      </c>
      <c r="D70" s="273">
        <f t="shared" si="61"/>
        <v>1.2357142857142858</v>
      </c>
      <c r="E70" s="273">
        <f t="shared" si="61"/>
        <v>40.35588610917226</v>
      </c>
      <c r="F70" s="273">
        <f t="shared" si="61"/>
        <v>32857142.857142858</v>
      </c>
      <c r="G70" s="273">
        <f t="shared" si="61"/>
        <v>1.332857142857143</v>
      </c>
      <c r="H70" s="273">
        <f t="shared" si="61"/>
        <v>9.5045549334947506</v>
      </c>
      <c r="I70" s="273">
        <f t="shared" si="61"/>
        <v>1.6357142857142859</v>
      </c>
      <c r="J70" s="273">
        <f>(J63+J64+J65+J66+J67+J68+J69)/7</f>
        <v>32.212861681717449</v>
      </c>
      <c r="K70" s="273">
        <f t="shared" ref="K70:P70" si="62">(K63+K64+K65+K66+K67+K68+K69)/7</f>
        <v>0.43690476190476185</v>
      </c>
      <c r="L70" s="273">
        <f t="shared" si="62"/>
        <v>1.2085714285714286</v>
      </c>
      <c r="M70" s="273">
        <f t="shared" si="62"/>
        <v>7.3053841577976311</v>
      </c>
      <c r="N70" s="273">
        <f t="shared" si="62"/>
        <v>39857142.857142858</v>
      </c>
      <c r="O70" s="273" t="e">
        <f t="shared" si="62"/>
        <v>#VALUE!</v>
      </c>
      <c r="P70" s="273">
        <f t="shared" si="62"/>
        <v>72.568747790889702</v>
      </c>
      <c r="Q70" s="410">
        <f>(2/7)*100</f>
        <v>28.571428571428569</v>
      </c>
    </row>
    <row r="71" spans="1:17" ht="21" x14ac:dyDescent="0.25">
      <c r="A71" s="139" t="s">
        <v>108</v>
      </c>
      <c r="B71" s="139" t="s">
        <v>107</v>
      </c>
      <c r="C71" s="139" t="s">
        <v>152</v>
      </c>
      <c r="D71" s="139" t="s">
        <v>153</v>
      </c>
      <c r="E71" s="139" t="s">
        <v>154</v>
      </c>
      <c r="F71" s="139" t="s">
        <v>155</v>
      </c>
      <c r="G71" s="263" t="s">
        <v>156</v>
      </c>
      <c r="H71" s="263" t="s">
        <v>157</v>
      </c>
      <c r="I71" s="263" t="s">
        <v>158</v>
      </c>
      <c r="J71" s="263" t="s">
        <v>159</v>
      </c>
      <c r="K71" s="263" t="s">
        <v>160</v>
      </c>
      <c r="L71" s="139" t="s">
        <v>161</v>
      </c>
      <c r="M71" s="139" t="s">
        <v>162</v>
      </c>
      <c r="N71" s="291" t="s">
        <v>163</v>
      </c>
      <c r="O71" s="285" t="s">
        <v>164</v>
      </c>
      <c r="P71" s="285" t="s">
        <v>174</v>
      </c>
      <c r="Q71" s="124"/>
    </row>
    <row r="72" spans="1:17" ht="19" x14ac:dyDescent="0.25">
      <c r="A72" s="124" t="s">
        <v>861</v>
      </c>
      <c r="B72" s="261">
        <v>44151</v>
      </c>
      <c r="C72" s="124">
        <v>0.99</v>
      </c>
      <c r="D72" s="124">
        <v>1.2</v>
      </c>
      <c r="E72" s="201">
        <f t="shared" ref="E72" si="63">(D72-C72)/C72*100</f>
        <v>21.212121212121211</v>
      </c>
      <c r="F72" s="137">
        <v>29000000</v>
      </c>
      <c r="G72" s="124">
        <v>1.21</v>
      </c>
      <c r="H72" s="317">
        <f t="shared" ref="H72" si="64">(G72-D72)/D72*100</f>
        <v>0.83333333333333415</v>
      </c>
      <c r="I72" s="124">
        <v>1.21</v>
      </c>
      <c r="J72" s="317">
        <f t="shared" ref="J72" si="65">(I72-D72)/D72*100</f>
        <v>0.83333333333333415</v>
      </c>
      <c r="K72" s="370">
        <v>0.39652777777777781</v>
      </c>
      <c r="L72" s="124">
        <v>1.18</v>
      </c>
      <c r="M72" s="271">
        <f t="shared" ref="M72" si="66">(D72-L72)/D72*100</f>
        <v>1.6666666666666683</v>
      </c>
      <c r="N72" s="137">
        <v>190000000</v>
      </c>
      <c r="O72" s="124" t="s">
        <v>167</v>
      </c>
      <c r="P72" s="316">
        <f t="shared" ref="P72:P76" si="67">E72+J72</f>
        <v>22.045454545454547</v>
      </c>
      <c r="Q72" s="124"/>
    </row>
    <row r="73" spans="1:17" s="306" customFormat="1" ht="19" x14ac:dyDescent="0.25">
      <c r="A73" s="307" t="s">
        <v>257</v>
      </c>
      <c r="B73" s="308">
        <v>44119</v>
      </c>
      <c r="C73" s="307">
        <v>0.64</v>
      </c>
      <c r="D73" s="307">
        <v>0.87</v>
      </c>
      <c r="E73" s="309">
        <f t="shared" ref="E73:E76" si="68">(D73-C73)/C73*100</f>
        <v>35.937499999999993</v>
      </c>
      <c r="F73" s="202">
        <v>28000000</v>
      </c>
      <c r="G73" s="201">
        <v>0.87</v>
      </c>
      <c r="H73" s="312">
        <f t="shared" ref="H73:H76" si="69">(G73-D73)/D73*100</f>
        <v>0</v>
      </c>
      <c r="I73" s="201">
        <v>0.87</v>
      </c>
      <c r="J73" s="312">
        <f t="shared" ref="J73" si="70">(I73-D73)/D73*100</f>
        <v>0</v>
      </c>
      <c r="K73" s="314">
        <v>0.3972222222222222</v>
      </c>
      <c r="L73" s="307">
        <v>0.67</v>
      </c>
      <c r="M73" s="271">
        <f t="shared" si="6"/>
        <v>22.988505747126432</v>
      </c>
      <c r="N73" s="202">
        <v>20000000</v>
      </c>
      <c r="O73" s="307" t="s">
        <v>190</v>
      </c>
      <c r="P73" s="316">
        <f t="shared" si="67"/>
        <v>35.937499999999993</v>
      </c>
      <c r="Q73" s="307"/>
    </row>
    <row r="74" spans="1:17" s="306" customFormat="1" ht="19" x14ac:dyDescent="0.25">
      <c r="A74" s="307" t="s">
        <v>807</v>
      </c>
      <c r="B74" s="308">
        <v>43972</v>
      </c>
      <c r="C74" s="307">
        <v>0.92</v>
      </c>
      <c r="D74" s="307">
        <v>1.32</v>
      </c>
      <c r="E74" s="201">
        <f t="shared" si="68"/>
        <v>43.478260869565219</v>
      </c>
      <c r="F74" s="202">
        <v>24000000</v>
      </c>
      <c r="G74" s="201">
        <v>1.57</v>
      </c>
      <c r="H74" s="310">
        <f t="shared" si="69"/>
        <v>18.939393939393938</v>
      </c>
      <c r="I74" s="201">
        <v>1.57</v>
      </c>
      <c r="J74" s="312">
        <f t="shared" ref="J74:J76" si="71">(I74-D74)/D74*100</f>
        <v>18.939393939393938</v>
      </c>
      <c r="K74" s="314">
        <v>0.3979166666666667</v>
      </c>
      <c r="L74" s="307">
        <v>1.06</v>
      </c>
      <c r="M74" s="271">
        <f t="shared" ref="M74:M128" si="72">(D74-L74)/D74*100</f>
        <v>19.696969696969695</v>
      </c>
      <c r="N74" s="202">
        <v>18000000</v>
      </c>
      <c r="O74" s="307" t="s">
        <v>216</v>
      </c>
      <c r="P74" s="316">
        <f t="shared" si="67"/>
        <v>62.417654808959156</v>
      </c>
      <c r="Q74" s="307"/>
    </row>
    <row r="75" spans="1:17" s="306" customFormat="1" ht="19" x14ac:dyDescent="0.25">
      <c r="A75" s="307" t="s">
        <v>281</v>
      </c>
      <c r="B75" s="308">
        <v>44117</v>
      </c>
      <c r="C75" s="307">
        <v>0.54</v>
      </c>
      <c r="D75" s="307">
        <v>0.67</v>
      </c>
      <c r="E75" s="309">
        <f t="shared" si="68"/>
        <v>24.074074074074073</v>
      </c>
      <c r="F75" s="202">
        <v>21000000</v>
      </c>
      <c r="G75" s="201">
        <v>0.74</v>
      </c>
      <c r="H75" s="312">
        <f t="shared" si="69"/>
        <v>10.447761194029843</v>
      </c>
      <c r="I75" s="201">
        <v>0.78</v>
      </c>
      <c r="J75" s="312">
        <f t="shared" si="71"/>
        <v>16.417910447761191</v>
      </c>
      <c r="K75" s="314">
        <v>0.40069444444444446</v>
      </c>
      <c r="L75" s="307">
        <v>0.63</v>
      </c>
      <c r="M75" s="271">
        <f t="shared" si="72"/>
        <v>5.9701492537313481</v>
      </c>
      <c r="N75" s="202">
        <v>18000000</v>
      </c>
      <c r="O75" s="307" t="s">
        <v>190</v>
      </c>
      <c r="P75" s="316">
        <f t="shared" si="67"/>
        <v>40.491984521835263</v>
      </c>
      <c r="Q75" s="307"/>
    </row>
    <row r="76" spans="1:17" s="306" customFormat="1" ht="19" x14ac:dyDescent="0.25">
      <c r="A76" s="307" t="s">
        <v>799</v>
      </c>
      <c r="B76" s="308">
        <v>43865</v>
      </c>
      <c r="C76" s="307">
        <v>0.96</v>
      </c>
      <c r="D76" s="307">
        <v>1.75</v>
      </c>
      <c r="E76" s="201">
        <f t="shared" si="68"/>
        <v>82.291666666666671</v>
      </c>
      <c r="F76" s="202">
        <v>20000000</v>
      </c>
      <c r="G76" s="201">
        <v>2.02</v>
      </c>
      <c r="H76" s="312">
        <f t="shared" si="69"/>
        <v>15.428571428571431</v>
      </c>
      <c r="I76" s="201">
        <v>2.02</v>
      </c>
      <c r="J76" s="312">
        <f t="shared" si="71"/>
        <v>15.428571428571431</v>
      </c>
      <c r="K76" s="314">
        <v>0.3972222222222222</v>
      </c>
      <c r="L76" s="307">
        <v>1.23</v>
      </c>
      <c r="M76" s="271">
        <f t="shared" si="72"/>
        <v>29.714285714285715</v>
      </c>
      <c r="N76" s="202">
        <v>23000000</v>
      </c>
      <c r="O76" s="307" t="s">
        <v>216</v>
      </c>
      <c r="P76" s="316">
        <f t="shared" si="67"/>
        <v>97.720238095238102</v>
      </c>
      <c r="Q76" s="307"/>
    </row>
    <row r="77" spans="1:17" ht="19" x14ac:dyDescent="0.25">
      <c r="A77" s="262" t="s">
        <v>283</v>
      </c>
      <c r="B77" s="273">
        <f t="shared" ref="B77" si="73">(B73+B74+B75+B76)/4</f>
        <v>44018.25</v>
      </c>
      <c r="C77" s="273">
        <f t="shared" ref="C77:I77" si="74">(C73+C74+C75+C76+C72)/5</f>
        <v>0.80999999999999994</v>
      </c>
      <c r="D77" s="273">
        <f t="shared" si="74"/>
        <v>1.1619999999999999</v>
      </c>
      <c r="E77" s="273">
        <f t="shared" si="74"/>
        <v>41.398724564485434</v>
      </c>
      <c r="F77" s="273">
        <f t="shared" si="74"/>
        <v>24400000</v>
      </c>
      <c r="G77" s="273">
        <f t="shared" si="74"/>
        <v>1.2819999999999998</v>
      </c>
      <c r="H77" s="273">
        <f t="shared" si="74"/>
        <v>9.1298119790657104</v>
      </c>
      <c r="I77" s="273">
        <f t="shared" si="74"/>
        <v>1.29</v>
      </c>
      <c r="J77" s="273">
        <f>(J73+J74+J75+J76+J72)/5</f>
        <v>10.323841829811979</v>
      </c>
      <c r="K77" s="273">
        <f t="shared" ref="K77:P77" si="75">(K73+K74+K75+K76+K72)/5</f>
        <v>0.39791666666666664</v>
      </c>
      <c r="L77" s="273">
        <f t="shared" si="75"/>
        <v>0.95399999999999996</v>
      </c>
      <c r="M77" s="273">
        <f t="shared" si="75"/>
        <v>16.007315415755976</v>
      </c>
      <c r="N77" s="273">
        <f t="shared" si="75"/>
        <v>53800000</v>
      </c>
      <c r="O77" s="273" t="e">
        <f t="shared" si="75"/>
        <v>#VALUE!</v>
      </c>
      <c r="P77" s="273">
        <f t="shared" si="75"/>
        <v>51.722566394297417</v>
      </c>
      <c r="Q77" s="410">
        <f>(0/5)*100</f>
        <v>0</v>
      </c>
    </row>
    <row r="78" spans="1:17" ht="21" x14ac:dyDescent="0.25">
      <c r="A78" s="352" t="s">
        <v>108</v>
      </c>
      <c r="B78" s="352" t="s">
        <v>107</v>
      </c>
      <c r="C78" s="352" t="s">
        <v>152</v>
      </c>
      <c r="D78" s="352" t="s">
        <v>153</v>
      </c>
      <c r="E78" s="352" t="s">
        <v>284</v>
      </c>
      <c r="F78" s="352" t="s">
        <v>155</v>
      </c>
      <c r="G78" s="353" t="s">
        <v>156</v>
      </c>
      <c r="H78" s="352" t="s">
        <v>285</v>
      </c>
      <c r="I78" s="353" t="s">
        <v>158</v>
      </c>
      <c r="J78" s="353" t="s">
        <v>159</v>
      </c>
      <c r="K78" s="353" t="s">
        <v>160</v>
      </c>
      <c r="L78" s="352" t="s">
        <v>161</v>
      </c>
      <c r="M78" s="139" t="s">
        <v>162</v>
      </c>
      <c r="N78" s="354" t="s">
        <v>163</v>
      </c>
      <c r="O78" s="355" t="s">
        <v>164</v>
      </c>
      <c r="P78" s="355" t="s">
        <v>174</v>
      </c>
      <c r="Q78" s="356"/>
    </row>
    <row r="79" spans="1:17" s="371" customFormat="1" ht="19" x14ac:dyDescent="0.25">
      <c r="A79" s="307" t="s">
        <v>72</v>
      </c>
      <c r="B79" s="308">
        <v>44110</v>
      </c>
      <c r="C79" s="201">
        <v>0.6</v>
      </c>
      <c r="D79" s="307">
        <v>0.78</v>
      </c>
      <c r="E79" s="309">
        <f t="shared" ref="E79:E92" si="76">(D79-C79)/C79*100</f>
        <v>30.000000000000011</v>
      </c>
      <c r="F79" s="202">
        <v>18000000</v>
      </c>
      <c r="G79" s="201">
        <v>0.78</v>
      </c>
      <c r="H79" s="312">
        <f t="shared" ref="H79:H92" si="77">(G79-D79)/D79*100</f>
        <v>0</v>
      </c>
      <c r="I79" s="201">
        <v>0.78</v>
      </c>
      <c r="J79" s="312">
        <f t="shared" ref="J79:J92" si="78">(I79-D79)/D79*100</f>
        <v>0</v>
      </c>
      <c r="K79" s="314">
        <v>0.39652777777777781</v>
      </c>
      <c r="L79" s="307">
        <v>0.61</v>
      </c>
      <c r="M79" s="271">
        <f t="shared" si="72"/>
        <v>21.794871794871799</v>
      </c>
      <c r="N79" s="202">
        <v>35000000</v>
      </c>
      <c r="O79" s="307" t="s">
        <v>190</v>
      </c>
      <c r="P79" s="316">
        <f t="shared" ref="P79:P92" si="79">E79+J79</f>
        <v>30.000000000000011</v>
      </c>
      <c r="Q79" s="307"/>
    </row>
    <row r="80" spans="1:17" s="306" customFormat="1" ht="19" x14ac:dyDescent="0.25">
      <c r="A80" s="307" t="s">
        <v>792</v>
      </c>
      <c r="B80" s="308">
        <v>44005</v>
      </c>
      <c r="C80" s="307">
        <v>0.51</v>
      </c>
      <c r="D80" s="307">
        <v>0.65</v>
      </c>
      <c r="E80" s="201">
        <f t="shared" si="76"/>
        <v>27.450980392156865</v>
      </c>
      <c r="F80" s="202">
        <v>18000000</v>
      </c>
      <c r="G80" s="201">
        <v>0.67</v>
      </c>
      <c r="H80" s="312">
        <f t="shared" si="77"/>
        <v>3.0769230769230793</v>
      </c>
      <c r="I80" s="201">
        <v>0.7</v>
      </c>
      <c r="J80" s="312">
        <f t="shared" si="78"/>
        <v>7.6923076923076819</v>
      </c>
      <c r="K80" s="314">
        <v>0.46527777777777773</v>
      </c>
      <c r="L80" s="307">
        <v>0.64</v>
      </c>
      <c r="M80" s="271">
        <f t="shared" si="72"/>
        <v>1.5384615384615397</v>
      </c>
      <c r="N80" s="202">
        <v>176000000</v>
      </c>
      <c r="O80" s="307" t="s">
        <v>190</v>
      </c>
      <c r="P80" s="316">
        <f t="shared" si="79"/>
        <v>35.143288084464544</v>
      </c>
      <c r="Q80" s="307"/>
    </row>
    <row r="81" spans="1:17" ht="19" x14ac:dyDescent="0.25">
      <c r="A81" s="124" t="s">
        <v>857</v>
      </c>
      <c r="B81" s="261">
        <v>44147</v>
      </c>
      <c r="C81" s="124">
        <v>0.84</v>
      </c>
      <c r="D81" s="124">
        <v>1.1399999999999999</v>
      </c>
      <c r="E81" s="201">
        <f t="shared" si="76"/>
        <v>35.714285714285708</v>
      </c>
      <c r="F81" s="137">
        <v>17000000</v>
      </c>
      <c r="G81" s="124">
        <v>1.21</v>
      </c>
      <c r="H81" s="317">
        <f t="shared" si="77"/>
        <v>6.1403508771929882</v>
      </c>
      <c r="I81" s="124">
        <v>1.35</v>
      </c>
      <c r="J81" s="317">
        <f t="shared" si="78"/>
        <v>18.421052631578966</v>
      </c>
      <c r="K81" s="370">
        <v>0.40277777777777773</v>
      </c>
      <c r="L81" s="124">
        <v>1.1599999999999999</v>
      </c>
      <c r="M81" s="269">
        <f t="shared" ref="M81" si="80">(D81-L81)/D81*100</f>
        <v>-1.7543859649122824</v>
      </c>
      <c r="N81" s="146">
        <v>3000000</v>
      </c>
      <c r="O81" s="124" t="s">
        <v>167</v>
      </c>
      <c r="P81" s="124"/>
      <c r="Q81" s="124"/>
    </row>
    <row r="82" spans="1:17" s="306" customFormat="1" ht="19" x14ac:dyDescent="0.25">
      <c r="A82" s="307" t="s">
        <v>782</v>
      </c>
      <c r="B82" s="308">
        <v>44088</v>
      </c>
      <c r="C82" s="307">
        <v>0.49</v>
      </c>
      <c r="D82" s="307">
        <v>0.82</v>
      </c>
      <c r="E82" s="201">
        <f t="shared" si="76"/>
        <v>67.346938775510196</v>
      </c>
      <c r="F82" s="202">
        <v>17000000</v>
      </c>
      <c r="G82" s="201">
        <v>0.82</v>
      </c>
      <c r="H82" s="312">
        <f t="shared" si="77"/>
        <v>0</v>
      </c>
      <c r="I82" s="201">
        <v>0.85</v>
      </c>
      <c r="J82" s="312">
        <f t="shared" si="78"/>
        <v>3.6585365853658569</v>
      </c>
      <c r="K82" s="314">
        <v>0.41319444444444442</v>
      </c>
      <c r="L82" s="307">
        <v>0.69</v>
      </c>
      <c r="M82" s="271">
        <f t="shared" si="72"/>
        <v>15.853658536585366</v>
      </c>
      <c r="N82" s="202">
        <v>7000000</v>
      </c>
      <c r="O82" s="307" t="s">
        <v>190</v>
      </c>
      <c r="P82" s="316">
        <f t="shared" si="79"/>
        <v>71.005475360876048</v>
      </c>
      <c r="Q82" s="307"/>
    </row>
    <row r="83" spans="1:17" s="306" customFormat="1" ht="19" x14ac:dyDescent="0.25">
      <c r="A83" s="307" t="s">
        <v>771</v>
      </c>
      <c r="B83" s="308">
        <v>43972</v>
      </c>
      <c r="C83" s="307">
        <v>0.65</v>
      </c>
      <c r="D83" s="307">
        <v>1.01</v>
      </c>
      <c r="E83" s="201">
        <f t="shared" si="76"/>
        <v>55.38461538461538</v>
      </c>
      <c r="F83" s="202">
        <v>16000000</v>
      </c>
      <c r="G83" s="201">
        <v>1.29</v>
      </c>
      <c r="H83" s="312">
        <f t="shared" si="77"/>
        <v>27.722772277227726</v>
      </c>
      <c r="I83" s="201">
        <v>1.3</v>
      </c>
      <c r="J83" s="312">
        <f t="shared" si="78"/>
        <v>28.712871287128717</v>
      </c>
      <c r="K83" s="314">
        <v>0.39861111111111108</v>
      </c>
      <c r="L83" s="307">
        <v>0.65</v>
      </c>
      <c r="M83" s="271">
        <f t="shared" si="72"/>
        <v>35.64356435643564</v>
      </c>
      <c r="N83" s="202">
        <v>15000000</v>
      </c>
      <c r="O83" s="307" t="s">
        <v>216</v>
      </c>
      <c r="P83" s="316">
        <f t="shared" si="79"/>
        <v>84.097486671744093</v>
      </c>
      <c r="Q83" s="307"/>
    </row>
    <row r="84" spans="1:17" s="306" customFormat="1" ht="19" x14ac:dyDescent="0.25">
      <c r="A84" s="307" t="s">
        <v>788</v>
      </c>
      <c r="B84" s="308">
        <v>43979</v>
      </c>
      <c r="C84" s="307">
        <v>0.95</v>
      </c>
      <c r="D84" s="307">
        <v>1.39</v>
      </c>
      <c r="E84" s="201">
        <f t="shared" si="76"/>
        <v>46.315789473684205</v>
      </c>
      <c r="F84" s="202">
        <v>16000000</v>
      </c>
      <c r="G84" s="201">
        <v>1.81</v>
      </c>
      <c r="H84" s="312">
        <f t="shared" si="77"/>
        <v>30.215827338129507</v>
      </c>
      <c r="I84" s="201">
        <v>2.4</v>
      </c>
      <c r="J84" s="312">
        <f t="shared" si="78"/>
        <v>72.661870503597129</v>
      </c>
      <c r="K84" s="314">
        <v>0.40625</v>
      </c>
      <c r="L84" s="307">
        <v>1.23</v>
      </c>
      <c r="M84" s="271">
        <f t="shared" si="72"/>
        <v>11.510791366906471</v>
      </c>
      <c r="N84" s="202">
        <v>12000000</v>
      </c>
      <c r="O84" s="307" t="s">
        <v>167</v>
      </c>
      <c r="P84" s="316">
        <f t="shared" si="79"/>
        <v>118.97765997728133</v>
      </c>
      <c r="Q84" s="307"/>
    </row>
    <row r="85" spans="1:17" s="306" customFormat="1" ht="19" x14ac:dyDescent="0.25">
      <c r="A85" s="307" t="s">
        <v>802</v>
      </c>
      <c r="B85" s="308">
        <v>43894</v>
      </c>
      <c r="C85" s="307">
        <v>0.96</v>
      </c>
      <c r="D85" s="307">
        <v>1.34</v>
      </c>
      <c r="E85" s="201">
        <f t="shared" si="76"/>
        <v>39.58333333333335</v>
      </c>
      <c r="F85" s="202">
        <v>16000000</v>
      </c>
      <c r="G85" s="201">
        <v>2.0299999999999998</v>
      </c>
      <c r="H85" s="312">
        <f t="shared" si="77"/>
        <v>51.492537313432805</v>
      </c>
      <c r="I85" s="201">
        <v>2.6</v>
      </c>
      <c r="J85" s="312">
        <f t="shared" si="78"/>
        <v>94.02985074626865</v>
      </c>
      <c r="K85" s="314">
        <v>0.41319444444444442</v>
      </c>
      <c r="L85" s="307">
        <v>0.92</v>
      </c>
      <c r="M85" s="271">
        <f t="shared" si="72"/>
        <v>31.343283582089555</v>
      </c>
      <c r="N85" s="202">
        <v>114000000</v>
      </c>
      <c r="O85" s="307" t="s">
        <v>216</v>
      </c>
      <c r="P85" s="316">
        <f t="shared" si="79"/>
        <v>133.61318407960201</v>
      </c>
      <c r="Q85" s="307"/>
    </row>
    <row r="86" spans="1:17" s="306" customFormat="1" ht="19" x14ac:dyDescent="0.25">
      <c r="A86" s="307" t="s">
        <v>811</v>
      </c>
      <c r="B86" s="308">
        <v>44018</v>
      </c>
      <c r="C86" s="307">
        <v>0.52</v>
      </c>
      <c r="D86" s="307">
        <v>0.45</v>
      </c>
      <c r="E86" s="201">
        <f t="shared" si="76"/>
        <v>-13.461538461538463</v>
      </c>
      <c r="F86" s="202">
        <v>15000000</v>
      </c>
      <c r="G86" s="201">
        <v>0.45</v>
      </c>
      <c r="H86" s="310">
        <f t="shared" si="77"/>
        <v>0</v>
      </c>
      <c r="I86" s="201">
        <v>0.68</v>
      </c>
      <c r="J86" s="312">
        <f t="shared" si="78"/>
        <v>51.111111111111121</v>
      </c>
      <c r="K86" s="314">
        <v>0.40763888888888888</v>
      </c>
      <c r="L86" s="307">
        <v>0.52</v>
      </c>
      <c r="M86" s="269">
        <f t="shared" si="72"/>
        <v>-15.555555555555555</v>
      </c>
      <c r="N86" s="202" t="s">
        <v>21</v>
      </c>
      <c r="O86" s="307" t="s">
        <v>190</v>
      </c>
      <c r="P86" s="316">
        <f t="shared" si="79"/>
        <v>37.649572649572661</v>
      </c>
      <c r="Q86" s="307"/>
    </row>
    <row r="87" spans="1:17" s="306" customFormat="1" ht="19" x14ac:dyDescent="0.25">
      <c r="A87" s="307" t="s">
        <v>294</v>
      </c>
      <c r="B87" s="308">
        <v>44113</v>
      </c>
      <c r="C87" s="201">
        <v>0.42</v>
      </c>
      <c r="D87" s="307">
        <v>0.73</v>
      </c>
      <c r="E87" s="309">
        <f t="shared" si="76"/>
        <v>73.80952380952381</v>
      </c>
      <c r="F87" s="202">
        <v>15000000</v>
      </c>
      <c r="G87" s="201">
        <v>0.92</v>
      </c>
      <c r="H87" s="312">
        <f t="shared" si="77"/>
        <v>26.027397260273982</v>
      </c>
      <c r="I87" s="201">
        <v>0.92</v>
      </c>
      <c r="J87" s="312">
        <f t="shared" si="78"/>
        <v>26.027397260273982</v>
      </c>
      <c r="K87" s="314">
        <v>0.39930555555555602</v>
      </c>
      <c r="L87" s="307">
        <v>0.6</v>
      </c>
      <c r="M87" s="271">
        <f t="shared" si="72"/>
        <v>17.808219178082194</v>
      </c>
      <c r="N87" s="202">
        <v>7000000</v>
      </c>
      <c r="O87" s="307" t="s">
        <v>216</v>
      </c>
      <c r="P87" s="316">
        <f t="shared" si="79"/>
        <v>99.836921069797796</v>
      </c>
      <c r="Q87" s="307"/>
    </row>
    <row r="88" spans="1:17" s="306" customFormat="1" ht="19" x14ac:dyDescent="0.25">
      <c r="A88" s="307" t="s">
        <v>176</v>
      </c>
      <c r="B88" s="308">
        <v>43851</v>
      </c>
      <c r="C88" s="307">
        <v>0.99</v>
      </c>
      <c r="D88" s="307">
        <v>1.4</v>
      </c>
      <c r="E88" s="201">
        <f t="shared" si="76"/>
        <v>41.414141414141412</v>
      </c>
      <c r="F88" s="202">
        <v>15000000</v>
      </c>
      <c r="G88" s="201">
        <v>1.6</v>
      </c>
      <c r="H88" s="312">
        <f t="shared" si="77"/>
        <v>14.285714285714299</v>
      </c>
      <c r="I88" s="201">
        <v>1.6</v>
      </c>
      <c r="J88" s="312">
        <f t="shared" si="78"/>
        <v>14.285714285714299</v>
      </c>
      <c r="K88" s="314">
        <v>0.3979166666666667</v>
      </c>
      <c r="L88" s="307">
        <v>1.1599999999999999</v>
      </c>
      <c r="M88" s="271">
        <f t="shared" si="72"/>
        <v>17.142857142857142</v>
      </c>
      <c r="N88" s="202">
        <v>16000000</v>
      </c>
      <c r="O88" s="307" t="s">
        <v>190</v>
      </c>
      <c r="P88" s="316">
        <f t="shared" si="79"/>
        <v>55.699855699855711</v>
      </c>
      <c r="Q88" s="307"/>
    </row>
    <row r="89" spans="1:17" s="306" customFormat="1" ht="19" x14ac:dyDescent="0.25">
      <c r="A89" s="307" t="s">
        <v>808</v>
      </c>
      <c r="B89" s="308">
        <v>43962</v>
      </c>
      <c r="C89" s="307">
        <v>0.8</v>
      </c>
      <c r="D89" s="307">
        <v>1.04</v>
      </c>
      <c r="E89" s="201">
        <f t="shared" si="76"/>
        <v>30</v>
      </c>
      <c r="F89" s="202">
        <v>15000000</v>
      </c>
      <c r="G89" s="201">
        <v>1.1499999999999999</v>
      </c>
      <c r="H89" s="310">
        <f t="shared" si="77"/>
        <v>10.576923076923064</v>
      </c>
      <c r="I89" s="201">
        <v>1.35</v>
      </c>
      <c r="J89" s="312">
        <f t="shared" si="78"/>
        <v>29.807692307692314</v>
      </c>
      <c r="K89" s="314">
        <v>0.40138888888888885</v>
      </c>
      <c r="L89" s="307">
        <v>0.87</v>
      </c>
      <c r="M89" s="271">
        <f t="shared" si="72"/>
        <v>16.34615384615385</v>
      </c>
      <c r="N89" s="202">
        <v>26000000</v>
      </c>
      <c r="O89" s="307" t="s">
        <v>190</v>
      </c>
      <c r="P89" s="316">
        <f t="shared" si="79"/>
        <v>59.807692307692314</v>
      </c>
      <c r="Q89" s="307"/>
    </row>
    <row r="90" spans="1:17" s="306" customFormat="1" ht="19" x14ac:dyDescent="0.25">
      <c r="A90" s="307" t="s">
        <v>176</v>
      </c>
      <c r="B90" s="308">
        <v>44019</v>
      </c>
      <c r="C90" s="307">
        <v>0.56999999999999995</v>
      </c>
      <c r="D90" s="307">
        <v>0.76</v>
      </c>
      <c r="E90" s="201">
        <f t="shared" si="76"/>
        <v>33.33333333333335</v>
      </c>
      <c r="F90" s="202">
        <v>13000000</v>
      </c>
      <c r="G90" s="201">
        <v>0.76</v>
      </c>
      <c r="H90" s="310">
        <f t="shared" si="77"/>
        <v>0</v>
      </c>
      <c r="I90" s="201">
        <v>0.78</v>
      </c>
      <c r="J90" s="312">
        <f t="shared" si="78"/>
        <v>2.6315789473684235</v>
      </c>
      <c r="K90" s="201">
        <v>0.40625</v>
      </c>
      <c r="L90" s="307">
        <v>0.65</v>
      </c>
      <c r="M90" s="271">
        <f t="shared" si="72"/>
        <v>14.473684210526313</v>
      </c>
      <c r="N90" s="202">
        <v>16000000</v>
      </c>
      <c r="O90" s="307" t="s">
        <v>216</v>
      </c>
      <c r="P90" s="316">
        <f t="shared" si="79"/>
        <v>35.964912280701775</v>
      </c>
      <c r="Q90" s="307"/>
    </row>
    <row r="91" spans="1:17" s="306" customFormat="1" ht="19" x14ac:dyDescent="0.25">
      <c r="A91" s="307" t="s">
        <v>798</v>
      </c>
      <c r="B91" s="308">
        <v>43866</v>
      </c>
      <c r="C91" s="307">
        <v>0.89</v>
      </c>
      <c r="D91" s="307">
        <v>1.1499999999999999</v>
      </c>
      <c r="E91" s="201">
        <f t="shared" si="76"/>
        <v>29.213483146067404</v>
      </c>
      <c r="F91" s="202">
        <v>13000000</v>
      </c>
      <c r="G91" s="201">
        <v>1.2</v>
      </c>
      <c r="H91" s="312">
        <f t="shared" si="77"/>
        <v>4.3478260869565259</v>
      </c>
      <c r="I91" s="201">
        <v>1.22</v>
      </c>
      <c r="J91" s="312">
        <f t="shared" si="78"/>
        <v>6.0869565217391362</v>
      </c>
      <c r="K91" s="314">
        <v>0.40069444444444446</v>
      </c>
      <c r="L91" s="307">
        <v>1.05</v>
      </c>
      <c r="M91" s="271">
        <f t="shared" si="72"/>
        <v>8.6956521739130324</v>
      </c>
      <c r="N91" s="202">
        <v>40000000</v>
      </c>
      <c r="O91" s="307" t="s">
        <v>190</v>
      </c>
      <c r="P91" s="316">
        <f t="shared" si="79"/>
        <v>35.300439667806543</v>
      </c>
      <c r="Q91" s="307"/>
    </row>
    <row r="92" spans="1:17" s="306" customFormat="1" ht="19" x14ac:dyDescent="0.25">
      <c r="A92" s="307" t="s">
        <v>780</v>
      </c>
      <c r="B92" s="308">
        <v>44090</v>
      </c>
      <c r="C92" s="307">
        <v>0.76</v>
      </c>
      <c r="D92" s="307">
        <v>0.96</v>
      </c>
      <c r="E92" s="201">
        <f t="shared" si="76"/>
        <v>26.315789473684205</v>
      </c>
      <c r="F92" s="202">
        <v>12000000</v>
      </c>
      <c r="G92" s="201">
        <v>1.02</v>
      </c>
      <c r="H92" s="312">
        <f t="shared" si="77"/>
        <v>6.2500000000000053</v>
      </c>
      <c r="I92" s="201">
        <v>1.02</v>
      </c>
      <c r="J92" s="312">
        <f t="shared" si="78"/>
        <v>6.2500000000000053</v>
      </c>
      <c r="K92" s="314">
        <v>0.3972222222222222</v>
      </c>
      <c r="L92" s="307">
        <v>0.78</v>
      </c>
      <c r="M92" s="271">
        <f t="shared" si="72"/>
        <v>18.749999999999993</v>
      </c>
      <c r="N92" s="202">
        <v>10000000</v>
      </c>
      <c r="O92" s="307" t="s">
        <v>190</v>
      </c>
      <c r="P92" s="316">
        <f t="shared" si="79"/>
        <v>32.565789473684212</v>
      </c>
      <c r="Q92" s="307"/>
    </row>
    <row r="93" spans="1:17" ht="19" x14ac:dyDescent="0.25">
      <c r="A93" s="272" t="s">
        <v>300</v>
      </c>
      <c r="B93" s="273">
        <f t="shared" ref="B93:I93" si="81">(B79+B80+B82+B83+B84+B85+B86+B87+B88+B89+B90+B91+B92+B81)/14</f>
        <v>44008.142857142855</v>
      </c>
      <c r="C93" s="273">
        <f t="shared" si="81"/>
        <v>0.71071428571428563</v>
      </c>
      <c r="D93" s="273">
        <f t="shared" si="81"/>
        <v>0.97285714285714298</v>
      </c>
      <c r="E93" s="273">
        <f t="shared" si="81"/>
        <v>37.315762556342676</v>
      </c>
      <c r="F93" s="273">
        <f t="shared" si="81"/>
        <v>15428571.428571429</v>
      </c>
      <c r="G93" s="273">
        <f t="shared" si="81"/>
        <v>1.1221428571428571</v>
      </c>
      <c r="H93" s="273">
        <f t="shared" si="81"/>
        <v>12.866876542341</v>
      </c>
      <c r="I93" s="273">
        <f t="shared" si="81"/>
        <v>1.2535714285714286</v>
      </c>
      <c r="J93" s="273">
        <f>(J79+J80+J82+J83+J84+J85+J86+J87+J88+J89+J90+J91+J92+J81)/14</f>
        <v>25.812638562867591</v>
      </c>
      <c r="K93" s="273">
        <f t="shared" ref="K93:P93" si="82">(K79+K80+K82+K83+K84+K85+K86+K87+K88+K89+K90+K91+K92+K81)/14</f>
        <v>0.40758928571428577</v>
      </c>
      <c r="L93" s="273">
        <f t="shared" si="82"/>
        <v>0.82357142857142851</v>
      </c>
      <c r="M93" s="273">
        <f t="shared" si="82"/>
        <v>13.827946871886791</v>
      </c>
      <c r="N93" s="273" t="e">
        <f t="shared" si="82"/>
        <v>#VALUE!</v>
      </c>
      <c r="O93" s="273" t="e">
        <f t="shared" si="82"/>
        <v>#VALUE!</v>
      </c>
      <c r="P93" s="273">
        <f t="shared" si="82"/>
        <v>59.261591237362779</v>
      </c>
      <c r="Q93" s="410">
        <f>(2/14)*100</f>
        <v>14.285714285714285</v>
      </c>
    </row>
    <row r="94" spans="1:17" ht="21" x14ac:dyDescent="0.25">
      <c r="A94" s="139" t="s">
        <v>108</v>
      </c>
      <c r="B94" s="139" t="s">
        <v>107</v>
      </c>
      <c r="C94" s="139" t="s">
        <v>152</v>
      </c>
      <c r="D94" s="139" t="s">
        <v>153</v>
      </c>
      <c r="E94" s="139" t="s">
        <v>284</v>
      </c>
      <c r="F94" s="139" t="s">
        <v>155</v>
      </c>
      <c r="G94" s="263" t="s">
        <v>156</v>
      </c>
      <c r="H94" s="139" t="s">
        <v>285</v>
      </c>
      <c r="I94" s="263" t="s">
        <v>158</v>
      </c>
      <c r="J94" s="263" t="s">
        <v>159</v>
      </c>
      <c r="K94" s="263" t="s">
        <v>160</v>
      </c>
      <c r="L94" s="139" t="s">
        <v>161</v>
      </c>
      <c r="M94" s="139" t="s">
        <v>162</v>
      </c>
      <c r="N94" s="291" t="s">
        <v>163</v>
      </c>
      <c r="O94" s="285" t="s">
        <v>164</v>
      </c>
      <c r="P94" s="285" t="s">
        <v>174</v>
      </c>
      <c r="Q94" s="285" t="s">
        <v>825</v>
      </c>
    </row>
    <row r="95" spans="1:17" ht="19" x14ac:dyDescent="0.25">
      <c r="A95" s="124" t="s">
        <v>796</v>
      </c>
      <c r="B95" s="261">
        <v>43846</v>
      </c>
      <c r="C95" s="124">
        <v>0.89</v>
      </c>
      <c r="D95" s="124">
        <v>1.34</v>
      </c>
      <c r="E95" s="131">
        <f t="shared" ref="E95:E99" si="83">(D95-C95)/C95*100</f>
        <v>50.561797752808992</v>
      </c>
      <c r="F95" s="137">
        <v>9000000</v>
      </c>
      <c r="G95" s="131">
        <v>1.38</v>
      </c>
      <c r="H95" s="317">
        <f t="shared" ref="H95:H99" si="84">(G95-D95)/D95*100</f>
        <v>2.9850746268656576</v>
      </c>
      <c r="I95" s="131">
        <v>1.38</v>
      </c>
      <c r="J95" s="317">
        <f t="shared" ref="J95:J99" si="85">(I95-D95)/D95*100</f>
        <v>2.9850746268656576</v>
      </c>
      <c r="K95" s="280">
        <v>0.3979166666666667</v>
      </c>
      <c r="L95" s="124">
        <v>0.95</v>
      </c>
      <c r="M95" s="271">
        <f t="shared" si="72"/>
        <v>29.104477611940304</v>
      </c>
      <c r="N95" s="137">
        <v>39000000</v>
      </c>
      <c r="O95" s="124" t="s">
        <v>216</v>
      </c>
      <c r="P95" s="146">
        <f t="shared" ref="P95" si="86">E95+J95</f>
        <v>53.546872379674653</v>
      </c>
      <c r="Q95" s="124"/>
    </row>
    <row r="96" spans="1:17" ht="19" x14ac:dyDescent="0.25">
      <c r="A96" s="124" t="s">
        <v>816</v>
      </c>
      <c r="B96" s="261">
        <v>44001</v>
      </c>
      <c r="C96" s="124">
        <v>0.9</v>
      </c>
      <c r="D96" s="124">
        <v>1.19</v>
      </c>
      <c r="E96" s="131">
        <f t="shared" si="83"/>
        <v>32.222222222222214</v>
      </c>
      <c r="F96" s="137">
        <v>8000000</v>
      </c>
      <c r="G96" s="131">
        <v>1.2</v>
      </c>
      <c r="H96" s="312">
        <f t="shared" si="84"/>
        <v>0.8403361344537823</v>
      </c>
      <c r="I96" s="131">
        <v>1.2</v>
      </c>
      <c r="J96" s="317">
        <f t="shared" si="85"/>
        <v>0.8403361344537823</v>
      </c>
      <c r="K96" s="131">
        <v>0.3972222222222222</v>
      </c>
      <c r="L96" s="124">
        <v>0.96</v>
      </c>
      <c r="M96" s="271">
        <f t="shared" si="72"/>
        <v>19.327731092436977</v>
      </c>
      <c r="N96" s="137">
        <v>76000000</v>
      </c>
      <c r="O96" s="124" t="s">
        <v>190</v>
      </c>
      <c r="P96" s="146">
        <f t="shared" ref="P96" si="87">E96+J96</f>
        <v>33.062558356676</v>
      </c>
      <c r="Q96" s="124"/>
    </row>
    <row r="97" spans="1:55" ht="19" x14ac:dyDescent="0.25">
      <c r="A97" s="143" t="s">
        <v>301</v>
      </c>
      <c r="B97" s="261">
        <v>44117</v>
      </c>
      <c r="C97" s="124">
        <v>0.72</v>
      </c>
      <c r="D97" s="124">
        <v>1.0900000000000001</v>
      </c>
      <c r="E97" s="264">
        <f t="shared" si="83"/>
        <v>51.388888888888907</v>
      </c>
      <c r="F97" s="137">
        <v>7000000</v>
      </c>
      <c r="G97" s="131">
        <v>1.1200000000000001</v>
      </c>
      <c r="H97" s="312">
        <f t="shared" si="84"/>
        <v>2.7522935779816535</v>
      </c>
      <c r="I97" s="131">
        <v>1.1200000000000001</v>
      </c>
      <c r="J97" s="267">
        <f t="shared" si="85"/>
        <v>2.7522935779816535</v>
      </c>
      <c r="K97" s="280" t="s">
        <v>302</v>
      </c>
      <c r="L97" s="124">
        <v>0.8</v>
      </c>
      <c r="M97" s="271">
        <f t="shared" si="72"/>
        <v>26.605504587155966</v>
      </c>
      <c r="N97" s="137">
        <v>10000000</v>
      </c>
      <c r="O97" s="124" t="s">
        <v>170</v>
      </c>
      <c r="P97" s="131">
        <f>J97+E97</f>
        <v>54.141182466870561</v>
      </c>
      <c r="Q97" s="124"/>
    </row>
    <row r="98" spans="1:55" ht="19" x14ac:dyDescent="0.25">
      <c r="A98" s="124" t="s">
        <v>214</v>
      </c>
      <c r="B98" s="261">
        <v>44067</v>
      </c>
      <c r="C98" s="124">
        <v>0.92</v>
      </c>
      <c r="D98" s="124">
        <v>1.32</v>
      </c>
      <c r="E98" s="131">
        <f t="shared" si="83"/>
        <v>43.478260869565219</v>
      </c>
      <c r="F98" s="137">
        <v>6000000</v>
      </c>
      <c r="G98" s="318">
        <v>1.33</v>
      </c>
      <c r="H98" s="312">
        <f t="shared" si="84"/>
        <v>0.75757575757575824</v>
      </c>
      <c r="I98" s="131">
        <v>1.33</v>
      </c>
      <c r="J98" s="317">
        <f t="shared" si="85"/>
        <v>0.75757575757575824</v>
      </c>
      <c r="K98" s="280">
        <v>0.3972222222222222</v>
      </c>
      <c r="L98" s="124">
        <v>1.04</v>
      </c>
      <c r="M98" s="271">
        <f t="shared" si="72"/>
        <v>21.212121212121211</v>
      </c>
      <c r="N98" s="137">
        <v>500000</v>
      </c>
      <c r="O98" s="124" t="s">
        <v>190</v>
      </c>
      <c r="P98" s="146">
        <f t="shared" ref="P98:P99" si="88">E98+J98</f>
        <v>44.235836627140976</v>
      </c>
      <c r="Q98" s="124"/>
    </row>
    <row r="99" spans="1:55" ht="19" x14ac:dyDescent="0.25">
      <c r="A99" s="124" t="s">
        <v>294</v>
      </c>
      <c r="B99" s="261">
        <v>44134</v>
      </c>
      <c r="C99" s="124">
        <v>0.43</v>
      </c>
      <c r="D99" s="124">
        <v>0.56000000000000005</v>
      </c>
      <c r="E99" s="131">
        <f t="shared" si="83"/>
        <v>30.232558139534898</v>
      </c>
      <c r="F99" s="137">
        <v>4000000</v>
      </c>
      <c r="G99" s="131">
        <v>0.56999999999999995</v>
      </c>
      <c r="H99" s="317">
        <f t="shared" si="84"/>
        <v>1.7857142857142672</v>
      </c>
      <c r="I99" s="131">
        <v>0.62</v>
      </c>
      <c r="J99" s="317">
        <f t="shared" si="85"/>
        <v>10.714285714285703</v>
      </c>
      <c r="K99" s="280">
        <v>0.4236111111111111</v>
      </c>
      <c r="L99" s="124">
        <v>0.49</v>
      </c>
      <c r="M99" s="271">
        <f t="shared" ref="M99" si="89">(D99-L99)/D99*100</f>
        <v>12.500000000000011</v>
      </c>
      <c r="N99" s="137">
        <v>22000000</v>
      </c>
      <c r="O99" s="124" t="s">
        <v>190</v>
      </c>
      <c r="P99" s="146">
        <f t="shared" si="88"/>
        <v>40.946843853820603</v>
      </c>
      <c r="Q99" s="124"/>
    </row>
    <row r="100" spans="1:55" ht="19" x14ac:dyDescent="0.25">
      <c r="A100" s="124" t="s">
        <v>289</v>
      </c>
      <c r="B100" s="261">
        <v>43838</v>
      </c>
      <c r="C100" s="124">
        <v>0.44</v>
      </c>
      <c r="D100" s="124">
        <v>1.1100000000000001</v>
      </c>
      <c r="E100" s="131">
        <f t="shared" ref="E100:E154" si="90">(D100-C100)/C100*100</f>
        <v>152.27272727272731</v>
      </c>
      <c r="F100" s="137">
        <v>4000000</v>
      </c>
      <c r="G100" s="131">
        <v>1.26</v>
      </c>
      <c r="H100" s="312">
        <v>1.36</v>
      </c>
      <c r="I100" s="131">
        <v>1.26</v>
      </c>
      <c r="J100" s="317">
        <v>1.36</v>
      </c>
      <c r="K100" s="280">
        <v>0.41666666666666669</v>
      </c>
      <c r="L100" s="124">
        <v>1.01</v>
      </c>
      <c r="M100" s="271">
        <f t="shared" si="72"/>
        <v>9.0090090090090165</v>
      </c>
      <c r="N100" s="137">
        <v>6000000</v>
      </c>
      <c r="O100" s="124" t="s">
        <v>216</v>
      </c>
      <c r="P100" s="146">
        <f t="shared" ref="P100" si="91">E100+J100</f>
        <v>153.63272727272732</v>
      </c>
      <c r="Q100" s="124"/>
      <c r="R100" s="306"/>
      <c r="S100" s="306"/>
      <c r="T100" s="306"/>
      <c r="U100" s="306"/>
      <c r="V100" s="306"/>
      <c r="W100" s="306"/>
      <c r="X100" s="306"/>
      <c r="Y100" s="306"/>
      <c r="Z100" s="306"/>
      <c r="AA100" s="306"/>
      <c r="AB100" s="306"/>
      <c r="AC100" s="306"/>
      <c r="AD100" s="306"/>
      <c r="AE100" s="306"/>
      <c r="AF100" s="306"/>
      <c r="AG100" s="306"/>
      <c r="AH100" s="306"/>
      <c r="AI100" s="306"/>
      <c r="AJ100" s="306"/>
      <c r="AK100" s="306"/>
      <c r="AL100" s="306"/>
      <c r="AM100" s="306"/>
      <c r="AN100" s="306"/>
      <c r="AO100" s="306"/>
      <c r="AP100" s="306"/>
      <c r="AQ100" s="306"/>
      <c r="AR100" s="306"/>
      <c r="AS100" s="306"/>
      <c r="AT100" s="306"/>
      <c r="AU100" s="306"/>
      <c r="AV100" s="306"/>
      <c r="AW100" s="306"/>
      <c r="AX100" s="306"/>
      <c r="AY100" s="306"/>
      <c r="AZ100" s="306"/>
      <c r="BA100" s="306"/>
      <c r="BB100" s="306"/>
      <c r="BC100" s="306"/>
    </row>
    <row r="101" spans="1:55" s="306" customFormat="1" ht="19" x14ac:dyDescent="0.25">
      <c r="A101" s="307" t="s">
        <v>793</v>
      </c>
      <c r="B101" s="308">
        <v>44103</v>
      </c>
      <c r="C101" s="307">
        <v>0.75</v>
      </c>
      <c r="D101" s="307">
        <v>0.84</v>
      </c>
      <c r="E101" s="201">
        <f t="shared" si="90"/>
        <v>11.999999999999995</v>
      </c>
      <c r="F101" s="202">
        <v>2000000</v>
      </c>
      <c r="G101" s="201">
        <v>0.84</v>
      </c>
      <c r="H101" s="312">
        <f t="shared" ref="H101" si="92">(G101-D101)/D101*100</f>
        <v>0</v>
      </c>
      <c r="I101" s="201">
        <v>0.84</v>
      </c>
      <c r="J101" s="312">
        <f t="shared" ref="J101" si="93">(I101-D101)/D101*100</f>
        <v>0</v>
      </c>
      <c r="K101" s="314">
        <v>0.3972222222222222</v>
      </c>
      <c r="L101" s="307">
        <v>0.76</v>
      </c>
      <c r="M101" s="271">
        <f t="shared" si="72"/>
        <v>9.5238095238095184</v>
      </c>
      <c r="N101" s="202">
        <v>3000000</v>
      </c>
      <c r="O101" s="307" t="s">
        <v>190</v>
      </c>
      <c r="P101" s="316">
        <f t="shared" ref="P101" si="94">E101+J101</f>
        <v>11.999999999999995</v>
      </c>
      <c r="Q101" s="307"/>
    </row>
    <row r="102" spans="1:55" ht="19" x14ac:dyDescent="0.25">
      <c r="A102" s="272" t="s">
        <v>880</v>
      </c>
      <c r="B102" s="273">
        <f t="shared" ref="B102:H102" si="95">(B95+B96+B97+B98+B100+B101)/6</f>
        <v>43995.333333333336</v>
      </c>
      <c r="C102" s="273">
        <f t="shared" si="95"/>
        <v>0.76999999999999991</v>
      </c>
      <c r="D102" s="273">
        <f t="shared" si="95"/>
        <v>1.1483333333333334</v>
      </c>
      <c r="E102" s="273">
        <f t="shared" si="95"/>
        <v>56.987316167702112</v>
      </c>
      <c r="F102" s="273">
        <f t="shared" si="95"/>
        <v>6000000</v>
      </c>
      <c r="G102" s="273">
        <f t="shared" si="95"/>
        <v>1.1883333333333332</v>
      </c>
      <c r="H102" s="273">
        <f t="shared" si="95"/>
        <v>1.4492133494794752</v>
      </c>
      <c r="I102" s="273">
        <f t="shared" ref="I102:P102" si="96">(I95+I96+I97+I98+I100+I101)/6</f>
        <v>1.1883333333333332</v>
      </c>
      <c r="J102" s="273">
        <f t="shared" si="96"/>
        <v>1.4492133494794752</v>
      </c>
      <c r="K102" s="273" t="e">
        <f t="shared" si="96"/>
        <v>#VALUE!</v>
      </c>
      <c r="L102" s="273">
        <f t="shared" si="96"/>
        <v>0.91999999999999993</v>
      </c>
      <c r="M102" s="273">
        <f t="shared" si="96"/>
        <v>19.1304421727455</v>
      </c>
      <c r="N102" s="273">
        <f t="shared" si="96"/>
        <v>22416666.666666668</v>
      </c>
      <c r="O102" s="273" t="e">
        <f t="shared" si="96"/>
        <v>#VALUE!</v>
      </c>
      <c r="P102" s="273">
        <f t="shared" si="96"/>
        <v>58.436529517181583</v>
      </c>
      <c r="Q102" s="409">
        <f>(0/7)*100</f>
        <v>0</v>
      </c>
    </row>
    <row r="103" spans="1:55" ht="29.25" customHeight="1" x14ac:dyDescent="0.3">
      <c r="A103" s="139" t="s">
        <v>108</v>
      </c>
      <c r="B103" s="139" t="s">
        <v>107</v>
      </c>
      <c r="C103" s="139" t="s">
        <v>152</v>
      </c>
      <c r="D103" s="139" t="s">
        <v>153</v>
      </c>
      <c r="E103" s="139" t="s">
        <v>284</v>
      </c>
      <c r="F103" s="139" t="s">
        <v>155</v>
      </c>
      <c r="G103" s="263" t="s">
        <v>156</v>
      </c>
      <c r="H103" s="139" t="s">
        <v>285</v>
      </c>
      <c r="I103" s="263" t="s">
        <v>158</v>
      </c>
      <c r="J103" s="263" t="s">
        <v>159</v>
      </c>
      <c r="K103" s="263" t="s">
        <v>160</v>
      </c>
      <c r="L103" s="139" t="s">
        <v>161</v>
      </c>
      <c r="M103" s="139" t="s">
        <v>162</v>
      </c>
      <c r="N103" s="296" t="s">
        <v>163</v>
      </c>
      <c r="O103" s="285" t="s">
        <v>164</v>
      </c>
      <c r="P103" s="285" t="s">
        <v>174</v>
      </c>
      <c r="Q103" s="124"/>
    </row>
    <row r="104" spans="1:55" ht="19" x14ac:dyDescent="0.25">
      <c r="A104" s="124"/>
      <c r="B104" s="261"/>
      <c r="C104" s="124"/>
      <c r="D104" s="124"/>
      <c r="E104" s="201" t="e">
        <f t="shared" si="90"/>
        <v>#DIV/0!</v>
      </c>
      <c r="F104" s="137"/>
      <c r="G104" s="124"/>
      <c r="H104" s="317" t="e">
        <f t="shared" ref="H104:H110" si="97">(G104-D104)/D104*100</f>
        <v>#DIV/0!</v>
      </c>
      <c r="I104" s="124"/>
      <c r="J104" s="317" t="e">
        <f t="shared" ref="J104:J119" si="98">(I104-D104)/D104*100</f>
        <v>#DIV/0!</v>
      </c>
      <c r="K104" s="124"/>
      <c r="L104" s="124"/>
      <c r="M104" s="270" t="e">
        <f t="shared" si="72"/>
        <v>#DIV/0!</v>
      </c>
      <c r="N104" s="137"/>
      <c r="O104" s="124"/>
      <c r="P104" s="124"/>
      <c r="Q104" s="124"/>
    </row>
    <row r="105" spans="1:55" ht="19" x14ac:dyDescent="0.25">
      <c r="A105" s="124"/>
      <c r="B105" s="261"/>
      <c r="C105" s="124"/>
      <c r="D105" s="124"/>
      <c r="E105" s="201" t="e">
        <f t="shared" si="90"/>
        <v>#DIV/0!</v>
      </c>
      <c r="F105" s="137"/>
      <c r="G105" s="124"/>
      <c r="H105" s="317" t="e">
        <f t="shared" si="97"/>
        <v>#DIV/0!</v>
      </c>
      <c r="I105" s="124"/>
      <c r="J105" s="317" t="e">
        <f t="shared" si="98"/>
        <v>#DIV/0!</v>
      </c>
      <c r="K105" s="124"/>
      <c r="L105" s="124"/>
      <c r="M105" s="270" t="e">
        <f t="shared" si="72"/>
        <v>#DIV/0!</v>
      </c>
      <c r="N105" s="137"/>
      <c r="O105" s="124"/>
      <c r="P105" s="124"/>
      <c r="Q105" s="124"/>
    </row>
    <row r="106" spans="1:55" ht="19" x14ac:dyDescent="0.25">
      <c r="A106" s="124"/>
      <c r="B106" s="124"/>
      <c r="C106" s="124"/>
      <c r="D106" s="124"/>
      <c r="E106" s="201" t="e">
        <f t="shared" si="90"/>
        <v>#DIV/0!</v>
      </c>
      <c r="F106" s="137"/>
      <c r="G106" s="124"/>
      <c r="H106" s="317" t="e">
        <f t="shared" si="97"/>
        <v>#DIV/0!</v>
      </c>
      <c r="I106" s="124"/>
      <c r="J106" s="317" t="e">
        <f t="shared" si="98"/>
        <v>#DIV/0!</v>
      </c>
      <c r="K106" s="124"/>
      <c r="L106" s="124"/>
      <c r="M106" s="270" t="e">
        <f t="shared" si="72"/>
        <v>#DIV/0!</v>
      </c>
      <c r="N106" s="137"/>
      <c r="O106" s="124"/>
      <c r="P106" s="124"/>
      <c r="Q106" s="124"/>
    </row>
    <row r="107" spans="1:55" ht="19" x14ac:dyDescent="0.25">
      <c r="A107" s="124"/>
      <c r="B107" s="124"/>
      <c r="C107" s="124"/>
      <c r="D107" s="124"/>
      <c r="E107" s="201" t="e">
        <f t="shared" si="90"/>
        <v>#DIV/0!</v>
      </c>
      <c r="F107" s="137"/>
      <c r="G107" s="124"/>
      <c r="H107" s="317" t="e">
        <f t="shared" si="97"/>
        <v>#DIV/0!</v>
      </c>
      <c r="I107" s="124"/>
      <c r="J107" s="317" t="e">
        <f t="shared" si="98"/>
        <v>#DIV/0!</v>
      </c>
      <c r="K107" s="124"/>
      <c r="L107" s="124"/>
      <c r="M107" s="270" t="e">
        <f t="shared" si="72"/>
        <v>#DIV/0!</v>
      </c>
      <c r="N107" s="137"/>
      <c r="O107" s="124"/>
      <c r="P107" s="124"/>
      <c r="Q107" s="124"/>
    </row>
    <row r="108" spans="1:55" ht="19" x14ac:dyDescent="0.25">
      <c r="A108" s="124"/>
      <c r="B108" s="124"/>
      <c r="C108" s="124"/>
      <c r="D108" s="124"/>
      <c r="E108" s="201" t="e">
        <f t="shared" si="90"/>
        <v>#DIV/0!</v>
      </c>
      <c r="F108" s="137"/>
      <c r="G108" s="124"/>
      <c r="H108" s="317" t="e">
        <f t="shared" si="97"/>
        <v>#DIV/0!</v>
      </c>
      <c r="I108" s="124"/>
      <c r="J108" s="317" t="e">
        <f t="shared" si="98"/>
        <v>#DIV/0!</v>
      </c>
      <c r="K108" s="124"/>
      <c r="L108" s="124"/>
      <c r="M108" s="270" t="e">
        <f t="shared" si="72"/>
        <v>#DIV/0!</v>
      </c>
      <c r="N108" s="137"/>
      <c r="O108" s="124"/>
      <c r="P108" s="124"/>
      <c r="Q108" s="124"/>
    </row>
    <row r="109" spans="1:55" ht="19" x14ac:dyDescent="0.25">
      <c r="A109" s="124"/>
      <c r="B109" s="124"/>
      <c r="C109" s="124"/>
      <c r="D109" s="124"/>
      <c r="E109" s="201" t="e">
        <f t="shared" si="90"/>
        <v>#DIV/0!</v>
      </c>
      <c r="F109" s="137"/>
      <c r="G109" s="124"/>
      <c r="H109" s="317" t="e">
        <f t="shared" si="97"/>
        <v>#DIV/0!</v>
      </c>
      <c r="I109" s="124"/>
      <c r="J109" s="317" t="e">
        <f t="shared" si="98"/>
        <v>#DIV/0!</v>
      </c>
      <c r="K109" s="124"/>
      <c r="L109" s="124"/>
      <c r="M109" s="270" t="e">
        <f t="shared" si="72"/>
        <v>#DIV/0!</v>
      </c>
      <c r="N109" s="137"/>
      <c r="O109" s="124"/>
      <c r="P109" s="124"/>
      <c r="Q109" s="124"/>
    </row>
    <row r="110" spans="1:55" ht="19" x14ac:dyDescent="0.25">
      <c r="A110" s="124"/>
      <c r="B110" s="124"/>
      <c r="C110" s="124"/>
      <c r="D110" s="124"/>
      <c r="E110" s="201" t="e">
        <f t="shared" si="90"/>
        <v>#DIV/0!</v>
      </c>
      <c r="F110" s="137"/>
      <c r="G110" s="124"/>
      <c r="H110" s="317" t="e">
        <f t="shared" si="97"/>
        <v>#DIV/0!</v>
      </c>
      <c r="I110" s="124"/>
      <c r="J110" s="317" t="e">
        <f t="shared" si="98"/>
        <v>#DIV/0!</v>
      </c>
      <c r="K110" s="124"/>
      <c r="L110" s="124"/>
      <c r="M110" s="270" t="e">
        <f t="shared" si="72"/>
        <v>#DIV/0!</v>
      </c>
      <c r="N110" s="137"/>
      <c r="O110" s="124"/>
      <c r="P110" s="124"/>
      <c r="Q110" s="124"/>
    </row>
    <row r="111" spans="1:55" ht="19" x14ac:dyDescent="0.25">
      <c r="A111" s="124"/>
      <c r="B111" s="124"/>
      <c r="C111" s="124"/>
      <c r="D111" s="124"/>
      <c r="E111" s="201" t="e">
        <f t="shared" si="90"/>
        <v>#DIV/0!</v>
      </c>
      <c r="F111" s="137"/>
      <c r="G111" s="124"/>
      <c r="H111" s="124"/>
      <c r="I111" s="124"/>
      <c r="J111" s="317" t="e">
        <f t="shared" si="98"/>
        <v>#DIV/0!</v>
      </c>
      <c r="K111" s="124"/>
      <c r="L111" s="124"/>
      <c r="M111" s="270" t="e">
        <f t="shared" si="72"/>
        <v>#DIV/0!</v>
      </c>
      <c r="N111" s="137"/>
      <c r="O111" s="124"/>
      <c r="P111" s="124"/>
      <c r="Q111" s="124"/>
    </row>
    <row r="112" spans="1:55" ht="19" x14ac:dyDescent="0.25">
      <c r="A112" s="124"/>
      <c r="B112" s="124"/>
      <c r="C112" s="124"/>
      <c r="D112" s="124"/>
      <c r="E112" s="201" t="e">
        <f t="shared" si="90"/>
        <v>#DIV/0!</v>
      </c>
      <c r="F112" s="137"/>
      <c r="G112" s="124"/>
      <c r="H112" s="124"/>
      <c r="I112" s="124"/>
      <c r="J112" s="317" t="e">
        <f t="shared" si="98"/>
        <v>#DIV/0!</v>
      </c>
      <c r="K112" s="124"/>
      <c r="L112" s="124"/>
      <c r="M112" s="270" t="e">
        <f t="shared" si="72"/>
        <v>#DIV/0!</v>
      </c>
      <c r="N112" s="137"/>
      <c r="O112" s="124"/>
      <c r="P112" s="124"/>
      <c r="Q112" s="124"/>
    </row>
    <row r="113" spans="1:17" ht="19" x14ac:dyDescent="0.25">
      <c r="A113" s="124"/>
      <c r="B113" s="124"/>
      <c r="C113" s="124"/>
      <c r="D113" s="124"/>
      <c r="E113" s="201" t="e">
        <f t="shared" si="90"/>
        <v>#DIV/0!</v>
      </c>
      <c r="F113" s="137"/>
      <c r="G113" s="124"/>
      <c r="H113" s="124"/>
      <c r="I113" s="124"/>
      <c r="J113" s="317" t="e">
        <f t="shared" si="98"/>
        <v>#DIV/0!</v>
      </c>
      <c r="K113" s="124"/>
      <c r="L113" s="124"/>
      <c r="M113" s="270" t="e">
        <f t="shared" si="72"/>
        <v>#DIV/0!</v>
      </c>
      <c r="N113" s="137"/>
      <c r="O113" s="124"/>
      <c r="P113" s="124"/>
      <c r="Q113" s="124"/>
    </row>
    <row r="114" spans="1:17" ht="19" x14ac:dyDescent="0.25">
      <c r="A114" s="124"/>
      <c r="B114" s="124"/>
      <c r="C114" s="124"/>
      <c r="D114" s="124"/>
      <c r="E114" s="201" t="e">
        <f t="shared" si="90"/>
        <v>#DIV/0!</v>
      </c>
      <c r="F114" s="137"/>
      <c r="G114" s="124"/>
      <c r="H114" s="124"/>
      <c r="I114" s="124"/>
      <c r="J114" s="317" t="e">
        <f t="shared" si="98"/>
        <v>#DIV/0!</v>
      </c>
      <c r="K114" s="124"/>
      <c r="L114" s="124"/>
      <c r="M114" s="270" t="e">
        <f t="shared" si="72"/>
        <v>#DIV/0!</v>
      </c>
      <c r="N114" s="137"/>
      <c r="O114" s="124"/>
      <c r="P114" s="124"/>
      <c r="Q114" s="124"/>
    </row>
    <row r="115" spans="1:17" ht="19" x14ac:dyDescent="0.25">
      <c r="A115" s="124"/>
      <c r="B115" s="124"/>
      <c r="C115" s="124"/>
      <c r="D115" s="124"/>
      <c r="E115" s="201" t="e">
        <f t="shared" si="90"/>
        <v>#DIV/0!</v>
      </c>
      <c r="F115" s="137"/>
      <c r="G115" s="124"/>
      <c r="H115" s="124"/>
      <c r="I115" s="124"/>
      <c r="J115" s="317" t="e">
        <f t="shared" si="98"/>
        <v>#DIV/0!</v>
      </c>
      <c r="K115" s="124"/>
      <c r="L115" s="124"/>
      <c r="M115" s="270" t="e">
        <f t="shared" si="72"/>
        <v>#DIV/0!</v>
      </c>
      <c r="N115" s="137"/>
      <c r="O115" s="124"/>
      <c r="P115" s="124"/>
      <c r="Q115" s="124"/>
    </row>
    <row r="116" spans="1:17" ht="19" x14ac:dyDescent="0.25">
      <c r="A116" s="124"/>
      <c r="B116" s="124"/>
      <c r="C116" s="124"/>
      <c r="D116" s="124"/>
      <c r="E116" s="201" t="e">
        <f t="shared" si="90"/>
        <v>#DIV/0!</v>
      </c>
      <c r="F116" s="137"/>
      <c r="G116" s="124"/>
      <c r="H116" s="124"/>
      <c r="I116" s="124"/>
      <c r="J116" s="317" t="e">
        <f t="shared" si="98"/>
        <v>#DIV/0!</v>
      </c>
      <c r="K116" s="124"/>
      <c r="L116" s="124"/>
      <c r="M116" s="270" t="e">
        <f t="shared" si="72"/>
        <v>#DIV/0!</v>
      </c>
      <c r="N116" s="137"/>
      <c r="O116" s="124"/>
      <c r="P116" s="124"/>
      <c r="Q116" s="124"/>
    </row>
    <row r="117" spans="1:17" ht="19" x14ac:dyDescent="0.25">
      <c r="A117" s="124"/>
      <c r="B117" s="124"/>
      <c r="C117" s="124"/>
      <c r="D117" s="124"/>
      <c r="E117" s="201" t="e">
        <f t="shared" si="90"/>
        <v>#DIV/0!</v>
      </c>
      <c r="F117" s="137"/>
      <c r="G117" s="124"/>
      <c r="H117" s="124"/>
      <c r="I117" s="124"/>
      <c r="J117" s="317" t="e">
        <f t="shared" si="98"/>
        <v>#DIV/0!</v>
      </c>
      <c r="K117" s="124"/>
      <c r="L117" s="124"/>
      <c r="M117" s="270" t="e">
        <f t="shared" si="72"/>
        <v>#DIV/0!</v>
      </c>
      <c r="N117" s="137"/>
      <c r="O117" s="124"/>
      <c r="P117" s="124"/>
      <c r="Q117" s="124"/>
    </row>
    <row r="118" spans="1:17" ht="19" x14ac:dyDescent="0.25">
      <c r="A118" s="124"/>
      <c r="B118" s="124"/>
      <c r="C118" s="124"/>
      <c r="D118" s="124"/>
      <c r="E118" s="201" t="e">
        <f t="shared" si="90"/>
        <v>#DIV/0!</v>
      </c>
      <c r="F118" s="137"/>
      <c r="G118" s="124"/>
      <c r="H118" s="124"/>
      <c r="I118" s="124"/>
      <c r="J118" s="317" t="e">
        <f t="shared" si="98"/>
        <v>#DIV/0!</v>
      </c>
      <c r="K118" s="124"/>
      <c r="L118" s="124"/>
      <c r="M118" s="270" t="e">
        <f t="shared" si="72"/>
        <v>#DIV/0!</v>
      </c>
      <c r="N118" s="137"/>
      <c r="O118" s="124"/>
      <c r="P118" s="124"/>
      <c r="Q118" s="124"/>
    </row>
    <row r="119" spans="1:17" ht="19" x14ac:dyDescent="0.25">
      <c r="A119" s="124"/>
      <c r="B119" s="124"/>
      <c r="C119" s="124"/>
      <c r="D119" s="124"/>
      <c r="E119" s="201" t="e">
        <f t="shared" si="90"/>
        <v>#DIV/0!</v>
      </c>
      <c r="F119" s="137"/>
      <c r="G119" s="124"/>
      <c r="H119" s="124"/>
      <c r="I119" s="124"/>
      <c r="J119" s="317" t="e">
        <f t="shared" si="98"/>
        <v>#DIV/0!</v>
      </c>
      <c r="K119" s="124"/>
      <c r="L119" s="124"/>
      <c r="M119" s="270" t="e">
        <f t="shared" si="72"/>
        <v>#DIV/0!</v>
      </c>
      <c r="N119" s="137"/>
      <c r="O119" s="124"/>
      <c r="P119" s="124"/>
      <c r="Q119" s="124"/>
    </row>
    <row r="120" spans="1:17" ht="19" x14ac:dyDescent="0.25">
      <c r="A120" s="124"/>
      <c r="B120" s="124"/>
      <c r="C120" s="124"/>
      <c r="D120" s="124"/>
      <c r="E120" s="201" t="e">
        <f t="shared" si="90"/>
        <v>#DIV/0!</v>
      </c>
      <c r="F120" s="137"/>
      <c r="G120" s="124"/>
      <c r="H120" s="124"/>
      <c r="I120" s="124"/>
      <c r="J120" s="124"/>
      <c r="K120" s="124"/>
      <c r="L120" s="124"/>
      <c r="M120" s="270" t="e">
        <f t="shared" si="72"/>
        <v>#DIV/0!</v>
      </c>
      <c r="N120" s="137"/>
      <c r="O120" s="124"/>
      <c r="P120" s="124"/>
      <c r="Q120" s="124"/>
    </row>
    <row r="121" spans="1:17" ht="19" x14ac:dyDescent="0.25">
      <c r="A121" s="258"/>
      <c r="B121" s="258"/>
      <c r="C121" s="258"/>
      <c r="D121" s="258"/>
      <c r="E121" s="201" t="e">
        <f t="shared" si="90"/>
        <v>#DIV/0!</v>
      </c>
      <c r="F121" s="281"/>
      <c r="G121" s="258"/>
      <c r="H121" s="258"/>
      <c r="I121" s="258"/>
      <c r="J121" s="258"/>
      <c r="K121" s="258"/>
      <c r="L121" s="258"/>
      <c r="M121" s="407" t="e">
        <f t="shared" si="72"/>
        <v>#DIV/0!</v>
      </c>
      <c r="N121" s="137"/>
      <c r="O121" s="258"/>
      <c r="P121" s="258"/>
      <c r="Q121" s="258"/>
    </row>
    <row r="122" spans="1:17" ht="19" x14ac:dyDescent="0.25">
      <c r="A122" s="258"/>
      <c r="B122" s="258"/>
      <c r="C122" s="258"/>
      <c r="D122" s="258"/>
      <c r="E122" s="201" t="e">
        <f t="shared" si="90"/>
        <v>#DIV/0!</v>
      </c>
      <c r="F122" s="281"/>
      <c r="G122" s="258"/>
      <c r="H122" s="258"/>
      <c r="I122" s="258"/>
      <c r="J122" s="258"/>
      <c r="K122" s="258"/>
      <c r="L122" s="258"/>
      <c r="M122" s="270" t="e">
        <f t="shared" si="72"/>
        <v>#DIV/0!</v>
      </c>
      <c r="N122" s="137"/>
      <c r="O122" s="258"/>
      <c r="P122" s="258"/>
      <c r="Q122" s="258"/>
    </row>
    <row r="123" spans="1:17" ht="19" x14ac:dyDescent="0.25">
      <c r="A123" s="258"/>
      <c r="B123" s="258"/>
      <c r="C123" s="258"/>
      <c r="D123" s="258"/>
      <c r="E123" s="201" t="e">
        <f t="shared" si="90"/>
        <v>#DIV/0!</v>
      </c>
      <c r="F123" s="408"/>
      <c r="G123" s="258"/>
      <c r="H123" s="258"/>
      <c r="I123" s="258"/>
      <c r="J123" s="258"/>
      <c r="K123" s="258"/>
      <c r="L123" s="258"/>
      <c r="M123" s="270" t="e">
        <f t="shared" si="72"/>
        <v>#DIV/0!</v>
      </c>
      <c r="N123" s="137"/>
      <c r="O123" s="258"/>
      <c r="P123" s="258"/>
      <c r="Q123" s="258"/>
    </row>
    <row r="124" spans="1:17" ht="19" x14ac:dyDescent="0.25">
      <c r="A124" s="258"/>
      <c r="B124" s="258"/>
      <c r="C124" s="258"/>
      <c r="D124" s="258"/>
      <c r="E124" s="201" t="e">
        <f t="shared" si="90"/>
        <v>#DIV/0!</v>
      </c>
      <c r="F124" s="258"/>
      <c r="G124" s="258"/>
      <c r="H124" s="258"/>
      <c r="I124" s="258"/>
      <c r="J124" s="258"/>
      <c r="K124" s="258"/>
      <c r="L124" s="258"/>
      <c r="M124" s="270" t="e">
        <f t="shared" si="72"/>
        <v>#DIV/0!</v>
      </c>
      <c r="N124" s="137"/>
      <c r="O124" s="258"/>
      <c r="P124" s="258"/>
      <c r="Q124" s="258"/>
    </row>
    <row r="125" spans="1:17" ht="19" x14ac:dyDescent="0.25">
      <c r="A125" s="258"/>
      <c r="B125" s="258"/>
      <c r="C125" s="258"/>
      <c r="D125" s="258"/>
      <c r="E125" s="201" t="e">
        <f t="shared" si="90"/>
        <v>#DIV/0!</v>
      </c>
      <c r="F125" s="258"/>
      <c r="G125" s="258"/>
      <c r="H125" s="258"/>
      <c r="I125" s="258"/>
      <c r="J125" s="258"/>
      <c r="K125" s="258"/>
      <c r="L125" s="258"/>
      <c r="M125" s="270" t="e">
        <f t="shared" si="72"/>
        <v>#DIV/0!</v>
      </c>
      <c r="N125" s="137"/>
      <c r="O125" s="258"/>
      <c r="P125" s="258"/>
      <c r="Q125" s="258"/>
    </row>
    <row r="126" spans="1:17" ht="19" x14ac:dyDescent="0.25">
      <c r="A126" s="258"/>
      <c r="B126" s="258"/>
      <c r="C126" s="258"/>
      <c r="D126" s="258"/>
      <c r="E126" s="201" t="e">
        <f t="shared" si="90"/>
        <v>#DIV/0!</v>
      </c>
      <c r="F126" s="258"/>
      <c r="G126" s="258"/>
      <c r="H126" s="258"/>
      <c r="I126" s="258"/>
      <c r="J126" s="258"/>
      <c r="K126" s="258"/>
      <c r="L126" s="258"/>
      <c r="M126" s="270" t="e">
        <f t="shared" si="72"/>
        <v>#DIV/0!</v>
      </c>
      <c r="N126" s="137"/>
      <c r="O126" s="258"/>
      <c r="P126" s="258"/>
      <c r="Q126" s="258"/>
    </row>
    <row r="127" spans="1:17" ht="19" x14ac:dyDescent="0.25">
      <c r="A127" s="258"/>
      <c r="B127" s="258"/>
      <c r="C127" s="258"/>
      <c r="D127" s="258"/>
      <c r="E127" s="201" t="e">
        <f t="shared" si="90"/>
        <v>#DIV/0!</v>
      </c>
      <c r="F127" s="258"/>
      <c r="G127" s="258"/>
      <c r="H127" s="258"/>
      <c r="I127" s="258"/>
      <c r="J127" s="258"/>
      <c r="K127" s="258"/>
      <c r="L127" s="258"/>
      <c r="M127" s="270" t="e">
        <f t="shared" si="72"/>
        <v>#DIV/0!</v>
      </c>
      <c r="N127" s="137"/>
      <c r="O127" s="258"/>
      <c r="P127" s="258"/>
      <c r="Q127" s="258"/>
    </row>
    <row r="128" spans="1:17" ht="19" x14ac:dyDescent="0.25">
      <c r="A128" s="258"/>
      <c r="B128" s="258"/>
      <c r="C128" s="258"/>
      <c r="D128" s="258"/>
      <c r="E128" s="201" t="e">
        <f t="shared" si="90"/>
        <v>#DIV/0!</v>
      </c>
      <c r="F128" s="258"/>
      <c r="G128" s="258"/>
      <c r="H128" s="258"/>
      <c r="I128" s="258"/>
      <c r="J128" s="258"/>
      <c r="K128" s="258"/>
      <c r="L128" s="258"/>
      <c r="M128" s="270" t="e">
        <f t="shared" si="72"/>
        <v>#DIV/0!</v>
      </c>
      <c r="N128" s="137"/>
      <c r="O128" s="258"/>
      <c r="P128" s="258"/>
      <c r="Q128" s="258"/>
    </row>
    <row r="129" spans="1:17" ht="19" x14ac:dyDescent="0.25">
      <c r="A129" s="258"/>
      <c r="B129" s="258"/>
      <c r="C129" s="258"/>
      <c r="D129" s="258"/>
      <c r="E129" s="201" t="e">
        <f t="shared" si="90"/>
        <v>#DIV/0!</v>
      </c>
      <c r="F129" s="258"/>
      <c r="G129" s="258"/>
      <c r="H129" s="258"/>
      <c r="I129" s="258"/>
      <c r="J129" s="258"/>
      <c r="K129" s="258"/>
      <c r="L129" s="258"/>
      <c r="M129" s="270" t="e">
        <f t="shared" ref="M129:M192" si="99">(D129-L129)/D129*100</f>
        <v>#DIV/0!</v>
      </c>
      <c r="N129" s="137"/>
      <c r="O129" s="258"/>
      <c r="P129" s="258"/>
      <c r="Q129" s="258"/>
    </row>
    <row r="130" spans="1:17" ht="19" x14ac:dyDescent="0.25">
      <c r="A130" s="258"/>
      <c r="B130" s="258"/>
      <c r="C130" s="258"/>
      <c r="D130" s="258"/>
      <c r="E130" s="201" t="e">
        <f t="shared" si="90"/>
        <v>#DIV/0!</v>
      </c>
      <c r="F130" s="258"/>
      <c r="G130" s="258"/>
      <c r="H130" s="258"/>
      <c r="I130" s="258"/>
      <c r="J130" s="258"/>
      <c r="K130" s="258"/>
      <c r="L130" s="258"/>
      <c r="M130" s="270" t="e">
        <f t="shared" si="99"/>
        <v>#DIV/0!</v>
      </c>
      <c r="N130" s="281"/>
      <c r="O130" s="258"/>
      <c r="P130" s="258"/>
      <c r="Q130" s="258"/>
    </row>
    <row r="131" spans="1:17" ht="19" x14ac:dyDescent="0.25">
      <c r="A131" s="258"/>
      <c r="B131" s="258"/>
      <c r="C131" s="258"/>
      <c r="D131" s="258"/>
      <c r="E131" s="201" t="e">
        <f t="shared" si="90"/>
        <v>#DIV/0!</v>
      </c>
      <c r="F131" s="258"/>
      <c r="G131" s="258"/>
      <c r="H131" s="258"/>
      <c r="I131" s="258"/>
      <c r="J131" s="258"/>
      <c r="K131" s="258"/>
      <c r="L131" s="258"/>
      <c r="M131" s="270" t="e">
        <f t="shared" si="99"/>
        <v>#DIV/0!</v>
      </c>
      <c r="N131" s="281"/>
      <c r="O131" s="258"/>
      <c r="P131" s="258"/>
      <c r="Q131" s="258"/>
    </row>
    <row r="132" spans="1:17" ht="19" x14ac:dyDescent="0.25">
      <c r="A132" s="258"/>
      <c r="B132" s="258"/>
      <c r="C132" s="258"/>
      <c r="D132" s="258"/>
      <c r="E132" s="201" t="e">
        <f t="shared" si="90"/>
        <v>#DIV/0!</v>
      </c>
      <c r="F132" s="258"/>
      <c r="G132" s="258"/>
      <c r="H132" s="258"/>
      <c r="I132" s="258"/>
      <c r="J132" s="258"/>
      <c r="K132" s="258"/>
      <c r="L132" s="258"/>
      <c r="M132" s="270" t="e">
        <f t="shared" si="99"/>
        <v>#DIV/0!</v>
      </c>
      <c r="N132" s="281"/>
      <c r="O132" s="258"/>
      <c r="P132" s="258"/>
      <c r="Q132" s="258"/>
    </row>
    <row r="133" spans="1:17" ht="19" x14ac:dyDescent="0.25">
      <c r="A133" s="258"/>
      <c r="B133" s="258"/>
      <c r="C133" s="258"/>
      <c r="D133" s="258"/>
      <c r="E133" s="201" t="e">
        <f t="shared" si="90"/>
        <v>#DIV/0!</v>
      </c>
      <c r="F133" s="258"/>
      <c r="G133" s="258"/>
      <c r="H133" s="258"/>
      <c r="I133" s="258"/>
      <c r="J133" s="258"/>
      <c r="K133" s="258"/>
      <c r="L133" s="258"/>
      <c r="M133" s="270" t="e">
        <f t="shared" si="99"/>
        <v>#DIV/0!</v>
      </c>
      <c r="N133" s="408"/>
      <c r="O133" s="258"/>
      <c r="P133" s="258"/>
      <c r="Q133" s="258"/>
    </row>
    <row r="134" spans="1:17" ht="19" x14ac:dyDescent="0.25">
      <c r="A134" s="258"/>
      <c r="B134" s="258"/>
      <c r="C134" s="258"/>
      <c r="D134" s="258"/>
      <c r="E134" s="201" t="e">
        <f t="shared" si="90"/>
        <v>#DIV/0!</v>
      </c>
      <c r="F134" s="258"/>
      <c r="G134" s="258"/>
      <c r="H134" s="258"/>
      <c r="I134" s="258"/>
      <c r="J134" s="258"/>
      <c r="K134" s="258"/>
      <c r="L134" s="258"/>
      <c r="M134" s="270" t="e">
        <f t="shared" si="99"/>
        <v>#DIV/0!</v>
      </c>
      <c r="N134" s="408"/>
      <c r="O134" s="258"/>
      <c r="P134" s="258"/>
      <c r="Q134" s="258"/>
    </row>
    <row r="135" spans="1:17" ht="19" x14ac:dyDescent="0.25">
      <c r="A135" s="258"/>
      <c r="B135" s="258"/>
      <c r="C135" s="258"/>
      <c r="D135" s="258"/>
      <c r="E135" s="201" t="e">
        <f t="shared" si="90"/>
        <v>#DIV/0!</v>
      </c>
      <c r="F135" s="258"/>
      <c r="G135" s="258"/>
      <c r="H135" s="258"/>
      <c r="I135" s="258"/>
      <c r="J135" s="258"/>
      <c r="K135" s="258"/>
      <c r="L135" s="258"/>
      <c r="M135" s="270" t="e">
        <f t="shared" si="99"/>
        <v>#DIV/0!</v>
      </c>
      <c r="N135" s="408"/>
      <c r="O135" s="258"/>
      <c r="P135" s="258"/>
      <c r="Q135" s="258"/>
    </row>
    <row r="136" spans="1:17" ht="19" x14ac:dyDescent="0.25">
      <c r="A136" s="258"/>
      <c r="B136" s="258"/>
      <c r="C136" s="258"/>
      <c r="D136" s="258"/>
      <c r="E136" s="201" t="e">
        <f t="shared" si="90"/>
        <v>#DIV/0!</v>
      </c>
      <c r="F136" s="258"/>
      <c r="G136" s="258"/>
      <c r="H136" s="258"/>
      <c r="I136" s="258"/>
      <c r="J136" s="258"/>
      <c r="K136" s="258"/>
      <c r="L136" s="258"/>
      <c r="M136" s="270" t="e">
        <f t="shared" si="99"/>
        <v>#DIV/0!</v>
      </c>
      <c r="N136" s="408"/>
      <c r="O136" s="258"/>
      <c r="P136" s="258"/>
      <c r="Q136" s="258"/>
    </row>
    <row r="137" spans="1:17" ht="19" x14ac:dyDescent="0.25">
      <c r="A137" s="258"/>
      <c r="B137" s="258"/>
      <c r="C137" s="258"/>
      <c r="D137" s="258"/>
      <c r="E137" s="201" t="e">
        <f t="shared" si="90"/>
        <v>#DIV/0!</v>
      </c>
      <c r="F137" s="258"/>
      <c r="G137" s="258"/>
      <c r="H137" s="258"/>
      <c r="I137" s="258"/>
      <c r="J137" s="258"/>
      <c r="K137" s="258"/>
      <c r="L137" s="258"/>
      <c r="M137" s="270" t="e">
        <f t="shared" si="99"/>
        <v>#DIV/0!</v>
      </c>
      <c r="N137" s="408"/>
      <c r="O137" s="258"/>
      <c r="P137" s="258"/>
      <c r="Q137" s="258"/>
    </row>
    <row r="138" spans="1:17" ht="19" x14ac:dyDescent="0.25">
      <c r="A138" s="258"/>
      <c r="B138" s="258"/>
      <c r="C138" s="258"/>
      <c r="D138" s="258"/>
      <c r="E138" s="201" t="e">
        <f t="shared" si="90"/>
        <v>#DIV/0!</v>
      </c>
      <c r="F138" s="258"/>
      <c r="G138" s="258"/>
      <c r="H138" s="258"/>
      <c r="I138" s="258"/>
      <c r="J138" s="258"/>
      <c r="K138" s="258"/>
      <c r="L138" s="258"/>
      <c r="M138" s="270" t="e">
        <f t="shared" si="99"/>
        <v>#DIV/0!</v>
      </c>
      <c r="N138" s="408"/>
      <c r="O138" s="258"/>
      <c r="P138" s="258"/>
      <c r="Q138" s="258"/>
    </row>
    <row r="139" spans="1:17" ht="19" x14ac:dyDescent="0.25">
      <c r="A139" s="258"/>
      <c r="B139" s="258"/>
      <c r="C139" s="258"/>
      <c r="D139" s="258"/>
      <c r="E139" s="201" t="e">
        <f t="shared" si="90"/>
        <v>#DIV/0!</v>
      </c>
      <c r="F139" s="258"/>
      <c r="G139" s="258"/>
      <c r="H139" s="258"/>
      <c r="I139" s="258"/>
      <c r="J139" s="258"/>
      <c r="K139" s="258"/>
      <c r="L139" s="258"/>
      <c r="M139" s="270" t="e">
        <f t="shared" si="99"/>
        <v>#DIV/0!</v>
      </c>
      <c r="N139" s="408"/>
      <c r="O139" s="258"/>
      <c r="P139" s="258"/>
      <c r="Q139" s="258"/>
    </row>
    <row r="140" spans="1:17" ht="19" x14ac:dyDescent="0.25">
      <c r="A140" s="258"/>
      <c r="B140" s="258"/>
      <c r="C140" s="258"/>
      <c r="D140" s="258"/>
      <c r="E140" s="201" t="e">
        <f t="shared" si="90"/>
        <v>#DIV/0!</v>
      </c>
      <c r="F140" s="258"/>
      <c r="G140" s="258"/>
      <c r="H140" s="258"/>
      <c r="I140" s="258"/>
      <c r="J140" s="258"/>
      <c r="K140" s="258"/>
      <c r="L140" s="258"/>
      <c r="M140" s="270" t="e">
        <f t="shared" si="99"/>
        <v>#DIV/0!</v>
      </c>
      <c r="N140" s="408"/>
      <c r="O140" s="258"/>
      <c r="P140" s="258"/>
      <c r="Q140" s="258"/>
    </row>
    <row r="141" spans="1:17" ht="19" x14ac:dyDescent="0.25">
      <c r="A141" s="258"/>
      <c r="B141" s="258"/>
      <c r="C141" s="258"/>
      <c r="D141" s="258"/>
      <c r="E141" s="201" t="e">
        <f t="shared" si="90"/>
        <v>#DIV/0!</v>
      </c>
      <c r="F141" s="258"/>
      <c r="G141" s="258"/>
      <c r="H141" s="258"/>
      <c r="I141" s="258"/>
      <c r="J141" s="258"/>
      <c r="K141" s="258"/>
      <c r="L141" s="258"/>
      <c r="M141" s="270" t="e">
        <f t="shared" si="99"/>
        <v>#DIV/0!</v>
      </c>
      <c r="N141" s="408"/>
      <c r="O141" s="258"/>
      <c r="P141" s="258"/>
      <c r="Q141" s="258"/>
    </row>
    <row r="142" spans="1:17" ht="19" x14ac:dyDescent="0.25">
      <c r="A142" s="258"/>
      <c r="B142" s="258"/>
      <c r="C142" s="258"/>
      <c r="D142" s="258"/>
      <c r="E142" s="201" t="e">
        <f t="shared" si="90"/>
        <v>#DIV/0!</v>
      </c>
      <c r="F142" s="258"/>
      <c r="G142" s="258"/>
      <c r="H142" s="258"/>
      <c r="I142" s="258"/>
      <c r="J142" s="258"/>
      <c r="K142" s="258"/>
      <c r="L142" s="258"/>
      <c r="M142" s="270" t="e">
        <f t="shared" si="99"/>
        <v>#DIV/0!</v>
      </c>
      <c r="N142" s="408"/>
      <c r="O142" s="258"/>
      <c r="P142" s="258"/>
      <c r="Q142" s="258"/>
    </row>
    <row r="143" spans="1:17" ht="19" x14ac:dyDescent="0.25">
      <c r="A143" s="258"/>
      <c r="B143" s="258"/>
      <c r="C143" s="258"/>
      <c r="D143" s="258"/>
      <c r="E143" s="201" t="e">
        <f t="shared" si="90"/>
        <v>#DIV/0!</v>
      </c>
      <c r="F143" s="258"/>
      <c r="G143" s="258"/>
      <c r="H143" s="258"/>
      <c r="I143" s="258"/>
      <c r="J143" s="258"/>
      <c r="K143" s="258"/>
      <c r="L143" s="258"/>
      <c r="M143" s="270" t="e">
        <f t="shared" si="99"/>
        <v>#DIV/0!</v>
      </c>
      <c r="N143" s="408"/>
      <c r="O143" s="258"/>
      <c r="P143" s="258"/>
      <c r="Q143" s="258"/>
    </row>
    <row r="144" spans="1:17" ht="19" x14ac:dyDescent="0.25">
      <c r="A144" s="258"/>
      <c r="B144" s="258"/>
      <c r="C144" s="258"/>
      <c r="D144" s="258"/>
      <c r="E144" s="201" t="e">
        <f t="shared" si="90"/>
        <v>#DIV/0!</v>
      </c>
      <c r="F144" s="258"/>
      <c r="G144" s="258"/>
      <c r="H144" s="258"/>
      <c r="I144" s="258"/>
      <c r="J144" s="258"/>
      <c r="K144" s="258"/>
      <c r="L144" s="258"/>
      <c r="M144" s="270" t="e">
        <f t="shared" si="99"/>
        <v>#DIV/0!</v>
      </c>
      <c r="N144" s="408"/>
      <c r="O144" s="258"/>
      <c r="P144" s="258"/>
      <c r="Q144" s="258"/>
    </row>
    <row r="145" spans="1:17" ht="19" x14ac:dyDescent="0.25">
      <c r="A145" s="258"/>
      <c r="B145" s="258"/>
      <c r="C145" s="258"/>
      <c r="D145" s="258"/>
      <c r="E145" s="201" t="e">
        <f t="shared" si="90"/>
        <v>#DIV/0!</v>
      </c>
      <c r="F145" s="258"/>
      <c r="G145" s="258"/>
      <c r="H145" s="258"/>
      <c r="I145" s="258"/>
      <c r="J145" s="258"/>
      <c r="K145" s="258"/>
      <c r="L145" s="258"/>
      <c r="M145" s="270" t="e">
        <f t="shared" si="99"/>
        <v>#DIV/0!</v>
      </c>
      <c r="N145" s="408"/>
      <c r="O145" s="258"/>
      <c r="P145" s="258"/>
      <c r="Q145" s="258"/>
    </row>
    <row r="146" spans="1:17" ht="19" x14ac:dyDescent="0.25">
      <c r="A146" s="258"/>
      <c r="B146" s="258"/>
      <c r="C146" s="258"/>
      <c r="D146" s="258"/>
      <c r="E146" s="201" t="e">
        <f t="shared" si="90"/>
        <v>#DIV/0!</v>
      </c>
      <c r="F146" s="258"/>
      <c r="G146" s="258"/>
      <c r="H146" s="258"/>
      <c r="I146" s="258"/>
      <c r="J146" s="258"/>
      <c r="K146" s="258"/>
      <c r="L146" s="258"/>
      <c r="M146" s="270" t="e">
        <f t="shared" si="99"/>
        <v>#DIV/0!</v>
      </c>
      <c r="N146" s="258"/>
      <c r="O146" s="258"/>
      <c r="P146" s="258"/>
      <c r="Q146" s="258"/>
    </row>
    <row r="147" spans="1:17" ht="19" x14ac:dyDescent="0.25">
      <c r="A147" s="258"/>
      <c r="B147" s="258"/>
      <c r="C147" s="258"/>
      <c r="D147" s="258"/>
      <c r="E147" s="201" t="e">
        <f t="shared" si="90"/>
        <v>#DIV/0!</v>
      </c>
      <c r="F147" s="258"/>
      <c r="G147" s="258"/>
      <c r="H147" s="258"/>
      <c r="I147" s="258"/>
      <c r="J147" s="258"/>
      <c r="K147" s="258"/>
      <c r="L147" s="258"/>
      <c r="M147" s="270" t="e">
        <f t="shared" si="99"/>
        <v>#DIV/0!</v>
      </c>
      <c r="N147" s="258"/>
      <c r="O147" s="258"/>
      <c r="P147" s="258"/>
      <c r="Q147" s="258"/>
    </row>
    <row r="148" spans="1:17" ht="19" x14ac:dyDescent="0.25">
      <c r="A148" s="258"/>
      <c r="B148" s="258"/>
      <c r="C148" s="258"/>
      <c r="D148" s="258"/>
      <c r="E148" s="201" t="e">
        <f t="shared" si="90"/>
        <v>#DIV/0!</v>
      </c>
      <c r="F148" s="258"/>
      <c r="G148" s="258"/>
      <c r="H148" s="258"/>
      <c r="I148" s="258"/>
      <c r="J148" s="258"/>
      <c r="K148" s="258"/>
      <c r="L148" s="258"/>
      <c r="M148" s="270" t="e">
        <f t="shared" si="99"/>
        <v>#DIV/0!</v>
      </c>
      <c r="N148" s="258"/>
      <c r="O148" s="258"/>
      <c r="P148" s="258"/>
      <c r="Q148" s="258"/>
    </row>
    <row r="149" spans="1:17" ht="19" x14ac:dyDescent="0.25">
      <c r="A149" s="258"/>
      <c r="B149" s="258"/>
      <c r="C149" s="258"/>
      <c r="D149" s="258"/>
      <c r="E149" s="201" t="e">
        <f t="shared" si="90"/>
        <v>#DIV/0!</v>
      </c>
      <c r="F149" s="258"/>
      <c r="G149" s="258"/>
      <c r="H149" s="258"/>
      <c r="I149" s="258"/>
      <c r="J149" s="258"/>
      <c r="K149" s="258"/>
      <c r="L149" s="258"/>
      <c r="M149" s="270" t="e">
        <f t="shared" si="99"/>
        <v>#DIV/0!</v>
      </c>
      <c r="N149" s="258"/>
      <c r="O149" s="258"/>
      <c r="P149" s="258"/>
      <c r="Q149" s="258"/>
    </row>
    <row r="150" spans="1:17" ht="19" x14ac:dyDescent="0.25">
      <c r="A150" s="258"/>
      <c r="B150" s="258"/>
      <c r="C150" s="258"/>
      <c r="D150" s="258"/>
      <c r="E150" s="201" t="e">
        <f t="shared" si="90"/>
        <v>#DIV/0!</v>
      </c>
      <c r="F150" s="258"/>
      <c r="G150" s="258"/>
      <c r="H150" s="258"/>
      <c r="I150" s="258"/>
      <c r="J150" s="258"/>
      <c r="K150" s="258"/>
      <c r="L150" s="258"/>
      <c r="M150" s="270" t="e">
        <f t="shared" si="99"/>
        <v>#DIV/0!</v>
      </c>
      <c r="N150" s="258"/>
      <c r="O150" s="258"/>
      <c r="P150" s="258"/>
      <c r="Q150" s="258"/>
    </row>
    <row r="151" spans="1:17" ht="19" x14ac:dyDescent="0.25">
      <c r="A151" s="258"/>
      <c r="B151" s="258"/>
      <c r="C151" s="258"/>
      <c r="D151" s="258"/>
      <c r="E151" s="201" t="e">
        <f t="shared" si="90"/>
        <v>#DIV/0!</v>
      </c>
      <c r="F151" s="258"/>
      <c r="G151" s="258"/>
      <c r="H151" s="258"/>
      <c r="I151" s="258"/>
      <c r="J151" s="258"/>
      <c r="K151" s="258"/>
      <c r="L151" s="258"/>
      <c r="M151" s="270" t="e">
        <f t="shared" si="99"/>
        <v>#DIV/0!</v>
      </c>
      <c r="N151" s="258"/>
      <c r="O151" s="258"/>
      <c r="P151" s="258"/>
      <c r="Q151" s="258"/>
    </row>
    <row r="152" spans="1:17" ht="19" x14ac:dyDescent="0.25">
      <c r="A152" s="258"/>
      <c r="B152" s="258"/>
      <c r="C152" s="258"/>
      <c r="D152" s="258"/>
      <c r="E152" s="201" t="e">
        <f t="shared" si="90"/>
        <v>#DIV/0!</v>
      </c>
      <c r="F152" s="258"/>
      <c r="G152" s="258"/>
      <c r="H152" s="258"/>
      <c r="I152" s="258"/>
      <c r="J152" s="258"/>
      <c r="K152" s="258"/>
      <c r="L152" s="258"/>
      <c r="M152" s="270" t="e">
        <f t="shared" si="99"/>
        <v>#DIV/0!</v>
      </c>
      <c r="N152" s="258"/>
      <c r="O152" s="258"/>
      <c r="P152" s="258"/>
      <c r="Q152" s="258"/>
    </row>
    <row r="153" spans="1:17" ht="19" x14ac:dyDescent="0.25">
      <c r="A153" s="258"/>
      <c r="B153" s="258"/>
      <c r="C153" s="258"/>
      <c r="D153" s="258"/>
      <c r="E153" s="201" t="e">
        <f t="shared" si="90"/>
        <v>#DIV/0!</v>
      </c>
      <c r="F153" s="258"/>
      <c r="G153" s="258"/>
      <c r="H153" s="258"/>
      <c r="I153" s="258"/>
      <c r="J153" s="258"/>
      <c r="K153" s="258"/>
      <c r="L153" s="258"/>
      <c r="M153" s="270" t="e">
        <f t="shared" si="99"/>
        <v>#DIV/0!</v>
      </c>
      <c r="N153" s="258"/>
      <c r="O153" s="258"/>
      <c r="P153" s="258"/>
      <c r="Q153" s="258"/>
    </row>
    <row r="154" spans="1:17" ht="19" x14ac:dyDescent="0.25">
      <c r="A154" s="258"/>
      <c r="B154" s="258"/>
      <c r="C154" s="258"/>
      <c r="D154" s="258"/>
      <c r="E154" s="201" t="e">
        <f t="shared" si="90"/>
        <v>#DIV/0!</v>
      </c>
      <c r="F154" s="258"/>
      <c r="G154" s="258"/>
      <c r="H154" s="258"/>
      <c r="I154" s="258"/>
      <c r="J154" s="258"/>
      <c r="K154" s="258"/>
      <c r="L154" s="258"/>
      <c r="M154" s="270" t="e">
        <f t="shared" si="99"/>
        <v>#DIV/0!</v>
      </c>
      <c r="N154" s="258"/>
      <c r="O154" s="258"/>
      <c r="P154" s="258"/>
      <c r="Q154" s="258"/>
    </row>
    <row r="155" spans="1:17" ht="19" x14ac:dyDescent="0.25">
      <c r="A155" s="258"/>
      <c r="B155" s="258"/>
      <c r="C155" s="258"/>
      <c r="D155" s="258"/>
      <c r="E155" s="201" t="e">
        <f t="shared" ref="E155:E218" si="100">(D155-C155)/C155*100</f>
        <v>#DIV/0!</v>
      </c>
      <c r="F155" s="258"/>
      <c r="G155" s="258"/>
      <c r="H155" s="258"/>
      <c r="I155" s="258"/>
      <c r="J155" s="258"/>
      <c r="K155" s="258"/>
      <c r="L155" s="258"/>
      <c r="M155" s="270" t="e">
        <f t="shared" si="99"/>
        <v>#DIV/0!</v>
      </c>
      <c r="N155" s="258"/>
      <c r="O155" s="258"/>
      <c r="P155" s="258"/>
      <c r="Q155" s="258"/>
    </row>
    <row r="156" spans="1:17" ht="19" x14ac:dyDescent="0.25">
      <c r="A156" s="258"/>
      <c r="B156" s="258"/>
      <c r="C156" s="258"/>
      <c r="D156" s="258"/>
      <c r="E156" s="201" t="e">
        <f t="shared" si="100"/>
        <v>#DIV/0!</v>
      </c>
      <c r="F156" s="258"/>
      <c r="G156" s="258"/>
      <c r="H156" s="258"/>
      <c r="I156" s="258"/>
      <c r="J156" s="258"/>
      <c r="K156" s="258"/>
      <c r="L156" s="258"/>
      <c r="M156" s="270" t="e">
        <f t="shared" si="99"/>
        <v>#DIV/0!</v>
      </c>
      <c r="N156" s="258"/>
      <c r="O156" s="258"/>
      <c r="P156" s="258"/>
      <c r="Q156" s="258"/>
    </row>
    <row r="157" spans="1:17" ht="19" x14ac:dyDescent="0.25">
      <c r="A157" s="258"/>
      <c r="B157" s="258"/>
      <c r="C157" s="258"/>
      <c r="D157" s="258"/>
      <c r="E157" s="201" t="e">
        <f t="shared" si="100"/>
        <v>#DIV/0!</v>
      </c>
      <c r="F157" s="258"/>
      <c r="G157" s="258"/>
      <c r="H157" s="258"/>
      <c r="I157" s="258"/>
      <c r="J157" s="258"/>
      <c r="K157" s="258"/>
      <c r="L157" s="258"/>
      <c r="M157" s="270" t="e">
        <f t="shared" si="99"/>
        <v>#DIV/0!</v>
      </c>
      <c r="N157" s="258"/>
      <c r="O157" s="258"/>
      <c r="P157" s="258"/>
      <c r="Q157" s="258"/>
    </row>
    <row r="158" spans="1:17" ht="19" x14ac:dyDescent="0.25">
      <c r="E158" s="201" t="e">
        <f t="shared" si="100"/>
        <v>#DIV/0!</v>
      </c>
      <c r="M158" s="270" t="e">
        <f t="shared" si="99"/>
        <v>#DIV/0!</v>
      </c>
      <c r="O158" s="258"/>
      <c r="P158" s="258"/>
      <c r="Q158" s="258"/>
    </row>
    <row r="159" spans="1:17" ht="19" x14ac:dyDescent="0.25">
      <c r="E159" s="201" t="e">
        <f t="shared" si="100"/>
        <v>#DIV/0!</v>
      </c>
      <c r="M159" s="270" t="e">
        <f t="shared" si="99"/>
        <v>#DIV/0!</v>
      </c>
      <c r="O159" s="258"/>
      <c r="P159" s="258"/>
      <c r="Q159" s="258"/>
    </row>
    <row r="160" spans="1:17" ht="19" x14ac:dyDescent="0.25">
      <c r="E160" s="201" t="e">
        <f t="shared" si="100"/>
        <v>#DIV/0!</v>
      </c>
      <c r="M160" s="270" t="e">
        <f t="shared" si="99"/>
        <v>#DIV/0!</v>
      </c>
      <c r="O160" s="258"/>
      <c r="P160" s="258"/>
      <c r="Q160" s="258"/>
    </row>
    <row r="161" spans="5:17" ht="19" x14ac:dyDescent="0.25">
      <c r="E161" s="201" t="e">
        <f t="shared" si="100"/>
        <v>#DIV/0!</v>
      </c>
      <c r="M161" s="270" t="e">
        <f t="shared" si="99"/>
        <v>#DIV/0!</v>
      </c>
      <c r="O161" s="258"/>
      <c r="P161" s="258"/>
      <c r="Q161" s="258"/>
    </row>
    <row r="162" spans="5:17" ht="19" x14ac:dyDescent="0.25">
      <c r="E162" s="201" t="e">
        <f t="shared" si="100"/>
        <v>#DIV/0!</v>
      </c>
      <c r="M162" s="270" t="e">
        <f t="shared" si="99"/>
        <v>#DIV/0!</v>
      </c>
      <c r="O162" s="258"/>
      <c r="P162" s="258"/>
      <c r="Q162" s="258"/>
    </row>
    <row r="163" spans="5:17" ht="19" x14ac:dyDescent="0.25">
      <c r="E163" s="201" t="e">
        <f t="shared" si="100"/>
        <v>#DIV/0!</v>
      </c>
      <c r="M163" s="270" t="e">
        <f t="shared" si="99"/>
        <v>#DIV/0!</v>
      </c>
      <c r="O163" s="258"/>
      <c r="P163" s="258"/>
      <c r="Q163" s="258"/>
    </row>
    <row r="164" spans="5:17" ht="19" x14ac:dyDescent="0.25">
      <c r="E164" s="201" t="e">
        <f t="shared" si="100"/>
        <v>#DIV/0!</v>
      </c>
      <c r="M164" s="270" t="e">
        <f t="shared" si="99"/>
        <v>#DIV/0!</v>
      </c>
      <c r="O164" s="258"/>
      <c r="P164" s="258"/>
      <c r="Q164" s="258"/>
    </row>
    <row r="165" spans="5:17" ht="19" x14ac:dyDescent="0.25">
      <c r="E165" s="201" t="e">
        <f t="shared" si="100"/>
        <v>#DIV/0!</v>
      </c>
      <c r="M165" s="270" t="e">
        <f t="shared" si="99"/>
        <v>#DIV/0!</v>
      </c>
      <c r="O165" s="258"/>
      <c r="P165" s="258"/>
      <c r="Q165" s="258"/>
    </row>
    <row r="166" spans="5:17" ht="19" x14ac:dyDescent="0.25">
      <c r="E166" s="201" t="e">
        <f t="shared" si="100"/>
        <v>#DIV/0!</v>
      </c>
      <c r="M166" s="270" t="e">
        <f t="shared" si="99"/>
        <v>#DIV/0!</v>
      </c>
      <c r="O166" s="258"/>
      <c r="P166" s="258"/>
      <c r="Q166" s="258"/>
    </row>
    <row r="167" spans="5:17" ht="19" x14ac:dyDescent="0.25">
      <c r="E167" s="201" t="e">
        <f t="shared" si="100"/>
        <v>#DIV/0!</v>
      </c>
      <c r="M167" s="270" t="e">
        <f t="shared" si="99"/>
        <v>#DIV/0!</v>
      </c>
      <c r="O167" s="258"/>
      <c r="P167" s="258"/>
      <c r="Q167" s="258"/>
    </row>
    <row r="168" spans="5:17" ht="19" x14ac:dyDescent="0.25">
      <c r="E168" s="201" t="e">
        <f t="shared" si="100"/>
        <v>#DIV/0!</v>
      </c>
      <c r="M168" s="270" t="e">
        <f t="shared" si="99"/>
        <v>#DIV/0!</v>
      </c>
      <c r="O168" s="258"/>
      <c r="P168" s="258"/>
      <c r="Q168" s="258"/>
    </row>
    <row r="169" spans="5:17" ht="19" x14ac:dyDescent="0.25">
      <c r="E169" s="201" t="e">
        <f t="shared" si="100"/>
        <v>#DIV/0!</v>
      </c>
      <c r="M169" s="270" t="e">
        <f t="shared" si="99"/>
        <v>#DIV/0!</v>
      </c>
      <c r="O169" s="258"/>
      <c r="P169" s="258"/>
      <c r="Q169" s="258"/>
    </row>
    <row r="170" spans="5:17" ht="19" x14ac:dyDescent="0.25">
      <c r="E170" s="201" t="e">
        <f t="shared" si="100"/>
        <v>#DIV/0!</v>
      </c>
      <c r="M170" s="270" t="e">
        <f t="shared" si="99"/>
        <v>#DIV/0!</v>
      </c>
      <c r="O170" s="258"/>
      <c r="P170" s="258"/>
      <c r="Q170" s="258"/>
    </row>
    <row r="171" spans="5:17" ht="19" x14ac:dyDescent="0.25">
      <c r="E171" s="201" t="e">
        <f t="shared" si="100"/>
        <v>#DIV/0!</v>
      </c>
      <c r="M171" s="270" t="e">
        <f t="shared" si="99"/>
        <v>#DIV/0!</v>
      </c>
      <c r="O171" s="258"/>
      <c r="P171" s="258"/>
      <c r="Q171" s="258"/>
    </row>
    <row r="172" spans="5:17" ht="19" x14ac:dyDescent="0.25">
      <c r="E172" s="201" t="e">
        <f t="shared" si="100"/>
        <v>#DIV/0!</v>
      </c>
      <c r="M172" s="270" t="e">
        <f t="shared" si="99"/>
        <v>#DIV/0!</v>
      </c>
      <c r="O172" s="258"/>
      <c r="P172" s="258"/>
      <c r="Q172" s="258"/>
    </row>
    <row r="173" spans="5:17" ht="19" x14ac:dyDescent="0.25">
      <c r="E173" s="201" t="e">
        <f t="shared" si="100"/>
        <v>#DIV/0!</v>
      </c>
      <c r="M173" s="270" t="e">
        <f t="shared" si="99"/>
        <v>#DIV/0!</v>
      </c>
      <c r="O173" s="258"/>
      <c r="P173" s="258"/>
      <c r="Q173" s="258"/>
    </row>
    <row r="174" spans="5:17" ht="19" x14ac:dyDescent="0.25">
      <c r="E174" s="201" t="e">
        <f t="shared" si="100"/>
        <v>#DIV/0!</v>
      </c>
      <c r="M174" s="270" t="e">
        <f t="shared" si="99"/>
        <v>#DIV/0!</v>
      </c>
      <c r="O174" s="258"/>
      <c r="P174" s="258"/>
      <c r="Q174" s="258"/>
    </row>
    <row r="175" spans="5:17" ht="19" x14ac:dyDescent="0.25">
      <c r="E175" s="201" t="e">
        <f t="shared" si="100"/>
        <v>#DIV/0!</v>
      </c>
      <c r="M175" s="270" t="e">
        <f t="shared" si="99"/>
        <v>#DIV/0!</v>
      </c>
      <c r="O175" s="258"/>
      <c r="P175" s="258"/>
      <c r="Q175" s="258"/>
    </row>
    <row r="176" spans="5:17" ht="19" x14ac:dyDescent="0.25">
      <c r="E176" s="201" t="e">
        <f t="shared" si="100"/>
        <v>#DIV/0!</v>
      </c>
      <c r="M176" s="270" t="e">
        <f t="shared" si="99"/>
        <v>#DIV/0!</v>
      </c>
      <c r="O176" s="258"/>
      <c r="P176" s="258"/>
      <c r="Q176" s="258"/>
    </row>
    <row r="177" spans="5:17" ht="19" x14ac:dyDescent="0.25">
      <c r="E177" s="201" t="e">
        <f t="shared" si="100"/>
        <v>#DIV/0!</v>
      </c>
      <c r="M177" s="270" t="e">
        <f t="shared" si="99"/>
        <v>#DIV/0!</v>
      </c>
      <c r="O177" s="258"/>
      <c r="P177" s="258"/>
      <c r="Q177" s="258"/>
    </row>
    <row r="178" spans="5:17" ht="19" x14ac:dyDescent="0.25">
      <c r="E178" s="201" t="e">
        <f t="shared" si="100"/>
        <v>#DIV/0!</v>
      </c>
      <c r="M178" s="270" t="e">
        <f t="shared" si="99"/>
        <v>#DIV/0!</v>
      </c>
      <c r="O178" s="258"/>
      <c r="P178" s="258"/>
      <c r="Q178" s="258"/>
    </row>
    <row r="179" spans="5:17" ht="19" x14ac:dyDescent="0.25">
      <c r="E179" s="201" t="e">
        <f t="shared" si="100"/>
        <v>#DIV/0!</v>
      </c>
      <c r="M179" s="270" t="e">
        <f t="shared" si="99"/>
        <v>#DIV/0!</v>
      </c>
      <c r="O179" s="258"/>
      <c r="P179" s="258"/>
      <c r="Q179" s="258"/>
    </row>
    <row r="180" spans="5:17" ht="19" x14ac:dyDescent="0.25">
      <c r="E180" s="201" t="e">
        <f t="shared" si="100"/>
        <v>#DIV/0!</v>
      </c>
      <c r="M180" s="270" t="e">
        <f t="shared" si="99"/>
        <v>#DIV/0!</v>
      </c>
      <c r="O180" s="258"/>
      <c r="P180" s="258"/>
      <c r="Q180" s="258"/>
    </row>
    <row r="181" spans="5:17" ht="19" x14ac:dyDescent="0.25">
      <c r="E181" s="201" t="e">
        <f t="shared" si="100"/>
        <v>#DIV/0!</v>
      </c>
      <c r="M181" s="270" t="e">
        <f t="shared" si="99"/>
        <v>#DIV/0!</v>
      </c>
      <c r="O181" s="258"/>
      <c r="P181" s="258"/>
      <c r="Q181" s="258"/>
    </row>
    <row r="182" spans="5:17" ht="19" x14ac:dyDescent="0.25">
      <c r="E182" s="201" t="e">
        <f t="shared" si="100"/>
        <v>#DIV/0!</v>
      </c>
      <c r="M182" s="270" t="e">
        <f t="shared" si="99"/>
        <v>#DIV/0!</v>
      </c>
      <c r="O182" s="258"/>
      <c r="P182" s="258"/>
      <c r="Q182" s="258"/>
    </row>
    <row r="183" spans="5:17" ht="19" x14ac:dyDescent="0.25">
      <c r="E183" s="201" t="e">
        <f t="shared" si="100"/>
        <v>#DIV/0!</v>
      </c>
      <c r="M183" s="270" t="e">
        <f t="shared" si="99"/>
        <v>#DIV/0!</v>
      </c>
      <c r="O183" s="258"/>
      <c r="P183" s="258"/>
      <c r="Q183" s="258"/>
    </row>
    <row r="184" spans="5:17" ht="19" x14ac:dyDescent="0.25">
      <c r="E184" s="201" t="e">
        <f t="shared" si="100"/>
        <v>#DIV/0!</v>
      </c>
      <c r="M184" s="270" t="e">
        <f t="shared" si="99"/>
        <v>#DIV/0!</v>
      </c>
      <c r="O184" s="258"/>
      <c r="P184" s="258"/>
      <c r="Q184" s="258"/>
    </row>
    <row r="185" spans="5:17" ht="19" x14ac:dyDescent="0.25">
      <c r="E185" s="201" t="e">
        <f t="shared" si="100"/>
        <v>#DIV/0!</v>
      </c>
      <c r="M185" s="270" t="e">
        <f t="shared" si="99"/>
        <v>#DIV/0!</v>
      </c>
      <c r="O185" s="258"/>
      <c r="P185" s="258"/>
      <c r="Q185" s="258"/>
    </row>
    <row r="186" spans="5:17" ht="19" x14ac:dyDescent="0.25">
      <c r="E186" s="201" t="e">
        <f t="shared" si="100"/>
        <v>#DIV/0!</v>
      </c>
      <c r="M186" s="270" t="e">
        <f t="shared" si="99"/>
        <v>#DIV/0!</v>
      </c>
      <c r="O186" s="258"/>
      <c r="P186" s="258"/>
      <c r="Q186" s="258"/>
    </row>
    <row r="187" spans="5:17" ht="19" x14ac:dyDescent="0.25">
      <c r="E187" s="201" t="e">
        <f t="shared" si="100"/>
        <v>#DIV/0!</v>
      </c>
      <c r="M187" s="270" t="e">
        <f t="shared" si="99"/>
        <v>#DIV/0!</v>
      </c>
      <c r="O187" s="258"/>
      <c r="P187" s="258"/>
      <c r="Q187" s="258"/>
    </row>
    <row r="188" spans="5:17" ht="19" x14ac:dyDescent="0.25">
      <c r="E188" s="201" t="e">
        <f t="shared" si="100"/>
        <v>#DIV/0!</v>
      </c>
      <c r="M188" s="270" t="e">
        <f t="shared" si="99"/>
        <v>#DIV/0!</v>
      </c>
      <c r="O188" s="258"/>
      <c r="P188" s="258"/>
      <c r="Q188" s="258"/>
    </row>
    <row r="189" spans="5:17" ht="19" x14ac:dyDescent="0.25">
      <c r="E189" s="201" t="e">
        <f t="shared" si="100"/>
        <v>#DIV/0!</v>
      </c>
      <c r="M189" s="270" t="e">
        <f t="shared" si="99"/>
        <v>#DIV/0!</v>
      </c>
      <c r="O189" s="258"/>
      <c r="P189" s="258"/>
      <c r="Q189" s="258"/>
    </row>
    <row r="190" spans="5:17" ht="19" x14ac:dyDescent="0.25">
      <c r="E190" s="201" t="e">
        <f t="shared" si="100"/>
        <v>#DIV/0!</v>
      </c>
      <c r="M190" s="270" t="e">
        <f t="shared" si="99"/>
        <v>#DIV/0!</v>
      </c>
      <c r="O190" s="258"/>
      <c r="P190" s="258"/>
      <c r="Q190" s="258"/>
    </row>
    <row r="191" spans="5:17" ht="19" x14ac:dyDescent="0.25">
      <c r="E191" s="201" t="e">
        <f t="shared" si="100"/>
        <v>#DIV/0!</v>
      </c>
      <c r="M191" s="270" t="e">
        <f t="shared" si="99"/>
        <v>#DIV/0!</v>
      </c>
      <c r="O191" s="258"/>
      <c r="P191" s="258"/>
      <c r="Q191" s="258"/>
    </row>
    <row r="192" spans="5:17" ht="19" x14ac:dyDescent="0.25">
      <c r="E192" s="201" t="e">
        <f t="shared" si="100"/>
        <v>#DIV/0!</v>
      </c>
      <c r="M192" s="270" t="e">
        <f t="shared" si="99"/>
        <v>#DIV/0!</v>
      </c>
      <c r="O192" s="258"/>
      <c r="P192" s="258"/>
      <c r="Q192" s="258"/>
    </row>
    <row r="193" spans="5:17" ht="19" x14ac:dyDescent="0.25">
      <c r="E193" s="201" t="e">
        <f t="shared" si="100"/>
        <v>#DIV/0!</v>
      </c>
      <c r="M193" s="270" t="e">
        <f t="shared" ref="M193:M239" si="101">(D193-L193)/D193*100</f>
        <v>#DIV/0!</v>
      </c>
      <c r="O193" s="258"/>
      <c r="P193" s="258"/>
      <c r="Q193" s="258"/>
    </row>
    <row r="194" spans="5:17" ht="19" x14ac:dyDescent="0.25">
      <c r="E194" s="201" t="e">
        <f t="shared" si="100"/>
        <v>#DIV/0!</v>
      </c>
      <c r="M194" s="270" t="e">
        <f t="shared" si="101"/>
        <v>#DIV/0!</v>
      </c>
      <c r="O194" s="258"/>
      <c r="P194" s="258"/>
      <c r="Q194" s="258"/>
    </row>
    <row r="195" spans="5:17" ht="19" x14ac:dyDescent="0.25">
      <c r="E195" s="201" t="e">
        <f t="shared" si="100"/>
        <v>#DIV/0!</v>
      </c>
      <c r="M195" s="270" t="e">
        <f t="shared" si="101"/>
        <v>#DIV/0!</v>
      </c>
    </row>
    <row r="196" spans="5:17" ht="19" x14ac:dyDescent="0.25">
      <c r="E196" s="201" t="e">
        <f t="shared" si="100"/>
        <v>#DIV/0!</v>
      </c>
      <c r="M196" s="270" t="e">
        <f t="shared" si="101"/>
        <v>#DIV/0!</v>
      </c>
    </row>
    <row r="197" spans="5:17" ht="19" x14ac:dyDescent="0.25">
      <c r="E197" s="201" t="e">
        <f t="shared" si="100"/>
        <v>#DIV/0!</v>
      </c>
      <c r="M197" s="270" t="e">
        <f t="shared" si="101"/>
        <v>#DIV/0!</v>
      </c>
    </row>
    <row r="198" spans="5:17" ht="19" x14ac:dyDescent="0.25">
      <c r="E198" s="201" t="e">
        <f t="shared" si="100"/>
        <v>#DIV/0!</v>
      </c>
      <c r="M198" s="270" t="e">
        <f t="shared" si="101"/>
        <v>#DIV/0!</v>
      </c>
    </row>
    <row r="199" spans="5:17" ht="19" x14ac:dyDescent="0.25">
      <c r="E199" s="201" t="e">
        <f t="shared" si="100"/>
        <v>#DIV/0!</v>
      </c>
      <c r="M199" s="270" t="e">
        <f t="shared" si="101"/>
        <v>#DIV/0!</v>
      </c>
    </row>
    <row r="200" spans="5:17" ht="19" x14ac:dyDescent="0.25">
      <c r="E200" s="201" t="e">
        <f t="shared" si="100"/>
        <v>#DIV/0!</v>
      </c>
      <c r="M200" s="270" t="e">
        <f t="shared" si="101"/>
        <v>#DIV/0!</v>
      </c>
    </row>
    <row r="201" spans="5:17" ht="19" x14ac:dyDescent="0.25">
      <c r="E201" s="201" t="e">
        <f t="shared" si="100"/>
        <v>#DIV/0!</v>
      </c>
      <c r="M201" s="270" t="e">
        <f t="shared" si="101"/>
        <v>#DIV/0!</v>
      </c>
    </row>
    <row r="202" spans="5:17" ht="19" x14ac:dyDescent="0.25">
      <c r="E202" s="201" t="e">
        <f t="shared" si="100"/>
        <v>#DIV/0!</v>
      </c>
      <c r="M202" s="270" t="e">
        <f t="shared" si="101"/>
        <v>#DIV/0!</v>
      </c>
    </row>
    <row r="203" spans="5:17" ht="19" x14ac:dyDescent="0.25">
      <c r="E203" s="201" t="e">
        <f t="shared" si="100"/>
        <v>#DIV/0!</v>
      </c>
      <c r="M203" s="270" t="e">
        <f t="shared" si="101"/>
        <v>#DIV/0!</v>
      </c>
    </row>
    <row r="204" spans="5:17" ht="19" x14ac:dyDescent="0.25">
      <c r="E204" s="201" t="e">
        <f t="shared" si="100"/>
        <v>#DIV/0!</v>
      </c>
      <c r="M204" s="270" t="e">
        <f t="shared" si="101"/>
        <v>#DIV/0!</v>
      </c>
    </row>
    <row r="205" spans="5:17" ht="19" x14ac:dyDescent="0.25">
      <c r="E205" s="201" t="e">
        <f t="shared" si="100"/>
        <v>#DIV/0!</v>
      </c>
      <c r="M205" s="270" t="e">
        <f t="shared" si="101"/>
        <v>#DIV/0!</v>
      </c>
    </row>
    <row r="206" spans="5:17" ht="19" x14ac:dyDescent="0.25">
      <c r="E206" s="201" t="e">
        <f t="shared" si="100"/>
        <v>#DIV/0!</v>
      </c>
      <c r="M206" s="270" t="e">
        <f t="shared" si="101"/>
        <v>#DIV/0!</v>
      </c>
    </row>
    <row r="207" spans="5:17" ht="19" x14ac:dyDescent="0.25">
      <c r="E207" s="201" t="e">
        <f t="shared" si="100"/>
        <v>#DIV/0!</v>
      </c>
      <c r="M207" s="270" t="e">
        <f t="shared" si="101"/>
        <v>#DIV/0!</v>
      </c>
    </row>
    <row r="208" spans="5:17" ht="19" x14ac:dyDescent="0.25">
      <c r="E208" s="201" t="e">
        <f t="shared" si="100"/>
        <v>#DIV/0!</v>
      </c>
      <c r="M208" s="270" t="e">
        <f t="shared" si="101"/>
        <v>#DIV/0!</v>
      </c>
    </row>
    <row r="209" spans="5:13" ht="19" x14ac:dyDescent="0.25">
      <c r="E209" s="201" t="e">
        <f t="shared" si="100"/>
        <v>#DIV/0!</v>
      </c>
      <c r="M209" s="270" t="e">
        <f t="shared" si="101"/>
        <v>#DIV/0!</v>
      </c>
    </row>
    <row r="210" spans="5:13" ht="19" x14ac:dyDescent="0.25">
      <c r="E210" s="201" t="e">
        <f t="shared" si="100"/>
        <v>#DIV/0!</v>
      </c>
      <c r="M210" s="270" t="e">
        <f t="shared" si="101"/>
        <v>#DIV/0!</v>
      </c>
    </row>
    <row r="211" spans="5:13" ht="19" x14ac:dyDescent="0.25">
      <c r="E211" s="201" t="e">
        <f t="shared" si="100"/>
        <v>#DIV/0!</v>
      </c>
      <c r="M211" s="270" t="e">
        <f t="shared" si="101"/>
        <v>#DIV/0!</v>
      </c>
    </row>
    <row r="212" spans="5:13" ht="19" x14ac:dyDescent="0.25">
      <c r="E212" s="201" t="e">
        <f t="shared" si="100"/>
        <v>#DIV/0!</v>
      </c>
      <c r="M212" s="270" t="e">
        <f t="shared" si="101"/>
        <v>#DIV/0!</v>
      </c>
    </row>
    <row r="213" spans="5:13" ht="19" x14ac:dyDescent="0.25">
      <c r="E213" s="201" t="e">
        <f t="shared" si="100"/>
        <v>#DIV/0!</v>
      </c>
      <c r="M213" s="270" t="e">
        <f t="shared" si="101"/>
        <v>#DIV/0!</v>
      </c>
    </row>
    <row r="214" spans="5:13" ht="19" x14ac:dyDescent="0.25">
      <c r="E214" s="201" t="e">
        <f t="shared" si="100"/>
        <v>#DIV/0!</v>
      </c>
      <c r="M214" s="270" t="e">
        <f t="shared" si="101"/>
        <v>#DIV/0!</v>
      </c>
    </row>
    <row r="215" spans="5:13" ht="19" x14ac:dyDescent="0.25">
      <c r="E215" s="201" t="e">
        <f t="shared" si="100"/>
        <v>#DIV/0!</v>
      </c>
      <c r="M215" s="270" t="e">
        <f t="shared" si="101"/>
        <v>#DIV/0!</v>
      </c>
    </row>
    <row r="216" spans="5:13" ht="19" x14ac:dyDescent="0.25">
      <c r="E216" s="201" t="e">
        <f t="shared" si="100"/>
        <v>#DIV/0!</v>
      </c>
      <c r="M216" s="270" t="e">
        <f t="shared" si="101"/>
        <v>#DIV/0!</v>
      </c>
    </row>
    <row r="217" spans="5:13" ht="19" x14ac:dyDescent="0.25">
      <c r="E217" s="201" t="e">
        <f t="shared" si="100"/>
        <v>#DIV/0!</v>
      </c>
      <c r="M217" s="270" t="e">
        <f t="shared" si="101"/>
        <v>#DIV/0!</v>
      </c>
    </row>
    <row r="218" spans="5:13" ht="19" x14ac:dyDescent="0.25">
      <c r="E218" s="201" t="e">
        <f t="shared" si="100"/>
        <v>#DIV/0!</v>
      </c>
      <c r="M218" s="270" t="e">
        <f t="shared" si="101"/>
        <v>#DIV/0!</v>
      </c>
    </row>
    <row r="219" spans="5:13" ht="19" x14ac:dyDescent="0.25">
      <c r="E219" s="201" t="e">
        <f t="shared" ref="E219:E264" si="102">(D219-C219)/C219*100</f>
        <v>#DIV/0!</v>
      </c>
      <c r="M219" s="270" t="e">
        <f t="shared" si="101"/>
        <v>#DIV/0!</v>
      </c>
    </row>
    <row r="220" spans="5:13" ht="19" x14ac:dyDescent="0.25">
      <c r="E220" s="201" t="e">
        <f t="shared" si="102"/>
        <v>#DIV/0!</v>
      </c>
      <c r="M220" s="270" t="e">
        <f t="shared" si="101"/>
        <v>#DIV/0!</v>
      </c>
    </row>
    <row r="221" spans="5:13" ht="19" x14ac:dyDescent="0.25">
      <c r="E221" s="201" t="e">
        <f t="shared" si="102"/>
        <v>#DIV/0!</v>
      </c>
      <c r="M221" s="270" t="e">
        <f t="shared" si="101"/>
        <v>#DIV/0!</v>
      </c>
    </row>
    <row r="222" spans="5:13" ht="19" x14ac:dyDescent="0.25">
      <c r="E222" s="201" t="e">
        <f t="shared" si="102"/>
        <v>#DIV/0!</v>
      </c>
      <c r="M222" s="270" t="e">
        <f t="shared" si="101"/>
        <v>#DIV/0!</v>
      </c>
    </row>
    <row r="223" spans="5:13" ht="19" x14ac:dyDescent="0.25">
      <c r="E223" s="201" t="e">
        <f t="shared" si="102"/>
        <v>#DIV/0!</v>
      </c>
      <c r="M223" s="270" t="e">
        <f t="shared" si="101"/>
        <v>#DIV/0!</v>
      </c>
    </row>
    <row r="224" spans="5:13" ht="19" x14ac:dyDescent="0.25">
      <c r="E224" s="201" t="e">
        <f t="shared" si="102"/>
        <v>#DIV/0!</v>
      </c>
      <c r="M224" s="270" t="e">
        <f t="shared" si="101"/>
        <v>#DIV/0!</v>
      </c>
    </row>
    <row r="225" spans="5:13" ht="19" x14ac:dyDescent="0.25">
      <c r="E225" s="201" t="e">
        <f t="shared" si="102"/>
        <v>#DIV/0!</v>
      </c>
      <c r="M225" s="270" t="e">
        <f t="shared" si="101"/>
        <v>#DIV/0!</v>
      </c>
    </row>
    <row r="226" spans="5:13" ht="19" x14ac:dyDescent="0.25">
      <c r="E226" s="201" t="e">
        <f t="shared" si="102"/>
        <v>#DIV/0!</v>
      </c>
      <c r="M226" s="270" t="e">
        <f t="shared" si="101"/>
        <v>#DIV/0!</v>
      </c>
    </row>
    <row r="227" spans="5:13" ht="19" x14ac:dyDescent="0.25">
      <c r="E227" s="201" t="e">
        <f t="shared" si="102"/>
        <v>#DIV/0!</v>
      </c>
      <c r="M227" s="270" t="e">
        <f t="shared" si="101"/>
        <v>#DIV/0!</v>
      </c>
    </row>
    <row r="228" spans="5:13" ht="19" x14ac:dyDescent="0.25">
      <c r="E228" s="201" t="e">
        <f t="shared" si="102"/>
        <v>#DIV/0!</v>
      </c>
      <c r="M228" s="270" t="e">
        <f t="shared" si="101"/>
        <v>#DIV/0!</v>
      </c>
    </row>
    <row r="229" spans="5:13" ht="19" x14ac:dyDescent="0.25">
      <c r="E229" s="201" t="e">
        <f t="shared" si="102"/>
        <v>#DIV/0!</v>
      </c>
      <c r="M229" s="270" t="e">
        <f t="shared" si="101"/>
        <v>#DIV/0!</v>
      </c>
    </row>
    <row r="230" spans="5:13" ht="19" x14ac:dyDescent="0.25">
      <c r="E230" s="201" t="e">
        <f t="shared" si="102"/>
        <v>#DIV/0!</v>
      </c>
      <c r="M230" s="270" t="e">
        <f t="shared" si="101"/>
        <v>#DIV/0!</v>
      </c>
    </row>
    <row r="231" spans="5:13" ht="19" x14ac:dyDescent="0.25">
      <c r="E231" s="201" t="e">
        <f t="shared" si="102"/>
        <v>#DIV/0!</v>
      </c>
      <c r="M231" s="270" t="e">
        <f t="shared" si="101"/>
        <v>#DIV/0!</v>
      </c>
    </row>
    <row r="232" spans="5:13" ht="19" x14ac:dyDescent="0.25">
      <c r="E232" s="201" t="e">
        <f t="shared" si="102"/>
        <v>#DIV/0!</v>
      </c>
      <c r="M232" s="270" t="e">
        <f t="shared" si="101"/>
        <v>#DIV/0!</v>
      </c>
    </row>
    <row r="233" spans="5:13" ht="19" x14ac:dyDescent="0.25">
      <c r="E233" s="201" t="e">
        <f t="shared" si="102"/>
        <v>#DIV/0!</v>
      </c>
      <c r="M233" s="270" t="e">
        <f t="shared" si="101"/>
        <v>#DIV/0!</v>
      </c>
    </row>
    <row r="234" spans="5:13" ht="19" x14ac:dyDescent="0.25">
      <c r="E234" s="201" t="e">
        <f t="shared" si="102"/>
        <v>#DIV/0!</v>
      </c>
      <c r="M234" s="270" t="e">
        <f t="shared" si="101"/>
        <v>#DIV/0!</v>
      </c>
    </row>
    <row r="235" spans="5:13" ht="19" x14ac:dyDescent="0.25">
      <c r="E235" s="201" t="e">
        <f t="shared" si="102"/>
        <v>#DIV/0!</v>
      </c>
      <c r="M235" s="270" t="e">
        <f t="shared" si="101"/>
        <v>#DIV/0!</v>
      </c>
    </row>
    <row r="236" spans="5:13" ht="19" x14ac:dyDescent="0.25">
      <c r="E236" s="201" t="e">
        <f t="shared" si="102"/>
        <v>#DIV/0!</v>
      </c>
      <c r="M236" s="270" t="e">
        <f t="shared" si="101"/>
        <v>#DIV/0!</v>
      </c>
    </row>
    <row r="237" spans="5:13" ht="19" x14ac:dyDescent="0.25">
      <c r="E237" s="201" t="e">
        <f t="shared" si="102"/>
        <v>#DIV/0!</v>
      </c>
      <c r="M237" s="270" t="e">
        <f t="shared" si="101"/>
        <v>#DIV/0!</v>
      </c>
    </row>
    <row r="238" spans="5:13" ht="19" x14ac:dyDescent="0.25">
      <c r="E238" s="201" t="e">
        <f t="shared" si="102"/>
        <v>#DIV/0!</v>
      </c>
      <c r="M238" s="270" t="e">
        <f t="shared" si="101"/>
        <v>#DIV/0!</v>
      </c>
    </row>
    <row r="239" spans="5:13" ht="19" x14ac:dyDescent="0.25">
      <c r="E239" s="201" t="e">
        <f t="shared" si="102"/>
        <v>#DIV/0!</v>
      </c>
      <c r="M239" s="270" t="e">
        <f t="shared" si="101"/>
        <v>#DIV/0!</v>
      </c>
    </row>
    <row r="240" spans="5:13" ht="19" x14ac:dyDescent="0.25">
      <c r="E240" s="201" t="e">
        <f t="shared" si="102"/>
        <v>#DIV/0!</v>
      </c>
      <c r="M240" s="311" t="e">
        <f t="shared" ref="M240:M274" si="103">(L240-D240)/D240*100</f>
        <v>#DIV/0!</v>
      </c>
    </row>
    <row r="241" spans="5:13" ht="19" x14ac:dyDescent="0.25">
      <c r="E241" s="201" t="e">
        <f t="shared" si="102"/>
        <v>#DIV/0!</v>
      </c>
      <c r="M241" s="311" t="e">
        <f t="shared" si="103"/>
        <v>#DIV/0!</v>
      </c>
    </row>
    <row r="242" spans="5:13" ht="19" x14ac:dyDescent="0.25">
      <c r="E242" s="201" t="e">
        <f t="shared" si="102"/>
        <v>#DIV/0!</v>
      </c>
      <c r="M242" s="311" t="e">
        <f t="shared" si="103"/>
        <v>#DIV/0!</v>
      </c>
    </row>
    <row r="243" spans="5:13" ht="19" x14ac:dyDescent="0.25">
      <c r="E243" s="201" t="e">
        <f t="shared" si="102"/>
        <v>#DIV/0!</v>
      </c>
      <c r="M243" s="311" t="e">
        <f t="shared" si="103"/>
        <v>#DIV/0!</v>
      </c>
    </row>
    <row r="244" spans="5:13" ht="19" x14ac:dyDescent="0.25">
      <c r="E244" s="201" t="e">
        <f t="shared" si="102"/>
        <v>#DIV/0!</v>
      </c>
      <c r="M244" s="311" t="e">
        <f t="shared" si="103"/>
        <v>#DIV/0!</v>
      </c>
    </row>
    <row r="245" spans="5:13" ht="19" x14ac:dyDescent="0.25">
      <c r="E245" s="201" t="e">
        <f t="shared" si="102"/>
        <v>#DIV/0!</v>
      </c>
      <c r="M245" s="311" t="e">
        <f t="shared" si="103"/>
        <v>#DIV/0!</v>
      </c>
    </row>
    <row r="246" spans="5:13" ht="19" x14ac:dyDescent="0.25">
      <c r="E246" s="201" t="e">
        <f t="shared" si="102"/>
        <v>#DIV/0!</v>
      </c>
      <c r="M246" s="311" t="e">
        <f t="shared" si="103"/>
        <v>#DIV/0!</v>
      </c>
    </row>
    <row r="247" spans="5:13" ht="19" x14ac:dyDescent="0.25">
      <c r="E247" s="201" t="e">
        <f t="shared" si="102"/>
        <v>#DIV/0!</v>
      </c>
      <c r="M247" s="311" t="e">
        <f t="shared" si="103"/>
        <v>#DIV/0!</v>
      </c>
    </row>
    <row r="248" spans="5:13" ht="19" x14ac:dyDescent="0.25">
      <c r="E248" s="201" t="e">
        <f t="shared" si="102"/>
        <v>#DIV/0!</v>
      </c>
      <c r="M248" s="311" t="e">
        <f t="shared" si="103"/>
        <v>#DIV/0!</v>
      </c>
    </row>
    <row r="249" spans="5:13" ht="19" x14ac:dyDescent="0.25">
      <c r="E249" s="201" t="e">
        <f t="shared" si="102"/>
        <v>#DIV/0!</v>
      </c>
      <c r="M249" s="311" t="e">
        <f t="shared" si="103"/>
        <v>#DIV/0!</v>
      </c>
    </row>
    <row r="250" spans="5:13" ht="19" x14ac:dyDescent="0.25">
      <c r="E250" s="201" t="e">
        <f t="shared" si="102"/>
        <v>#DIV/0!</v>
      </c>
      <c r="M250" s="311" t="e">
        <f t="shared" si="103"/>
        <v>#DIV/0!</v>
      </c>
    </row>
    <row r="251" spans="5:13" ht="19" x14ac:dyDescent="0.25">
      <c r="E251" s="201" t="e">
        <f t="shared" si="102"/>
        <v>#DIV/0!</v>
      </c>
      <c r="M251" s="311" t="e">
        <f t="shared" si="103"/>
        <v>#DIV/0!</v>
      </c>
    </row>
    <row r="252" spans="5:13" ht="19" x14ac:dyDescent="0.25">
      <c r="E252" s="201" t="e">
        <f t="shared" si="102"/>
        <v>#DIV/0!</v>
      </c>
      <c r="M252" s="311" t="e">
        <f t="shared" si="103"/>
        <v>#DIV/0!</v>
      </c>
    </row>
    <row r="253" spans="5:13" ht="19" x14ac:dyDescent="0.25">
      <c r="E253" s="201" t="e">
        <f t="shared" si="102"/>
        <v>#DIV/0!</v>
      </c>
      <c r="M253" s="311" t="e">
        <f t="shared" si="103"/>
        <v>#DIV/0!</v>
      </c>
    </row>
    <row r="254" spans="5:13" ht="19" x14ac:dyDescent="0.25">
      <c r="E254" s="201" t="e">
        <f t="shared" si="102"/>
        <v>#DIV/0!</v>
      </c>
      <c r="M254" s="311" t="e">
        <f t="shared" si="103"/>
        <v>#DIV/0!</v>
      </c>
    </row>
    <row r="255" spans="5:13" ht="19" x14ac:dyDescent="0.25">
      <c r="E255" s="201" t="e">
        <f t="shared" si="102"/>
        <v>#DIV/0!</v>
      </c>
      <c r="M255" s="311" t="e">
        <f t="shared" si="103"/>
        <v>#DIV/0!</v>
      </c>
    </row>
    <row r="256" spans="5:13" ht="19" x14ac:dyDescent="0.25">
      <c r="E256" s="201" t="e">
        <f t="shared" si="102"/>
        <v>#DIV/0!</v>
      </c>
      <c r="M256" s="311" t="e">
        <f t="shared" si="103"/>
        <v>#DIV/0!</v>
      </c>
    </row>
    <row r="257" spans="5:13" ht="19" x14ac:dyDescent="0.25">
      <c r="E257" s="201" t="e">
        <f t="shared" si="102"/>
        <v>#DIV/0!</v>
      </c>
      <c r="M257" s="311" t="e">
        <f t="shared" si="103"/>
        <v>#DIV/0!</v>
      </c>
    </row>
    <row r="258" spans="5:13" ht="19" x14ac:dyDescent="0.25">
      <c r="E258" s="201" t="e">
        <f t="shared" si="102"/>
        <v>#DIV/0!</v>
      </c>
      <c r="M258" s="311" t="e">
        <f t="shared" si="103"/>
        <v>#DIV/0!</v>
      </c>
    </row>
    <row r="259" spans="5:13" ht="19" x14ac:dyDescent="0.25">
      <c r="E259" s="201" t="e">
        <f t="shared" si="102"/>
        <v>#DIV/0!</v>
      </c>
      <c r="M259" s="311" t="e">
        <f t="shared" si="103"/>
        <v>#DIV/0!</v>
      </c>
    </row>
    <row r="260" spans="5:13" ht="19" x14ac:dyDescent="0.25">
      <c r="E260" s="201" t="e">
        <f t="shared" si="102"/>
        <v>#DIV/0!</v>
      </c>
      <c r="M260" s="311" t="e">
        <f t="shared" si="103"/>
        <v>#DIV/0!</v>
      </c>
    </row>
    <row r="261" spans="5:13" ht="19" x14ac:dyDescent="0.25">
      <c r="E261" s="201" t="e">
        <f t="shared" si="102"/>
        <v>#DIV/0!</v>
      </c>
      <c r="M261" s="311" t="e">
        <f t="shared" si="103"/>
        <v>#DIV/0!</v>
      </c>
    </row>
    <row r="262" spans="5:13" ht="19" x14ac:dyDescent="0.25">
      <c r="E262" s="201" t="e">
        <f t="shared" si="102"/>
        <v>#DIV/0!</v>
      </c>
      <c r="M262" s="311" t="e">
        <f t="shared" si="103"/>
        <v>#DIV/0!</v>
      </c>
    </row>
    <row r="263" spans="5:13" ht="19" x14ac:dyDescent="0.25">
      <c r="E263" s="201" t="e">
        <f t="shared" si="102"/>
        <v>#DIV/0!</v>
      </c>
      <c r="M263" s="311" t="e">
        <f t="shared" si="103"/>
        <v>#DIV/0!</v>
      </c>
    </row>
    <row r="264" spans="5:13" ht="19" x14ac:dyDescent="0.25">
      <c r="E264" s="201" t="e">
        <f t="shared" si="102"/>
        <v>#DIV/0!</v>
      </c>
      <c r="M264" s="311" t="e">
        <f t="shared" si="103"/>
        <v>#DIV/0!</v>
      </c>
    </row>
    <row r="265" spans="5:13" ht="19" x14ac:dyDescent="0.25">
      <c r="M265" s="311" t="e">
        <f t="shared" si="103"/>
        <v>#DIV/0!</v>
      </c>
    </row>
    <row r="266" spans="5:13" ht="19" x14ac:dyDescent="0.25">
      <c r="M266" s="311" t="e">
        <f t="shared" si="103"/>
        <v>#DIV/0!</v>
      </c>
    </row>
    <row r="267" spans="5:13" ht="19" x14ac:dyDescent="0.25">
      <c r="M267" s="311" t="e">
        <f t="shared" si="103"/>
        <v>#DIV/0!</v>
      </c>
    </row>
    <row r="268" spans="5:13" ht="19" x14ac:dyDescent="0.25">
      <c r="M268" s="311" t="e">
        <f t="shared" si="103"/>
        <v>#DIV/0!</v>
      </c>
    </row>
    <row r="269" spans="5:13" ht="19" x14ac:dyDescent="0.25">
      <c r="M269" s="311" t="e">
        <f t="shared" si="103"/>
        <v>#DIV/0!</v>
      </c>
    </row>
    <row r="270" spans="5:13" ht="19" x14ac:dyDescent="0.25">
      <c r="M270" s="311" t="e">
        <f t="shared" si="103"/>
        <v>#DIV/0!</v>
      </c>
    </row>
    <row r="271" spans="5:13" ht="19" x14ac:dyDescent="0.25">
      <c r="M271" s="311" t="e">
        <f t="shared" si="103"/>
        <v>#DIV/0!</v>
      </c>
    </row>
    <row r="272" spans="5:13" ht="19" x14ac:dyDescent="0.25">
      <c r="M272" s="311" t="e">
        <f t="shared" si="103"/>
        <v>#DIV/0!</v>
      </c>
    </row>
    <row r="273" spans="13:13" ht="19" x14ac:dyDescent="0.25">
      <c r="M273" s="311" t="e">
        <f t="shared" si="103"/>
        <v>#DIV/0!</v>
      </c>
    </row>
    <row r="274" spans="13:13" ht="19" x14ac:dyDescent="0.25">
      <c r="M274" s="311" t="e">
        <f t="shared" si="103"/>
        <v>#DIV/0!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F891E-7017-448E-90DD-BF8C578B1751}">
  <dimension ref="A1:Q57"/>
  <sheetViews>
    <sheetView topLeftCell="A27" zoomScale="80" zoomScaleNormal="80" workbookViewId="0">
      <selection activeCell="B45" sqref="B45"/>
    </sheetView>
  </sheetViews>
  <sheetFormatPr baseColWidth="10" defaultColWidth="8.83203125" defaultRowHeight="16" x14ac:dyDescent="0.2"/>
  <cols>
    <col min="1" max="1" width="13.6640625" customWidth="1"/>
    <col min="2" max="2" width="11.83203125" customWidth="1"/>
    <col min="3" max="3" width="16.5" customWidth="1"/>
    <col min="4" max="4" width="13.6640625" customWidth="1"/>
    <col min="5" max="5" width="15" customWidth="1"/>
    <col min="6" max="6" width="18.1640625" customWidth="1"/>
    <col min="7" max="7" width="17" customWidth="1"/>
    <col min="8" max="8" width="10.1640625" customWidth="1"/>
    <col min="9" max="9" width="12.6640625" customWidth="1"/>
    <col min="10" max="10" width="11.6640625" customWidth="1"/>
    <col min="11" max="11" width="14.6640625" customWidth="1"/>
    <col min="12" max="12" width="12.1640625" customWidth="1"/>
    <col min="13" max="13" width="13.6640625" customWidth="1"/>
    <col min="14" max="14" width="20.1640625" customWidth="1"/>
    <col min="15" max="15" width="15.6640625" customWidth="1"/>
    <col min="16" max="16" width="17.1640625" customWidth="1"/>
    <col min="17" max="17" width="36" bestFit="1" customWidth="1"/>
  </cols>
  <sheetData>
    <row r="1" spans="1:17" ht="21" x14ac:dyDescent="0.25">
      <c r="A1" s="139" t="s">
        <v>108</v>
      </c>
      <c r="B1" s="139" t="s">
        <v>107</v>
      </c>
      <c r="C1" s="139" t="s">
        <v>152</v>
      </c>
      <c r="D1" s="139" t="s">
        <v>153</v>
      </c>
      <c r="E1" s="139" t="s">
        <v>154</v>
      </c>
      <c r="F1" s="139" t="s">
        <v>155</v>
      </c>
      <c r="G1" s="263" t="s">
        <v>156</v>
      </c>
      <c r="H1" s="263" t="s">
        <v>157</v>
      </c>
      <c r="I1" s="263" t="s">
        <v>158</v>
      </c>
      <c r="J1" s="263" t="s">
        <v>159</v>
      </c>
      <c r="K1" s="263" t="s">
        <v>160</v>
      </c>
      <c r="L1" s="139" t="s">
        <v>161</v>
      </c>
      <c r="M1" s="139" t="s">
        <v>162</v>
      </c>
      <c r="N1" s="291" t="s">
        <v>163</v>
      </c>
      <c r="O1" s="285" t="s">
        <v>164</v>
      </c>
      <c r="P1" s="139" t="s">
        <v>165</v>
      </c>
      <c r="Q1" s="325" t="s">
        <v>833</v>
      </c>
    </row>
    <row r="2" spans="1:17" s="141" customFormat="1" ht="19" x14ac:dyDescent="0.25">
      <c r="A2" s="262" t="s">
        <v>173</v>
      </c>
      <c r="B2" s="272"/>
      <c r="C2" s="274" t="e">
        <f>(#REF!+#REF!+#REF!++#REF!)/4</f>
        <v>#REF!</v>
      </c>
      <c r="D2" s="274" t="e">
        <f>(#REF!+#REF!+#REF!++#REF!)/4</f>
        <v>#REF!</v>
      </c>
      <c r="E2" s="274" t="e">
        <f>(#REF!+#REF!+#REF!++#REF!)/4</f>
        <v>#REF!</v>
      </c>
      <c r="F2" s="274" t="e">
        <f>(#REF!+#REF!+#REF!++#REF!)/4</f>
        <v>#REF!</v>
      </c>
      <c r="G2" s="274" t="e">
        <f>(#REF!+#REF!+#REF!++#REF!)/4</f>
        <v>#REF!</v>
      </c>
      <c r="H2" s="274" t="e">
        <f>(#REF!+#REF!+#REF!++#REF!)/4</f>
        <v>#REF!</v>
      </c>
      <c r="I2" s="274" t="e">
        <f>(#REF!+#REF!+#REF!++#REF!)/4</f>
        <v>#REF!</v>
      </c>
      <c r="J2" s="274" t="e">
        <f>(#REF!+#REF!+#REF!++#REF!)/4</f>
        <v>#REF!</v>
      </c>
      <c r="K2" s="274" t="e">
        <f>(#REF!+#REF!+#REF!++#REF!)/4</f>
        <v>#REF!</v>
      </c>
      <c r="L2" s="274" t="e">
        <f>(#REF!+#REF!+#REF!++#REF!)/4</f>
        <v>#REF!</v>
      </c>
      <c r="M2" s="274" t="e">
        <f>(#REF!+#REF!+#REF!++#REF!)/4</f>
        <v>#REF!</v>
      </c>
      <c r="N2" s="274" t="e">
        <f>(#REF!+#REF!+#REF!++#REF!)/4</f>
        <v>#REF!</v>
      </c>
      <c r="O2" s="274" t="e">
        <f>(#REF!+#REF!+#REF!++#REF!)/4</f>
        <v>#REF!</v>
      </c>
      <c r="P2" s="274" t="e">
        <f>(#REF!+#REF!+#REF!++#REF!)/4</f>
        <v>#REF!</v>
      </c>
      <c r="Q2" s="138"/>
    </row>
    <row r="3" spans="1:17" ht="21" x14ac:dyDescent="0.25">
      <c r="A3" s="139" t="s">
        <v>108</v>
      </c>
      <c r="B3" s="139" t="s">
        <v>107</v>
      </c>
      <c r="C3" s="139" t="s">
        <v>152</v>
      </c>
      <c r="D3" s="139" t="s">
        <v>153</v>
      </c>
      <c r="E3" s="139" t="s">
        <v>154</v>
      </c>
      <c r="F3" s="139" t="s">
        <v>155</v>
      </c>
      <c r="G3" s="263" t="s">
        <v>156</v>
      </c>
      <c r="H3" s="263" t="s">
        <v>157</v>
      </c>
      <c r="I3" s="263" t="s">
        <v>158</v>
      </c>
      <c r="J3" s="263" t="s">
        <v>159</v>
      </c>
      <c r="K3" s="263" t="s">
        <v>160</v>
      </c>
      <c r="L3" s="139" t="s">
        <v>161</v>
      </c>
      <c r="M3" s="139" t="s">
        <v>162</v>
      </c>
      <c r="N3" s="291" t="s">
        <v>163</v>
      </c>
      <c r="O3" s="285" t="s">
        <v>164</v>
      </c>
      <c r="P3" s="285" t="s">
        <v>174</v>
      </c>
      <c r="Q3" s="124"/>
    </row>
    <row r="4" spans="1:17" s="141" customFormat="1" ht="19" x14ac:dyDescent="0.25">
      <c r="A4" s="262" t="s">
        <v>183</v>
      </c>
      <c r="B4" s="274" t="e">
        <f>(#REF!+#REF!+#REF!)/3</f>
        <v>#REF!</v>
      </c>
      <c r="C4" s="274" t="e">
        <f>(#REF!+#REF!+#REF!)/3</f>
        <v>#REF!</v>
      </c>
      <c r="D4" s="274" t="e">
        <f>(#REF!+#REF!+#REF!)/3</f>
        <v>#REF!</v>
      </c>
      <c r="E4" s="274" t="e">
        <f>(#REF!+#REF!+#REF!)/3</f>
        <v>#REF!</v>
      </c>
      <c r="F4" s="274" t="e">
        <f>(#REF!+#REF!+#REF!)/3</f>
        <v>#REF!</v>
      </c>
      <c r="G4" s="274" t="e">
        <f>(#REF!+#REF!+#REF!)/3</f>
        <v>#REF!</v>
      </c>
      <c r="H4" s="274" t="e">
        <f>(#REF!+#REF!+#REF!)/3</f>
        <v>#REF!</v>
      </c>
      <c r="I4" s="274" t="e">
        <f>(#REF!+#REF!+#REF!)/3</f>
        <v>#REF!</v>
      </c>
      <c r="J4" s="274" t="e">
        <f>(#REF!+#REF!+#REF!)/3</f>
        <v>#REF!</v>
      </c>
      <c r="K4" s="274" t="e">
        <f>(#REF!+#REF!+#REF!)/3</f>
        <v>#REF!</v>
      </c>
      <c r="L4" s="274" t="e">
        <f>(#REF!+#REF!+#REF!)/3</f>
        <v>#REF!</v>
      </c>
      <c r="M4" s="274" t="e">
        <f>(#REF!+#REF!+#REF!)/3</f>
        <v>#REF!</v>
      </c>
      <c r="N4" s="274" t="e">
        <f>(#REF!+#REF!+#REF!)/3</f>
        <v>#REF!</v>
      </c>
      <c r="O4" s="274" t="e">
        <f>(#REF!+#REF!+#REF!)/3</f>
        <v>#REF!</v>
      </c>
      <c r="P4" s="274" t="e">
        <f>(#REF!+#REF!+#REF!)/3</f>
        <v>#REF!</v>
      </c>
      <c r="Q4" s="138"/>
    </row>
    <row r="5" spans="1:17" ht="21" x14ac:dyDescent="0.25">
      <c r="A5" s="139" t="s">
        <v>108</v>
      </c>
      <c r="B5" s="139" t="s">
        <v>107</v>
      </c>
      <c r="C5" s="139" t="s">
        <v>152</v>
      </c>
      <c r="D5" s="139" t="s">
        <v>153</v>
      </c>
      <c r="E5" s="139" t="s">
        <v>154</v>
      </c>
      <c r="F5" s="139" t="s">
        <v>155</v>
      </c>
      <c r="G5" s="263" t="s">
        <v>156</v>
      </c>
      <c r="H5" s="263" t="s">
        <v>157</v>
      </c>
      <c r="I5" s="263" t="s">
        <v>158</v>
      </c>
      <c r="J5" s="263" t="s">
        <v>159</v>
      </c>
      <c r="K5" s="263" t="s">
        <v>160</v>
      </c>
      <c r="L5" s="139" t="s">
        <v>161</v>
      </c>
      <c r="M5" s="139" t="s">
        <v>162</v>
      </c>
      <c r="N5" s="291" t="s">
        <v>163</v>
      </c>
      <c r="O5" s="285" t="s">
        <v>164</v>
      </c>
      <c r="P5" s="285" t="s">
        <v>174</v>
      </c>
      <c r="Q5" s="124"/>
    </row>
    <row r="6" spans="1:17" s="306" customFormat="1" ht="19" x14ac:dyDescent="0.25">
      <c r="A6" s="307" t="s">
        <v>193</v>
      </c>
      <c r="B6" s="308">
        <v>44001</v>
      </c>
      <c r="C6" s="307">
        <v>1.77</v>
      </c>
      <c r="D6" s="307">
        <v>3.78</v>
      </c>
      <c r="E6" s="309">
        <f t="shared" ref="E6" si="0">(D6-C6)/C6*100</f>
        <v>113.5593220338983</v>
      </c>
      <c r="F6" s="202">
        <v>171000000</v>
      </c>
      <c r="G6" s="201">
        <v>6.32</v>
      </c>
      <c r="H6" s="312">
        <f t="shared" ref="H6" si="1">(G6-D6)/D6*100</f>
        <v>67.195767195767203</v>
      </c>
      <c r="I6" s="201">
        <v>7.2</v>
      </c>
      <c r="J6" s="312">
        <f t="shared" ref="J6" si="2">(I6-D6)/D6*100</f>
        <v>90.476190476190482</v>
      </c>
      <c r="K6" s="314">
        <v>0.45833333333333331</v>
      </c>
      <c r="L6" s="316">
        <v>3.02</v>
      </c>
      <c r="M6" s="311">
        <f>(D6-L6)/D6*100</f>
        <v>20.105820105820101</v>
      </c>
      <c r="N6" s="202">
        <v>3000000</v>
      </c>
      <c r="O6" s="307" t="s">
        <v>170</v>
      </c>
      <c r="P6" s="316">
        <f t="shared" ref="P6" si="3">E6+J6</f>
        <v>204.03551251008878</v>
      </c>
      <c r="Q6" s="307"/>
    </row>
    <row r="7" spans="1:17" s="141" customFormat="1" ht="19" x14ac:dyDescent="0.25">
      <c r="A7" s="262" t="s">
        <v>198</v>
      </c>
      <c r="B7" s="272"/>
      <c r="C7" s="274" t="e">
        <f>(#REF!+#REF!+#REF!+#REF!+#REF!+#REF!+#REF!+#REF!+#REF!+#REF!+#REF!)/11</f>
        <v>#REF!</v>
      </c>
      <c r="D7" s="274" t="e">
        <f>(#REF!+#REF!+#REF!+#REF!+#REF!+#REF!+#REF!+#REF!+#REF!+#REF!+#REF!)/11</f>
        <v>#REF!</v>
      </c>
      <c r="E7" s="274" t="e">
        <f>(#REF!+#REF!+#REF!+#REF!+#REF!+#REF!+#REF!+#REF!+#REF!+#REF!+#REF!)/11</f>
        <v>#REF!</v>
      </c>
      <c r="F7" s="274" t="e">
        <f>(#REF!+#REF!+#REF!+#REF!+#REF!+#REF!+#REF!+#REF!+#REF!+#REF!+#REF!)/11</f>
        <v>#REF!</v>
      </c>
      <c r="G7" s="274" t="e">
        <f>(#REF!+#REF!+#REF!+#REF!+#REF!+#REF!+#REF!+#REF!+#REF!+#REF!+#REF!)/11</f>
        <v>#REF!</v>
      </c>
      <c r="H7" s="274" t="e">
        <f>(#REF!+#REF!+#REF!+#REF!+#REF!+#REF!+#REF!+#REF!+#REF!+#REF!+#REF!)/11</f>
        <v>#REF!</v>
      </c>
      <c r="I7" s="274" t="e">
        <f>(#REF!+#REF!+#REF!+#REF!+#REF!+#REF!+#REF!+#REF!+#REF!+#REF!+#REF!)/11</f>
        <v>#REF!</v>
      </c>
      <c r="J7" s="274" t="e">
        <f>(#REF!+#REF!+#REF!+#REF!+#REF!+#REF!+#REF!+#REF!+#REF!+#REF!+#REF!)/11</f>
        <v>#REF!</v>
      </c>
      <c r="K7" s="274" t="e">
        <f>(#REF!+#REF!+#REF!+#REF!+#REF!+#REF!+#REF!+#REF!+#REF!+#REF!+#REF!)/11</f>
        <v>#REF!</v>
      </c>
      <c r="L7" s="274" t="e">
        <f>(#REF!+#REF!+#REF!+#REF!+#REF!+#REF!+#REF!+#REF!+#REF!+#REF!+#REF!)/11</f>
        <v>#REF!</v>
      </c>
      <c r="M7" s="274" t="e">
        <f>(#REF!+#REF!+#REF!+#REF!+#REF!+#REF!+#REF!+#REF!+#REF!+#REF!+#REF!)/11</f>
        <v>#REF!</v>
      </c>
      <c r="N7" s="274" t="e">
        <f>(#REF!+#REF!+#REF!+#REF!+#REF!+#REF!+#REF!+#REF!+#REF!+#REF!+#REF!)/11</f>
        <v>#REF!</v>
      </c>
      <c r="O7" s="274" t="e">
        <f>(#REF!+#REF!+#REF!+#REF!+#REF!+#REF!+#REF!+#REF!+#REF!+#REF!+#REF!)/11</f>
        <v>#REF!</v>
      </c>
      <c r="P7" s="274" t="e">
        <f>(#REF!+#REF!+#REF!+#REF!+#REF!+#REF!+#REF!+#REF!+#REF!+#REF!+#REF!)/11</f>
        <v>#REF!</v>
      </c>
      <c r="Q7" s="138"/>
    </row>
    <row r="8" spans="1:17" ht="21" x14ac:dyDescent="0.25">
      <c r="A8" s="139" t="s">
        <v>108</v>
      </c>
      <c r="B8" s="139" t="s">
        <v>107</v>
      </c>
      <c r="C8" s="139" t="s">
        <v>152</v>
      </c>
      <c r="D8" s="139" t="s">
        <v>153</v>
      </c>
      <c r="E8" s="139" t="s">
        <v>154</v>
      </c>
      <c r="F8" s="139" t="s">
        <v>155</v>
      </c>
      <c r="G8" s="263" t="s">
        <v>156</v>
      </c>
      <c r="H8" s="263" t="s">
        <v>157</v>
      </c>
      <c r="I8" s="263" t="s">
        <v>158</v>
      </c>
      <c r="J8" s="263" t="s">
        <v>159</v>
      </c>
      <c r="K8" s="263" t="s">
        <v>160</v>
      </c>
      <c r="L8" s="139" t="s">
        <v>161</v>
      </c>
      <c r="M8" s="139" t="s">
        <v>162</v>
      </c>
      <c r="N8" s="291" t="s">
        <v>163</v>
      </c>
      <c r="O8" s="285" t="s">
        <v>164</v>
      </c>
      <c r="P8" s="285" t="s">
        <v>174</v>
      </c>
      <c r="Q8" s="124"/>
    </row>
    <row r="9" spans="1:17" s="306" customFormat="1" ht="19" x14ac:dyDescent="0.25">
      <c r="A9" s="307" t="s">
        <v>200</v>
      </c>
      <c r="B9" s="308">
        <v>44100</v>
      </c>
      <c r="C9" s="307">
        <v>1.1100000000000001</v>
      </c>
      <c r="D9" s="307">
        <v>1.52</v>
      </c>
      <c r="E9" s="309">
        <f t="shared" ref="E9:E10" si="4">(D9-C9)/C9*100</f>
        <v>36.936936936936924</v>
      </c>
      <c r="F9" s="202">
        <v>140000000</v>
      </c>
      <c r="G9" s="201">
        <v>1.95</v>
      </c>
      <c r="H9" s="312">
        <f t="shared" ref="H9:H10" si="5">(G9-D9)/D9*100</f>
        <v>28.28947368421052</v>
      </c>
      <c r="I9" s="201">
        <v>3.2</v>
      </c>
      <c r="J9" s="312">
        <f t="shared" ref="J9:J10" si="6">(I9-D9)/D9*100</f>
        <v>110.5263157894737</v>
      </c>
      <c r="K9" s="314">
        <v>0.46527777777777773</v>
      </c>
      <c r="L9" s="307">
        <v>2.98</v>
      </c>
      <c r="M9" s="366">
        <f>(D9-L9)/D9*100</f>
        <v>-96.05263157894737</v>
      </c>
      <c r="N9" s="202">
        <v>3000000</v>
      </c>
      <c r="O9" s="307" t="s">
        <v>167</v>
      </c>
      <c r="P9" s="316">
        <f t="shared" ref="P9:P10" si="7">E9+J9</f>
        <v>147.46325272641062</v>
      </c>
      <c r="Q9" s="307"/>
    </row>
    <row r="10" spans="1:17" s="306" customFormat="1" ht="19" x14ac:dyDescent="0.25">
      <c r="A10" s="307" t="s">
        <v>202</v>
      </c>
      <c r="B10" s="308">
        <v>44118</v>
      </c>
      <c r="C10" s="307">
        <v>1.1499999999999999</v>
      </c>
      <c r="D10" s="307">
        <v>1.98</v>
      </c>
      <c r="E10" s="309">
        <f t="shared" si="4"/>
        <v>72.173913043478279</v>
      </c>
      <c r="F10" s="202">
        <v>137000000</v>
      </c>
      <c r="G10" s="201">
        <v>2.72</v>
      </c>
      <c r="H10" s="312">
        <f t="shared" si="5"/>
        <v>37.373737373737384</v>
      </c>
      <c r="I10" s="201">
        <v>6.14</v>
      </c>
      <c r="J10" s="312">
        <f t="shared" si="6"/>
        <v>210.10101010101013</v>
      </c>
      <c r="K10" s="314">
        <v>0.43055555555555558</v>
      </c>
      <c r="L10" s="307">
        <v>2.85</v>
      </c>
      <c r="M10" s="311">
        <f t="shared" ref="M10" si="8">(L10-D10)/D10*100</f>
        <v>43.939393939393945</v>
      </c>
      <c r="N10" s="202">
        <v>3000000</v>
      </c>
      <c r="O10" s="307" t="s">
        <v>167</v>
      </c>
      <c r="P10" s="316">
        <f t="shared" si="7"/>
        <v>282.27492314448841</v>
      </c>
      <c r="Q10" s="307"/>
    </row>
    <row r="11" spans="1:17" s="141" customFormat="1" ht="19" x14ac:dyDescent="0.25">
      <c r="A11" s="274" t="e">
        <f>(#REF!+#REF!+#REF!+#REF!+#REF!+#REF!+#REF!+#REF!+#REF!+#REF!+#REF!+#REF!+#REF!+#REF!+#REF!+#REF!+#REF!+#REF!+#REF!+#REF!+A10+#REF!+A9+#REF!+#REF!+#REF!+#REF!+#REF!)/27</f>
        <v>#REF!</v>
      </c>
      <c r="B11" s="274" t="e">
        <f>(#REF!+#REF!+#REF!+#REF!+#REF!+#REF!+#REF!+#REF!+#REF!+#REF!+#REF!+#REF!+#REF!+#REF!+#REF!+#REF!)/16</f>
        <v>#REF!</v>
      </c>
      <c r="C11" s="274">
        <f t="shared" ref="C11:I11" si="9">(C9+C10)/2</f>
        <v>1.1299999999999999</v>
      </c>
      <c r="D11" s="274">
        <f t="shared" si="9"/>
        <v>1.75</v>
      </c>
      <c r="E11" s="274">
        <f t="shared" si="9"/>
        <v>54.555424990207598</v>
      </c>
      <c r="F11" s="274">
        <f t="shared" si="9"/>
        <v>138500000</v>
      </c>
      <c r="G11" s="274">
        <f t="shared" si="9"/>
        <v>2.335</v>
      </c>
      <c r="H11" s="274">
        <f t="shared" si="9"/>
        <v>32.831605528973952</v>
      </c>
      <c r="I11" s="274">
        <f t="shared" si="9"/>
        <v>4.67</v>
      </c>
      <c r="J11" s="274">
        <f>(J9+J10)/2</f>
        <v>160.3136629452419</v>
      </c>
      <c r="K11" s="274">
        <f t="shared" ref="K11:P11" si="10">(K9+K10)/2</f>
        <v>0.44791666666666663</v>
      </c>
      <c r="L11" s="274">
        <f t="shared" si="10"/>
        <v>2.915</v>
      </c>
      <c r="M11" s="274">
        <f t="shared" si="10"/>
        <v>-26.056618819776713</v>
      </c>
      <c r="N11" s="274">
        <f t="shared" si="10"/>
        <v>3000000</v>
      </c>
      <c r="O11" s="274" t="e">
        <f t="shared" si="10"/>
        <v>#VALUE!</v>
      </c>
      <c r="P11" s="274">
        <f t="shared" si="10"/>
        <v>214.8690879354495</v>
      </c>
      <c r="Q11" s="138"/>
    </row>
    <row r="12" spans="1:17" ht="21" x14ac:dyDescent="0.25">
      <c r="A12" s="139" t="s">
        <v>108</v>
      </c>
      <c r="B12" s="139" t="s">
        <v>107</v>
      </c>
      <c r="C12" s="139" t="s">
        <v>152</v>
      </c>
      <c r="D12" s="139" t="s">
        <v>153</v>
      </c>
      <c r="E12" s="139" t="s">
        <v>154</v>
      </c>
      <c r="F12" s="139" t="s">
        <v>155</v>
      </c>
      <c r="G12" s="263" t="s">
        <v>156</v>
      </c>
      <c r="H12" s="263" t="s">
        <v>157</v>
      </c>
      <c r="I12" s="263" t="s">
        <v>158</v>
      </c>
      <c r="J12" s="263" t="s">
        <v>159</v>
      </c>
      <c r="K12" s="263" t="s">
        <v>160</v>
      </c>
      <c r="L12" s="139" t="s">
        <v>161</v>
      </c>
      <c r="M12" s="139" t="s">
        <v>162</v>
      </c>
      <c r="N12" s="291" t="s">
        <v>163</v>
      </c>
      <c r="O12" s="285" t="s">
        <v>164</v>
      </c>
      <c r="P12" s="285" t="s">
        <v>174</v>
      </c>
      <c r="Q12" s="124"/>
    </row>
    <row r="13" spans="1:17" s="306" customFormat="1" ht="19" x14ac:dyDescent="0.25">
      <c r="A13" s="307" t="s">
        <v>225</v>
      </c>
      <c r="B13" s="308">
        <v>44029</v>
      </c>
      <c r="C13" s="307">
        <v>4</v>
      </c>
      <c r="D13" s="307">
        <v>9.6</v>
      </c>
      <c r="E13" s="309">
        <f t="shared" ref="E13:E16" si="11">(D13-C13)/C13*100</f>
        <v>140</v>
      </c>
      <c r="F13" s="202">
        <v>96000000</v>
      </c>
      <c r="G13" s="201">
        <v>9.9</v>
      </c>
      <c r="H13" s="312">
        <f t="shared" ref="H13:H16" si="12">(G13-D13)/D13*100</f>
        <v>3.1250000000000075</v>
      </c>
      <c r="I13" s="201">
        <v>15.7</v>
      </c>
      <c r="J13" s="312">
        <f t="shared" ref="J13:J16" si="13">(I13-D13)/D13*100</f>
        <v>63.541666666666664</v>
      </c>
      <c r="K13" s="314">
        <v>0.58333333333333337</v>
      </c>
      <c r="L13" s="202">
        <v>10</v>
      </c>
      <c r="M13" s="366">
        <f>(D13-L13)/D13*100</f>
        <v>-4.1666666666666705</v>
      </c>
      <c r="N13" s="202">
        <v>4200000</v>
      </c>
      <c r="O13" s="307" t="s">
        <v>167</v>
      </c>
      <c r="P13" s="316">
        <f t="shared" ref="P13" si="14">E13+J13</f>
        <v>203.54166666666666</v>
      </c>
      <c r="Q13" s="307"/>
    </row>
    <row r="14" spans="1:17" s="141" customFormat="1" ht="19" x14ac:dyDescent="0.25">
      <c r="A14" s="262"/>
      <c r="B14" s="275"/>
      <c r="C14" s="273" t="e">
        <f>(#REF!+C13+#REF!+#REF!+#REF!+#REF!+#REF!)/7</f>
        <v>#REF!</v>
      </c>
      <c r="D14" s="273" t="e">
        <f>(#REF!+D13+#REF!+#REF!+#REF!+#REF!+#REF!)/7</f>
        <v>#REF!</v>
      </c>
      <c r="E14" s="273" t="e">
        <f>(#REF!+E13+#REF!+#REF!+#REF!+#REF!+#REF!)/7</f>
        <v>#REF!</v>
      </c>
      <c r="F14" s="273" t="e">
        <f>(#REF!+F13+#REF!+#REF!+#REF!+#REF!+#REF!)/7</f>
        <v>#REF!</v>
      </c>
      <c r="G14" s="273" t="e">
        <f>(#REF!+G13+#REF!+#REF!+#REF!+#REF!+#REF!)/7</f>
        <v>#REF!</v>
      </c>
      <c r="H14" s="273" t="e">
        <f>(#REF!+H13+#REF!+#REF!+#REF!+#REF!+#REF!)/7</f>
        <v>#REF!</v>
      </c>
      <c r="I14" s="273" t="e">
        <f>(#REF!+I13+#REF!+#REF!+#REF!+#REF!+#REF!)/7</f>
        <v>#REF!</v>
      </c>
      <c r="J14" s="273" t="e">
        <f>(#REF!+#REF!+#REF!+#REF!+#REF!+#REF!+#REF!)/7</f>
        <v>#REF!</v>
      </c>
      <c r="K14" s="273" t="e">
        <f>(#REF!+#REF!+#REF!+#REF!+#REF!+#REF!+#REF!)/7</f>
        <v>#REF!</v>
      </c>
      <c r="L14" s="273" t="e">
        <f>(#REF!+#REF!+#REF!+#REF!+#REF!+#REF!+#REF!)/7</f>
        <v>#REF!</v>
      </c>
      <c r="M14" s="273" t="e">
        <f>(#REF!+#REF!+#REF!+#REF!+#REF!+#REF!+#REF!)/7</f>
        <v>#REF!</v>
      </c>
      <c r="N14" s="273" t="e">
        <f>(#REF!+#REF!+#REF!+#REF!+#REF!+#REF!+#REF!)/7</f>
        <v>#REF!</v>
      </c>
      <c r="O14" s="273" t="e">
        <f>(#REF!+#REF!+#REF!+#REF!+#REF!+#REF!+#REF!)/7</f>
        <v>#REF!</v>
      </c>
      <c r="P14" s="273" t="e">
        <f>(#REF!+#REF!+#REF!+#REF!+#REF!+#REF!+#REF!)/7</f>
        <v>#REF!</v>
      </c>
      <c r="Q14" s="138"/>
    </row>
    <row r="15" spans="1:17" ht="21" x14ac:dyDescent="0.25">
      <c r="A15" s="139" t="s">
        <v>108</v>
      </c>
      <c r="B15" s="139" t="s">
        <v>107</v>
      </c>
      <c r="C15" s="139" t="s">
        <v>152</v>
      </c>
      <c r="D15" s="139" t="s">
        <v>153</v>
      </c>
      <c r="E15" s="139" t="s">
        <v>154</v>
      </c>
      <c r="F15" s="139" t="s">
        <v>155</v>
      </c>
      <c r="G15" s="263" t="s">
        <v>156</v>
      </c>
      <c r="H15" s="263" t="s">
        <v>157</v>
      </c>
      <c r="I15" s="263" t="s">
        <v>158</v>
      </c>
      <c r="J15" s="263" t="s">
        <v>159</v>
      </c>
      <c r="K15" s="263" t="s">
        <v>160</v>
      </c>
      <c r="L15" s="139" t="s">
        <v>161</v>
      </c>
      <c r="M15" s="139" t="s">
        <v>162</v>
      </c>
      <c r="N15" s="291" t="s">
        <v>163</v>
      </c>
      <c r="O15" s="285" t="s">
        <v>164</v>
      </c>
      <c r="P15" s="285" t="s">
        <v>174</v>
      </c>
      <c r="Q15" s="124"/>
    </row>
    <row r="16" spans="1:17" s="306" customFormat="1" ht="19" x14ac:dyDescent="0.25">
      <c r="A16" s="307" t="s">
        <v>236</v>
      </c>
      <c r="B16" s="308">
        <v>43993</v>
      </c>
      <c r="C16" s="307">
        <v>2.25</v>
      </c>
      <c r="D16" s="307">
        <v>11.02</v>
      </c>
      <c r="E16" s="309">
        <f t="shared" si="11"/>
        <v>389.77777777777777</v>
      </c>
      <c r="F16" s="202">
        <v>65000000</v>
      </c>
      <c r="G16" s="201">
        <v>11.41</v>
      </c>
      <c r="H16" s="312">
        <f t="shared" si="12"/>
        <v>3.5390199637023647</v>
      </c>
      <c r="I16" s="201">
        <v>15.3</v>
      </c>
      <c r="J16" s="312">
        <f t="shared" si="13"/>
        <v>38.838475499092574</v>
      </c>
      <c r="K16" s="314">
        <v>0.45833333333333331</v>
      </c>
      <c r="L16" s="316">
        <v>7</v>
      </c>
      <c r="M16" s="311">
        <f>(D16-L16)/D16*100</f>
        <v>36.479128856624314</v>
      </c>
      <c r="N16" s="202">
        <v>3000000</v>
      </c>
      <c r="O16" s="307">
        <v>52</v>
      </c>
      <c r="P16" s="316">
        <f t="shared" ref="P16" si="15">E16+J16</f>
        <v>428.61625327687034</v>
      </c>
      <c r="Q16" s="307"/>
    </row>
    <row r="17" spans="1:17" s="141" customFormat="1" ht="19" x14ac:dyDescent="0.25">
      <c r="A17" s="275" t="e">
        <f>(+#REF!+#REF!+A16+#REF!+#REF!+#REF!+#REF!+#REF!+#REF!+#REF!+#REF!+#REF!)/12</f>
        <v>#REF!</v>
      </c>
      <c r="B17" s="275" t="e">
        <f>(#REF!+#REF!+#REF!+#REF!+#REF!)/5</f>
        <v>#REF!</v>
      </c>
      <c r="C17" s="275" t="e">
        <f>(#REF!+#REF!+#REF!+#REF!+#REF!)/5</f>
        <v>#REF!</v>
      </c>
      <c r="D17" s="275" t="e">
        <f>(#REF!+#REF!+#REF!+#REF!+#REF!)/5</f>
        <v>#REF!</v>
      </c>
      <c r="E17" s="275" t="e">
        <f>(#REF!+#REF!+#REF!+#REF!+#REF!)/5</f>
        <v>#REF!</v>
      </c>
      <c r="F17" s="275" t="e">
        <f>(#REF!+#REF!+#REF!+#REF!+#REF!)/5</f>
        <v>#REF!</v>
      </c>
      <c r="G17" s="275" t="e">
        <f>(#REF!+#REF!+#REF!+#REF!+#REF!)/5</f>
        <v>#REF!</v>
      </c>
      <c r="H17" s="275" t="e">
        <f>(#REF!+#REF!+#REF!+#REF!+#REF!)/5</f>
        <v>#REF!</v>
      </c>
      <c r="I17" s="275" t="e">
        <f>(#REF!+#REF!+#REF!+#REF!+#REF!)/5</f>
        <v>#REF!</v>
      </c>
      <c r="J17" s="275" t="e">
        <f>(#REF!+#REF!+#REF!+#REF!+#REF!)/5</f>
        <v>#REF!</v>
      </c>
      <c r="K17" s="275" t="e">
        <f>(#REF!+#REF!+#REF!+#REF!+#REF!)/5</f>
        <v>#REF!</v>
      </c>
      <c r="L17" s="275" t="e">
        <f>(#REF!+#REF!+#REF!+#REF!+#REF!)/5</f>
        <v>#REF!</v>
      </c>
      <c r="M17" s="275" t="e">
        <f>(#REF!+#REF!+#REF!+#REF!+#REF!)/5</f>
        <v>#REF!</v>
      </c>
      <c r="N17" s="275" t="e">
        <f>(#REF!+#REF!+#REF!+#REF!+#REF!)/5</f>
        <v>#REF!</v>
      </c>
      <c r="O17" s="275" t="e">
        <f>(#REF!+#REF!+#REF!+#REF!+#REF!)/5</f>
        <v>#REF!</v>
      </c>
      <c r="P17" s="275" t="e">
        <f>(#REF!+#REF!+#REF!+#REF!+#REF!)/5</f>
        <v>#REF!</v>
      </c>
      <c r="Q17" s="138"/>
    </row>
    <row r="18" spans="1:17" ht="21" x14ac:dyDescent="0.25">
      <c r="A18" s="139" t="s">
        <v>108</v>
      </c>
      <c r="B18" s="139" t="s">
        <v>107</v>
      </c>
      <c r="C18" s="139" t="s">
        <v>152</v>
      </c>
      <c r="D18" s="139" t="s">
        <v>153</v>
      </c>
      <c r="E18" s="139" t="s">
        <v>154</v>
      </c>
      <c r="F18" s="139" t="s">
        <v>155</v>
      </c>
      <c r="G18" s="263" t="s">
        <v>156</v>
      </c>
      <c r="H18" s="263" t="s">
        <v>157</v>
      </c>
      <c r="I18" s="263" t="s">
        <v>158</v>
      </c>
      <c r="J18" s="263" t="s">
        <v>159</v>
      </c>
      <c r="K18" s="263" t="s">
        <v>160</v>
      </c>
      <c r="L18" s="139" t="s">
        <v>161</v>
      </c>
      <c r="M18" s="139" t="s">
        <v>162</v>
      </c>
      <c r="N18" s="291" t="s">
        <v>163</v>
      </c>
      <c r="O18" s="285" t="s">
        <v>164</v>
      </c>
      <c r="P18" s="285" t="s">
        <v>174</v>
      </c>
      <c r="Q18" s="124"/>
    </row>
    <row r="19" spans="1:17" s="306" customFormat="1" ht="19" x14ac:dyDescent="0.25">
      <c r="A19" s="307" t="s">
        <v>239</v>
      </c>
      <c r="B19" s="308">
        <v>44034</v>
      </c>
      <c r="C19" s="307">
        <v>3.6</v>
      </c>
      <c r="D19" s="307">
        <v>9.77</v>
      </c>
      <c r="E19" s="393">
        <f t="shared" ref="E19:E20" si="16">(D19-C19)/C19*100</f>
        <v>171.38888888888889</v>
      </c>
      <c r="F19" s="202">
        <v>56000000</v>
      </c>
      <c r="G19" s="201">
        <v>11.44</v>
      </c>
      <c r="H19" s="312">
        <f>(G19-D19)/D19*100</f>
        <v>17.093142272262028</v>
      </c>
      <c r="I19" s="201">
        <v>14.5</v>
      </c>
      <c r="J19" s="312">
        <f>(I19-D19)/D19*100</f>
        <v>48.413510747185271</v>
      </c>
      <c r="K19" s="314">
        <v>0.44791666666666669</v>
      </c>
      <c r="L19" s="316">
        <v>8.15</v>
      </c>
      <c r="M19" s="311">
        <f>(D19-L19)/D19*100</f>
        <v>16.581371545547587</v>
      </c>
      <c r="N19" s="202">
        <v>800000</v>
      </c>
      <c r="O19" s="307" t="s">
        <v>170</v>
      </c>
      <c r="P19" s="316">
        <f t="shared" ref="P19:P20" si="17">E19+J19</f>
        <v>219.80239963607414</v>
      </c>
      <c r="Q19" s="307"/>
    </row>
    <row r="20" spans="1:17" s="141" customFormat="1" ht="19" x14ac:dyDescent="0.25">
      <c r="A20" s="260" t="s">
        <v>241</v>
      </c>
      <c r="B20" s="422">
        <v>43958</v>
      </c>
      <c r="C20" s="260">
        <v>1.56</v>
      </c>
      <c r="D20" s="260">
        <v>2.0299999999999998</v>
      </c>
      <c r="E20" s="423">
        <f t="shared" si="16"/>
        <v>30.12820512820511</v>
      </c>
      <c r="F20" s="424">
        <v>52000000</v>
      </c>
      <c r="G20" s="425">
        <v>2.02</v>
      </c>
      <c r="H20" s="267">
        <f>(G20-D20)/D20*100</f>
        <v>-0.49261083743841316</v>
      </c>
      <c r="I20" s="144">
        <v>3.5</v>
      </c>
      <c r="J20" s="267">
        <f>(I20-D20)/D20*100</f>
        <v>72.413793103448285</v>
      </c>
      <c r="K20" s="265">
        <v>0.44444444444444442</v>
      </c>
      <c r="L20" s="260">
        <v>2.5299999999999998</v>
      </c>
      <c r="M20" s="269">
        <f t="shared" ref="M20" si="18">(D20-L20)/D20*100</f>
        <v>-24.630541871921185</v>
      </c>
      <c r="N20" s="424">
        <v>15000000</v>
      </c>
      <c r="O20" s="138" t="s">
        <v>167</v>
      </c>
      <c r="P20" s="417">
        <f t="shared" si="17"/>
        <v>102.54199823165339</v>
      </c>
      <c r="Q20" s="138"/>
    </row>
    <row r="21" spans="1:17" s="141" customFormat="1" ht="19" x14ac:dyDescent="0.25">
      <c r="A21" s="262"/>
      <c r="B21" s="272"/>
      <c r="C21" s="275">
        <f>(C20+C19)/2</f>
        <v>2.58</v>
      </c>
      <c r="D21" s="275">
        <f t="shared" ref="D21:P21" si="19">(D20+D19)/2</f>
        <v>5.8999999999999995</v>
      </c>
      <c r="E21" s="275">
        <f t="shared" si="19"/>
        <v>100.758547008547</v>
      </c>
      <c r="F21" s="275">
        <f t="shared" si="19"/>
        <v>54000000</v>
      </c>
      <c r="G21" s="275">
        <f t="shared" si="19"/>
        <v>6.7299999999999995</v>
      </c>
      <c r="H21" s="275">
        <f t="shared" si="19"/>
        <v>8.3002657174118077</v>
      </c>
      <c r="I21" s="275">
        <f t="shared" si="19"/>
        <v>9</v>
      </c>
      <c r="J21" s="275">
        <f t="shared" si="19"/>
        <v>60.413651925316778</v>
      </c>
      <c r="K21" s="275">
        <f t="shared" si="19"/>
        <v>0.44618055555555558</v>
      </c>
      <c r="L21" s="275">
        <f t="shared" si="19"/>
        <v>5.34</v>
      </c>
      <c r="M21" s="275">
        <f t="shared" si="19"/>
        <v>-4.0245851631867993</v>
      </c>
      <c r="N21" s="275">
        <f t="shared" si="19"/>
        <v>7900000</v>
      </c>
      <c r="O21" s="275" t="e">
        <f t="shared" si="19"/>
        <v>#VALUE!</v>
      </c>
      <c r="P21" s="275">
        <f t="shared" si="19"/>
        <v>161.17219893386377</v>
      </c>
      <c r="Q21" s="138"/>
    </row>
    <row r="22" spans="1:17" ht="21" x14ac:dyDescent="0.25">
      <c r="A22" s="139" t="s">
        <v>108</v>
      </c>
      <c r="B22" s="139" t="s">
        <v>107</v>
      </c>
      <c r="C22" s="139" t="s">
        <v>152</v>
      </c>
      <c r="D22" s="139" t="s">
        <v>153</v>
      </c>
      <c r="E22" s="139" t="s">
        <v>154</v>
      </c>
      <c r="F22" s="139" t="s">
        <v>155</v>
      </c>
      <c r="G22" s="263" t="s">
        <v>156</v>
      </c>
      <c r="H22" s="263" t="s">
        <v>157</v>
      </c>
      <c r="I22" s="263" t="s">
        <v>158</v>
      </c>
      <c r="J22" s="263" t="s">
        <v>159</v>
      </c>
      <c r="K22" s="263" t="s">
        <v>160</v>
      </c>
      <c r="L22" s="139" t="s">
        <v>161</v>
      </c>
      <c r="M22" s="139" t="s">
        <v>162</v>
      </c>
      <c r="N22" s="291" t="s">
        <v>163</v>
      </c>
      <c r="O22" s="285" t="s">
        <v>164</v>
      </c>
      <c r="P22" s="285" t="s">
        <v>174</v>
      </c>
      <c r="Q22" s="124"/>
    </row>
    <row r="23" spans="1:17" ht="19" x14ac:dyDescent="0.25">
      <c r="A23" s="262" t="s">
        <v>254</v>
      </c>
      <c r="B23" s="273" t="e">
        <f>(#REF!+#REF!++#REF!+#REF!+#REF!+#REF!+#REF!+#REF!+#REF!+#REF!+#REF!+#REF!+#REF!+#REF!+#REF!+#REF!+#REF!+#REF!)/17</f>
        <v>#REF!</v>
      </c>
      <c r="C23" s="273" t="e">
        <f>(#REF!+#REF!++#REF!+#REF!+#REF!+#REF!+#REF!+#REF!+#REF!+#REF!+#REF!+#REF!+#REF!+#REF!+#REF!+#REF!+#REF!+#REF!)/17</f>
        <v>#REF!</v>
      </c>
      <c r="D23" s="273" t="e">
        <f>(#REF!+#REF!++#REF!+#REF!+#REF!+#REF!+#REF!+#REF!+#REF!+#REF!+#REF!+#REF!+#REF!+#REF!+#REF!+#REF!+#REF!+#REF!)/17</f>
        <v>#REF!</v>
      </c>
      <c r="E23" s="273" t="e">
        <f>(#REF!+#REF!++#REF!+#REF!+#REF!+#REF!+#REF!+#REF!+#REF!+#REF!+#REF!+#REF!+#REF!+#REF!+#REF!+#REF!+#REF!+#REF!)/17</f>
        <v>#REF!</v>
      </c>
      <c r="F23" s="273" t="e">
        <f>(#REF!+#REF!++#REF!+#REF!+#REF!+#REF!+#REF!+#REF!+#REF!+#REF!+#REF!+#REF!+#REF!+#REF!+#REF!+#REF!+#REF!+#REF!)/17</f>
        <v>#REF!</v>
      </c>
      <c r="G23" s="273" t="e">
        <f>(#REF!+#REF!++#REF!+#REF!+#REF!+#REF!+#REF!+#REF!+#REF!+#REF!+#REF!+#REF!+#REF!+#REF!+#REF!+#REF!+#REF!+#REF!)/17</f>
        <v>#REF!</v>
      </c>
      <c r="H23" s="273" t="e">
        <f>(#REF!+#REF!++#REF!+#REF!+#REF!+#REF!+#REF!+#REF!+#REF!+#REF!+#REF!+#REF!+#REF!+#REF!+#REF!+#REF!+#REF!+#REF!)/17</f>
        <v>#REF!</v>
      </c>
      <c r="I23" s="273" t="e">
        <f>(#REF!+#REF!++#REF!+#REF!+#REF!+#REF!+#REF!+#REF!+#REF!+#REF!+#REF!+#REF!+#REF!+#REF!+#REF!+#REF!+#REF!+#REF!)/17</f>
        <v>#REF!</v>
      </c>
      <c r="J23" s="273" t="e">
        <f>(#REF!+#REF!++#REF!+#REF!+#REF!+#REF!+#REF!+#REF!+#REF!+#REF!+#REF!+#REF!+#REF!+#REF!+#REF!+#REF!+#REF!+#REF!)/17</f>
        <v>#REF!</v>
      </c>
      <c r="K23" s="273" t="e">
        <f>(#REF!+#REF!++#REF!+#REF!+#REF!+#REF!+#REF!+#REF!+#REF!+#REF!+#REF!+#REF!+#REF!+#REF!+#REF!+#REF!+#REF!+#REF!)/17</f>
        <v>#REF!</v>
      </c>
      <c r="L23" s="273" t="e">
        <f>(#REF!+#REF!++#REF!+#REF!+#REF!+#REF!+#REF!+#REF!+#REF!+#REF!+#REF!+#REF!+#REF!+#REF!+#REF!+#REF!+#REF!+#REF!)/17</f>
        <v>#REF!</v>
      </c>
      <c r="M23" s="273" t="e">
        <f>(#REF!+#REF!++#REF!+#REF!+#REF!+#REF!+#REF!+#REF!+#REF!+#REF!+#REF!+#REF!+#REF!+#REF!+#REF!+#REF!+#REF!+#REF!)/17</f>
        <v>#REF!</v>
      </c>
      <c r="N23" s="273" t="e">
        <f>(#REF!+#REF!++#REF!+#REF!+#REF!+#REF!+#REF!+#REF!+#REF!+#REF!+#REF!+#REF!+#REF!+#REF!+#REF!+#REF!+#REF!+#REF!)/17</f>
        <v>#REF!</v>
      </c>
      <c r="O23" s="273" t="e">
        <f>(#REF!+#REF!++#REF!+#REF!+#REF!+#REF!+#REF!+#REF!+#REF!+#REF!+#REF!+#REF!+#REF!+#REF!+#REF!+#REF!+#REF!+#REF!)/17</f>
        <v>#REF!</v>
      </c>
      <c r="P23" s="273" t="e">
        <f>(#REF!+#REF!++#REF!+#REF!+#REF!+#REF!+#REF!+#REF!+#REF!+#REF!+#REF!+#REF!+#REF!+#REF!+#REF!+#REF!+#REF!+#REF!)/17</f>
        <v>#REF!</v>
      </c>
      <c r="Q23" s="124"/>
    </row>
    <row r="24" spans="1:17" ht="21" x14ac:dyDescent="0.25">
      <c r="A24" s="139" t="s">
        <v>108</v>
      </c>
      <c r="B24" s="139" t="s">
        <v>107</v>
      </c>
      <c r="C24" s="139" t="s">
        <v>152</v>
      </c>
      <c r="D24" s="139" t="s">
        <v>153</v>
      </c>
      <c r="E24" s="139" t="s">
        <v>154</v>
      </c>
      <c r="F24" s="139" t="s">
        <v>155</v>
      </c>
      <c r="G24" s="263" t="s">
        <v>156</v>
      </c>
      <c r="H24" s="263" t="s">
        <v>157</v>
      </c>
      <c r="I24" s="263" t="s">
        <v>158</v>
      </c>
      <c r="J24" s="263" t="s">
        <v>159</v>
      </c>
      <c r="K24" s="263" t="s">
        <v>160</v>
      </c>
      <c r="L24" s="139" t="s">
        <v>161</v>
      </c>
      <c r="M24" s="139" t="s">
        <v>162</v>
      </c>
      <c r="N24" s="291" t="s">
        <v>163</v>
      </c>
      <c r="O24" s="285" t="s">
        <v>164</v>
      </c>
      <c r="P24" s="285" t="s">
        <v>174</v>
      </c>
      <c r="Q24" s="124"/>
    </row>
    <row r="25" spans="1:17" s="306" customFormat="1" ht="19" x14ac:dyDescent="0.25">
      <c r="A25" s="347" t="s">
        <v>263</v>
      </c>
      <c r="B25" s="348">
        <v>43922</v>
      </c>
      <c r="C25" s="347">
        <v>1.65</v>
      </c>
      <c r="D25" s="347">
        <v>2.34</v>
      </c>
      <c r="E25" s="309">
        <f t="shared" ref="E25" si="20">(D25-C25)/C25*100</f>
        <v>41.818181818181813</v>
      </c>
      <c r="F25" s="349">
        <v>31000000</v>
      </c>
      <c r="G25" s="350">
        <v>3.27</v>
      </c>
      <c r="H25" s="312">
        <f t="shared" ref="H25" si="21">(G25-D25)/D25*100</f>
        <v>39.743589743589752</v>
      </c>
      <c r="I25" s="201">
        <v>4.25</v>
      </c>
      <c r="J25" s="312">
        <f t="shared" ref="J25" si="22">(I25-D25)/D25*100</f>
        <v>81.623931623931639</v>
      </c>
      <c r="K25" s="314">
        <v>0.51736111111111105</v>
      </c>
      <c r="L25" s="347">
        <v>2.17</v>
      </c>
      <c r="M25" s="366">
        <f t="shared" ref="M25" si="23">(L25-D25)/D25*100</f>
        <v>-7.2649572649572631</v>
      </c>
      <c r="N25" s="349">
        <v>12000000</v>
      </c>
      <c r="O25" s="307" t="s">
        <v>167</v>
      </c>
      <c r="P25" s="316">
        <f t="shared" ref="P25" si="24">E25+J25</f>
        <v>123.44211344211345</v>
      </c>
      <c r="Q25" s="307"/>
    </row>
    <row r="26" spans="1:17" ht="19" x14ac:dyDescent="0.25">
      <c r="A26" s="262" t="s">
        <v>268</v>
      </c>
      <c r="B26" s="273" t="e">
        <f>(#REF!+#REF!+#REF!+#REF!+#REF!+#REF!+#REF!+#REF!+#REF!+#REF!+#REF!+#REF!+#REF!+#REF!++#REF!+#REF!+#REF!+#REF!+#REF!+#REF!)/20</f>
        <v>#REF!</v>
      </c>
      <c r="C26" s="273" t="e">
        <f>(#REF!+#REF!+#REF!+#REF!+#REF!+#REF!+#REF!+#REF!+#REF!+#REF!+#REF!+#REF!+#REF!+#REF!++#REF!+#REF!+#REF!+#REF!+#REF!+#REF!)/20</f>
        <v>#REF!</v>
      </c>
      <c r="D26" s="273" t="e">
        <f>(#REF!+#REF!+#REF!+#REF!+#REF!+#REF!+#REF!+#REF!+#REF!+#REF!+#REF!+#REF!+#REF!+#REF!++#REF!+#REF!+#REF!+#REF!+#REF!+#REF!)/20</f>
        <v>#REF!</v>
      </c>
      <c r="E26" s="273" t="e">
        <f>(#REF!+#REF!+#REF!+#REF!+#REF!+#REF!+#REF!+#REF!+#REF!+#REF!+#REF!+#REF!+#REF!+#REF!++#REF!+#REF!+#REF!+#REF!+#REF!+#REF!)/20</f>
        <v>#REF!</v>
      </c>
      <c r="F26" s="273" t="e">
        <f>(#REF!+#REF!+#REF!+#REF!+#REF!+#REF!+#REF!+#REF!+#REF!+#REF!+#REF!+#REF!+#REF!+#REF!++#REF!+#REF!+#REF!+#REF!+#REF!+#REF!)/20</f>
        <v>#REF!</v>
      </c>
      <c r="G26" s="273" t="e">
        <f>(#REF!+#REF!+#REF!+#REF!+#REF!+#REF!+#REF!+#REF!+#REF!+#REF!+#REF!+#REF!+#REF!+#REF!++#REF!+#REF!+#REF!+#REF!+#REF!+#REF!)/20</f>
        <v>#REF!</v>
      </c>
      <c r="H26" s="273" t="e">
        <f>(#REF!+#REF!+#REF!+#REF!+#REF!+#REF!+#REF!+#REF!+#REF!+#REF!+#REF!+#REF!+#REF!+#REF!++#REF!+#REF!+#REF!+#REF!+#REF!+#REF!)/20</f>
        <v>#REF!</v>
      </c>
      <c r="I26" s="273" t="e">
        <f>(#REF!+#REF!+#REF!+#REF!+#REF!+#REF!+#REF!+#REF!+#REF!+#REF!+#REF!+#REF!+#REF!+#REF!++#REF!+#REF!+#REF!+#REF!+#REF!+#REF!)/20</f>
        <v>#REF!</v>
      </c>
      <c r="J26" s="273" t="e">
        <f>(#REF!+#REF!+#REF!+#REF!+#REF!+#REF!+#REF!+#REF!+#REF!+#REF!+#REF!+#REF!+#REF!+#REF!++#REF!+#REF!+#REF!+#REF!+#REF!+#REF!)/20</f>
        <v>#REF!</v>
      </c>
      <c r="K26" s="273" t="e">
        <f>(#REF!+#REF!+#REF!+#REF!+#REF!+#REF!+#REF!+#REF!+#REF!+#REF!+#REF!+#REF!+#REF!+#REF!++#REF!+#REF!+#REF!+#REF!+#REF!+#REF!)/20</f>
        <v>#REF!</v>
      </c>
      <c r="L26" s="273" t="e">
        <f>(#REF!+#REF!+#REF!+#REF!+#REF!+#REF!+#REF!+#REF!+#REF!+#REF!+#REF!+#REF!+#REF!+#REF!++#REF!+#REF!+#REF!+#REF!+#REF!+#REF!)/20</f>
        <v>#REF!</v>
      </c>
      <c r="M26" s="273" t="e">
        <f>(#REF!+#REF!+#REF!+#REF!+#REF!+#REF!+#REF!+#REF!+#REF!+#REF!+#REF!+#REF!+#REF!+#REF!++#REF!+#REF!+#REF!+#REF!+#REF!+#REF!)/20</f>
        <v>#REF!</v>
      </c>
      <c r="N26" s="273" t="e">
        <f>(#REF!+#REF!+#REF!+#REF!+#REF!+#REF!+#REF!+#REF!+#REF!+#REF!+#REF!+#REF!+#REF!+#REF!++#REF!+#REF!+#REF!+#REF!+#REF!+#REF!)/20</f>
        <v>#REF!</v>
      </c>
      <c r="O26" s="273" t="e">
        <f>(#REF!+#REF!+#REF!+#REF!+#REF!+#REF!+#REF!+#REF!+#REF!+#REF!+#REF!+#REF!+#REF!+#REF!++#REF!+#REF!+#REF!+#REF!+#REF!+#REF!)/20</f>
        <v>#REF!</v>
      </c>
      <c r="P26" s="273" t="e">
        <f>(#REF!+#REF!+#REF!+#REF!+#REF!+#REF!+#REF!+#REF!+#REF!+#REF!+#REF!+#REF!+#REF!+#REF!++#REF!+#REF!+#REF!+#REF!+#REF!+#REF!)/20</f>
        <v>#REF!</v>
      </c>
      <c r="Q26" s="124"/>
    </row>
    <row r="27" spans="1:17" ht="21" x14ac:dyDescent="0.25">
      <c r="A27" s="139" t="s">
        <v>108</v>
      </c>
      <c r="B27" s="139" t="s">
        <v>107</v>
      </c>
      <c r="C27" s="139" t="s">
        <v>152</v>
      </c>
      <c r="D27" s="139" t="s">
        <v>153</v>
      </c>
      <c r="E27" s="139" t="s">
        <v>154</v>
      </c>
      <c r="F27" s="139" t="s">
        <v>155</v>
      </c>
      <c r="G27" s="263" t="s">
        <v>156</v>
      </c>
      <c r="H27" s="263" t="s">
        <v>157</v>
      </c>
      <c r="I27" s="263" t="s">
        <v>158</v>
      </c>
      <c r="J27" s="263" t="s">
        <v>159</v>
      </c>
      <c r="K27" s="263" t="s">
        <v>160</v>
      </c>
      <c r="L27" s="139" t="s">
        <v>161</v>
      </c>
      <c r="M27" s="139" t="s">
        <v>162</v>
      </c>
      <c r="N27" s="291" t="s">
        <v>163</v>
      </c>
      <c r="O27" s="285" t="s">
        <v>164</v>
      </c>
      <c r="P27" s="285" t="s">
        <v>174</v>
      </c>
      <c r="Q27" s="124"/>
    </row>
    <row r="28" spans="1:17" s="306" customFormat="1" ht="19" x14ac:dyDescent="0.25">
      <c r="A28" s="372" t="s">
        <v>269</v>
      </c>
      <c r="B28" s="308">
        <v>43893</v>
      </c>
      <c r="C28" s="307">
        <v>1.91</v>
      </c>
      <c r="D28" s="307">
        <v>2.71</v>
      </c>
      <c r="E28" s="309">
        <f t="shared" ref="E28:E30" si="25">(D28-C28)/C28*100</f>
        <v>41.884816753926707</v>
      </c>
      <c r="F28" s="202">
        <v>29000000</v>
      </c>
      <c r="G28" s="201">
        <v>2.88</v>
      </c>
      <c r="H28" s="312">
        <f t="shared" ref="H28:H30" si="26">(G28-D28)/D28*100</f>
        <v>6.273062730627303</v>
      </c>
      <c r="I28" s="201">
        <v>4.9800000000000004</v>
      </c>
      <c r="J28" s="312">
        <f t="shared" ref="J28:J29" si="27">(I28-D28)/D28*100</f>
        <v>83.763837638376401</v>
      </c>
      <c r="K28" s="314">
        <v>0.45833333333333331</v>
      </c>
      <c r="L28" s="307">
        <v>3.15</v>
      </c>
      <c r="M28" s="311">
        <f t="shared" ref="M28:M30" si="28">(L28-D28)/D28*100</f>
        <v>16.236162361623617</v>
      </c>
      <c r="N28" s="202">
        <v>500000</v>
      </c>
      <c r="O28" s="307" t="s">
        <v>167</v>
      </c>
      <c r="P28" s="316">
        <f t="shared" ref="P28:P30" si="29">E28+J28</f>
        <v>125.64865439230311</v>
      </c>
      <c r="Q28" s="307"/>
    </row>
    <row r="29" spans="1:17" ht="19" x14ac:dyDescent="0.25">
      <c r="A29" s="124" t="s">
        <v>889</v>
      </c>
      <c r="B29" s="261">
        <v>44168</v>
      </c>
      <c r="C29" s="124">
        <v>4.3600000000000003</v>
      </c>
      <c r="D29" s="124">
        <v>5.64</v>
      </c>
      <c r="E29" s="317">
        <f t="shared" si="25"/>
        <v>29.357798165137599</v>
      </c>
      <c r="F29" s="137">
        <v>27000000</v>
      </c>
      <c r="G29" s="131">
        <v>6.15</v>
      </c>
      <c r="H29" s="317">
        <f t="shared" si="26"/>
        <v>9.0425531914893753</v>
      </c>
      <c r="I29" s="131">
        <v>7.98</v>
      </c>
      <c r="J29" s="317">
        <f t="shared" si="27"/>
        <v>41.489361702127674</v>
      </c>
      <c r="K29" s="280">
        <v>0.4236111111111111</v>
      </c>
      <c r="L29" s="124">
        <v>6.17</v>
      </c>
      <c r="M29" s="331">
        <f t="shared" ref="M29" si="30">(D29-L29)/D29*100</f>
        <v>-9.3971631205673809</v>
      </c>
      <c r="N29" s="137">
        <v>6000000</v>
      </c>
      <c r="O29" s="124" t="s">
        <v>895</v>
      </c>
      <c r="P29" s="316">
        <f t="shared" si="29"/>
        <v>70.847159867265276</v>
      </c>
      <c r="Q29" s="124"/>
    </row>
    <row r="30" spans="1:17" s="306" customFormat="1" ht="19" x14ac:dyDescent="0.25">
      <c r="A30" s="372" t="s">
        <v>758</v>
      </c>
      <c r="B30" s="308">
        <v>44042</v>
      </c>
      <c r="C30" s="307">
        <v>3.74</v>
      </c>
      <c r="D30" s="307">
        <v>3.97</v>
      </c>
      <c r="E30" s="309">
        <f t="shared" si="25"/>
        <v>6.1497326203208544</v>
      </c>
      <c r="F30" s="202">
        <v>23000000</v>
      </c>
      <c r="G30" s="201">
        <v>6.21</v>
      </c>
      <c r="H30" s="312">
        <f t="shared" si="26"/>
        <v>56.423173803526439</v>
      </c>
      <c r="I30" s="201">
        <v>6.84</v>
      </c>
      <c r="J30" s="312">
        <f t="shared" ref="J30" si="31">(I30-D30)/D30*100</f>
        <v>72.292191435768245</v>
      </c>
      <c r="K30" s="314">
        <v>10</v>
      </c>
      <c r="L30" s="307">
        <v>4.26</v>
      </c>
      <c r="M30" s="315">
        <f t="shared" si="28"/>
        <v>7.3047858942065389</v>
      </c>
      <c r="N30" s="202">
        <v>10000000</v>
      </c>
      <c r="O30" s="307" t="s">
        <v>190</v>
      </c>
      <c r="P30" s="316">
        <f t="shared" si="29"/>
        <v>78.441924056089107</v>
      </c>
      <c r="Q30" s="307"/>
    </row>
    <row r="31" spans="1:17" ht="19" x14ac:dyDescent="0.25">
      <c r="A31" s="262" t="s">
        <v>283</v>
      </c>
      <c r="B31" s="273">
        <f t="shared" ref="B31" si="32">(B28+B30)/2</f>
        <v>43967.5</v>
      </c>
      <c r="C31" s="273">
        <f>(C28+C30+C29)/3</f>
        <v>3.3366666666666673</v>
      </c>
      <c r="D31" s="273">
        <f t="shared" ref="D31:P31" si="33">(D28+D30+D29)/3</f>
        <v>4.1066666666666665</v>
      </c>
      <c r="E31" s="273">
        <f t="shared" si="33"/>
        <v>25.797449179795052</v>
      </c>
      <c r="F31" s="273">
        <f t="shared" si="33"/>
        <v>26333333.333333332</v>
      </c>
      <c r="G31" s="273">
        <f t="shared" si="33"/>
        <v>5.08</v>
      </c>
      <c r="H31" s="273">
        <f t="shared" si="33"/>
        <v>23.912929908547707</v>
      </c>
      <c r="I31" s="273">
        <f t="shared" si="33"/>
        <v>6.6000000000000005</v>
      </c>
      <c r="J31" s="273">
        <f t="shared" si="33"/>
        <v>65.848463592090766</v>
      </c>
      <c r="K31" s="273">
        <f t="shared" si="33"/>
        <v>3.6273148148148149</v>
      </c>
      <c r="L31" s="273">
        <f t="shared" si="33"/>
        <v>4.5266666666666664</v>
      </c>
      <c r="M31" s="273">
        <f t="shared" si="33"/>
        <v>4.7145950450875915</v>
      </c>
      <c r="N31" s="273">
        <f t="shared" si="33"/>
        <v>5500000</v>
      </c>
      <c r="O31" s="273" t="e">
        <f t="shared" si="33"/>
        <v>#VALUE!</v>
      </c>
      <c r="P31" s="273">
        <f t="shared" si="33"/>
        <v>91.645912771885833</v>
      </c>
      <c r="Q31" s="262"/>
    </row>
    <row r="32" spans="1:17" ht="21.75" customHeight="1" x14ac:dyDescent="0.25">
      <c r="A32" s="352" t="s">
        <v>108</v>
      </c>
      <c r="B32" s="352" t="s">
        <v>107</v>
      </c>
      <c r="C32" s="352" t="s">
        <v>152</v>
      </c>
      <c r="D32" s="352" t="s">
        <v>153</v>
      </c>
      <c r="E32" s="352" t="s">
        <v>284</v>
      </c>
      <c r="F32" s="352" t="s">
        <v>155</v>
      </c>
      <c r="G32" s="353" t="s">
        <v>156</v>
      </c>
      <c r="H32" s="352" t="s">
        <v>285</v>
      </c>
      <c r="I32" s="353" t="s">
        <v>158</v>
      </c>
      <c r="J32" s="353" t="s">
        <v>159</v>
      </c>
      <c r="K32" s="353" t="s">
        <v>160</v>
      </c>
      <c r="L32" s="352" t="s">
        <v>161</v>
      </c>
      <c r="M32" s="352" t="s">
        <v>162</v>
      </c>
      <c r="N32" s="354" t="s">
        <v>163</v>
      </c>
      <c r="O32" s="355" t="s">
        <v>164</v>
      </c>
      <c r="P32" s="355" t="s">
        <v>174</v>
      </c>
      <c r="Q32" s="356"/>
    </row>
    <row r="33" spans="1:17" ht="19" x14ac:dyDescent="0.25">
      <c r="A33" s="124" t="s">
        <v>838</v>
      </c>
      <c r="B33" s="261">
        <v>44132</v>
      </c>
      <c r="C33" s="124">
        <v>1.04</v>
      </c>
      <c r="D33" s="124">
        <v>1.38</v>
      </c>
      <c r="E33" s="131">
        <f t="shared" ref="E33" si="34">(D33-C33)/C33*100</f>
        <v>32.692307692307679</v>
      </c>
      <c r="F33" s="137">
        <v>17000000</v>
      </c>
      <c r="G33" s="131">
        <v>1.5</v>
      </c>
      <c r="H33" s="317">
        <f t="shared" ref="H33" si="35">(G33-D33)/D33*100</f>
        <v>8.6956521739130519</v>
      </c>
      <c r="I33" s="131">
        <v>1.53</v>
      </c>
      <c r="J33" s="317">
        <f t="shared" ref="J33" si="36">(I33-D33)/D33*100</f>
        <v>10.869565217391315</v>
      </c>
      <c r="K33" s="280">
        <v>0.37777777777777777</v>
      </c>
      <c r="L33" s="124">
        <v>1.32</v>
      </c>
      <c r="M33" s="331">
        <f>(D33-L33)/D33*100</f>
        <v>4.34782608695651</v>
      </c>
      <c r="N33" s="137">
        <v>18000000</v>
      </c>
      <c r="O33" s="124" t="s">
        <v>167</v>
      </c>
      <c r="P33" s="316">
        <f t="shared" ref="P33:P38" si="37">E33+J33</f>
        <v>43.561872909698991</v>
      </c>
      <c r="Q33" s="124"/>
    </row>
    <row r="34" spans="1:17" s="306" customFormat="1" ht="19" x14ac:dyDescent="0.25">
      <c r="A34" s="307" t="s">
        <v>772</v>
      </c>
      <c r="B34" s="308">
        <v>43887</v>
      </c>
      <c r="C34" s="307">
        <v>2.0699999999999998</v>
      </c>
      <c r="D34" s="307">
        <v>2.54</v>
      </c>
      <c r="E34" s="201">
        <f t="shared" ref="E34:E38" si="38">(D34-C34)/C34*100</f>
        <v>22.705314009661848</v>
      </c>
      <c r="F34" s="202">
        <v>16000000</v>
      </c>
      <c r="G34" s="201">
        <v>3.38</v>
      </c>
      <c r="H34" s="312">
        <f t="shared" ref="H34:H38" si="39">(G34-D34)/D34*100</f>
        <v>33.070866141732274</v>
      </c>
      <c r="I34" s="201">
        <v>3.71</v>
      </c>
      <c r="J34" s="312">
        <f t="shared" ref="J34:J38" si="40">(I34-D34)/D34*100</f>
        <v>46.062992125984245</v>
      </c>
      <c r="K34" s="314">
        <v>0.40069444444444446</v>
      </c>
      <c r="L34" s="307">
        <v>2.64</v>
      </c>
      <c r="M34" s="387">
        <f t="shared" ref="M34:M38" si="41">(D34-L34)/D34*100</f>
        <v>-3.9370078740157513</v>
      </c>
      <c r="N34" s="202">
        <v>7000000</v>
      </c>
      <c r="O34" s="307" t="s">
        <v>216</v>
      </c>
      <c r="P34" s="316">
        <f t="shared" si="37"/>
        <v>68.7683061356461</v>
      </c>
      <c r="Q34" s="307"/>
    </row>
    <row r="35" spans="1:17" s="141" customFormat="1" ht="19" x14ac:dyDescent="0.25">
      <c r="A35" s="138" t="s">
        <v>855</v>
      </c>
      <c r="B35" s="143">
        <v>44147</v>
      </c>
      <c r="C35" s="138">
        <v>4.49</v>
      </c>
      <c r="D35" s="138">
        <v>11.15</v>
      </c>
      <c r="E35" s="267">
        <f t="shared" si="38"/>
        <v>148.32962138084631</v>
      </c>
      <c r="F35" s="256">
        <v>16000000</v>
      </c>
      <c r="G35" s="144">
        <v>11.15</v>
      </c>
      <c r="H35" s="267">
        <f t="shared" si="39"/>
        <v>0</v>
      </c>
      <c r="I35" s="144">
        <v>11.15</v>
      </c>
      <c r="J35" s="267">
        <f t="shared" si="40"/>
        <v>0</v>
      </c>
      <c r="K35" s="265">
        <v>0.39583333333333331</v>
      </c>
      <c r="L35" s="138">
        <v>7.05</v>
      </c>
      <c r="M35" s="271">
        <f t="shared" si="41"/>
        <v>36.771300448430502</v>
      </c>
      <c r="N35" s="256">
        <v>1000000</v>
      </c>
      <c r="O35" s="138" t="s">
        <v>182</v>
      </c>
      <c r="P35" s="417">
        <f t="shared" si="37"/>
        <v>148.32962138084631</v>
      </c>
      <c r="Q35" s="138"/>
    </row>
    <row r="36" spans="1:17" s="306" customFormat="1" ht="19" x14ac:dyDescent="0.25">
      <c r="A36" s="307" t="s">
        <v>246</v>
      </c>
      <c r="B36" s="308">
        <v>43880</v>
      </c>
      <c r="C36" s="307">
        <v>5.4</v>
      </c>
      <c r="D36" s="307">
        <v>6.42</v>
      </c>
      <c r="E36" s="309">
        <f t="shared" si="38"/>
        <v>18.888888888888879</v>
      </c>
      <c r="F36" s="202">
        <v>15700000</v>
      </c>
      <c r="G36" s="201">
        <v>7.29</v>
      </c>
      <c r="H36" s="312">
        <f t="shared" si="39"/>
        <v>13.55140186915888</v>
      </c>
      <c r="I36" s="201">
        <v>8.8800000000000008</v>
      </c>
      <c r="J36" s="312">
        <f t="shared" si="40"/>
        <v>38.317757009345812</v>
      </c>
      <c r="K36" s="314">
        <v>0.47916666666666669</v>
      </c>
      <c r="L36" s="307">
        <v>7.79</v>
      </c>
      <c r="M36" s="387">
        <f t="shared" si="41"/>
        <v>-21.339563862928351</v>
      </c>
      <c r="N36" s="202">
        <v>3000000</v>
      </c>
      <c r="O36" s="307" t="s">
        <v>190</v>
      </c>
      <c r="P36" s="316">
        <f t="shared" si="37"/>
        <v>57.20664589823469</v>
      </c>
      <c r="Q36" s="307"/>
    </row>
    <row r="37" spans="1:17" s="306" customFormat="1" ht="19" x14ac:dyDescent="0.25">
      <c r="A37" s="307" t="s">
        <v>805</v>
      </c>
      <c r="B37" s="308">
        <v>43978</v>
      </c>
      <c r="C37" s="307">
        <v>2.4300000000000002</v>
      </c>
      <c r="D37" s="307">
        <v>3.97</v>
      </c>
      <c r="E37" s="201">
        <f t="shared" si="38"/>
        <v>63.374485596707821</v>
      </c>
      <c r="F37" s="202">
        <v>11000000</v>
      </c>
      <c r="G37" s="201">
        <v>4.7699999999999996</v>
      </c>
      <c r="H37" s="310">
        <f t="shared" si="39"/>
        <v>20.15113350125943</v>
      </c>
      <c r="I37" s="201">
        <v>5.0999999999999996</v>
      </c>
      <c r="J37" s="312">
        <f t="shared" si="40"/>
        <v>28.463476070528955</v>
      </c>
      <c r="K37" s="314">
        <v>0.40138888888888885</v>
      </c>
      <c r="L37" s="307">
        <v>3.4</v>
      </c>
      <c r="M37" s="331">
        <f t="shared" si="41"/>
        <v>14.35768261964736</v>
      </c>
      <c r="N37" s="202">
        <v>2000000</v>
      </c>
      <c r="O37" s="307" t="s">
        <v>216</v>
      </c>
      <c r="P37" s="316">
        <f t="shared" si="37"/>
        <v>91.837961667236783</v>
      </c>
      <c r="Q37" s="307"/>
    </row>
    <row r="38" spans="1:17" s="306" customFormat="1" ht="19" x14ac:dyDescent="0.25">
      <c r="A38" s="307" t="s">
        <v>818</v>
      </c>
      <c r="B38" s="308">
        <v>43993</v>
      </c>
      <c r="C38" s="307">
        <v>1.3</v>
      </c>
      <c r="D38" s="307">
        <v>1.7</v>
      </c>
      <c r="E38" s="201">
        <f t="shared" si="38"/>
        <v>30.769230769230759</v>
      </c>
      <c r="F38" s="202">
        <v>10000000</v>
      </c>
      <c r="G38" s="201">
        <v>1.9</v>
      </c>
      <c r="H38" s="310">
        <f t="shared" si="39"/>
        <v>11.764705882352938</v>
      </c>
      <c r="I38" s="201">
        <v>2.38</v>
      </c>
      <c r="J38" s="312">
        <f t="shared" si="40"/>
        <v>40</v>
      </c>
      <c r="K38" s="314">
        <v>0.40277777777777773</v>
      </c>
      <c r="L38" s="307">
        <v>1.1499999999999999</v>
      </c>
      <c r="M38" s="331">
        <f t="shared" si="41"/>
        <v>32.352941176470587</v>
      </c>
      <c r="N38" s="202">
        <v>3000000</v>
      </c>
      <c r="O38" s="307" t="s">
        <v>190</v>
      </c>
      <c r="P38" s="316">
        <f t="shared" si="37"/>
        <v>70.769230769230759</v>
      </c>
      <c r="Q38" s="307"/>
    </row>
    <row r="39" spans="1:17" ht="19" x14ac:dyDescent="0.25">
      <c r="A39" s="272" t="s">
        <v>300</v>
      </c>
      <c r="B39" s="273">
        <f t="shared" ref="B39" si="42">(B34+B36+B37+B38+B33)/5</f>
        <v>43974</v>
      </c>
      <c r="C39" s="273">
        <f>(C33+C34+C35+C36+C37+C38)/6</f>
        <v>2.7883333333333336</v>
      </c>
      <c r="D39" s="273">
        <f t="shared" ref="D39:P39" si="43">(D33+D34+D35+D36+D37+D38)/6</f>
        <v>4.5266666666666664</v>
      </c>
      <c r="E39" s="273">
        <f t="shared" si="43"/>
        <v>52.793308056273894</v>
      </c>
      <c r="F39" s="273">
        <f t="shared" si="43"/>
        <v>14283333.333333334</v>
      </c>
      <c r="G39" s="273">
        <f t="shared" si="43"/>
        <v>4.9983333333333331</v>
      </c>
      <c r="H39" s="273">
        <f t="shared" si="43"/>
        <v>14.538959928069429</v>
      </c>
      <c r="I39" s="273">
        <f t="shared" si="43"/>
        <v>5.4583333333333348</v>
      </c>
      <c r="J39" s="273">
        <f t="shared" si="43"/>
        <v>27.285631737208387</v>
      </c>
      <c r="K39" s="273">
        <f t="shared" si="43"/>
        <v>0.40960648148148149</v>
      </c>
      <c r="L39" s="273">
        <f t="shared" si="43"/>
        <v>3.8916666666666662</v>
      </c>
      <c r="M39" s="273">
        <f t="shared" si="43"/>
        <v>10.425529765760144</v>
      </c>
      <c r="N39" s="273">
        <f t="shared" si="43"/>
        <v>5666666.666666667</v>
      </c>
      <c r="O39" s="273" t="e">
        <f t="shared" si="43"/>
        <v>#VALUE!</v>
      </c>
      <c r="P39" s="273">
        <f t="shared" si="43"/>
        <v>80.078939793482263</v>
      </c>
      <c r="Q39" s="124"/>
    </row>
    <row r="40" spans="1:17" ht="21" x14ac:dyDescent="0.25">
      <c r="A40" s="139" t="s">
        <v>108</v>
      </c>
      <c r="B40" s="139" t="s">
        <v>107</v>
      </c>
      <c r="C40" s="139" t="s">
        <v>152</v>
      </c>
      <c r="D40" s="139" t="s">
        <v>153</v>
      </c>
      <c r="E40" s="139" t="s">
        <v>284</v>
      </c>
      <c r="F40" s="139" t="s">
        <v>155</v>
      </c>
      <c r="G40" s="263" t="s">
        <v>156</v>
      </c>
      <c r="H40" s="139" t="s">
        <v>285</v>
      </c>
      <c r="I40" s="263" t="s">
        <v>158</v>
      </c>
      <c r="J40" s="263" t="s">
        <v>159</v>
      </c>
      <c r="K40" s="263" t="s">
        <v>160</v>
      </c>
      <c r="L40" s="139" t="s">
        <v>161</v>
      </c>
      <c r="M40" s="139" t="s">
        <v>162</v>
      </c>
      <c r="N40" s="291" t="s">
        <v>163</v>
      </c>
      <c r="O40" s="285" t="s">
        <v>164</v>
      </c>
      <c r="P40" s="285" t="s">
        <v>174</v>
      </c>
      <c r="Q40" s="285" t="s">
        <v>825</v>
      </c>
    </row>
    <row r="41" spans="1:17" s="306" customFormat="1" ht="19" x14ac:dyDescent="0.25">
      <c r="A41" s="307" t="s">
        <v>249</v>
      </c>
      <c r="B41" s="308">
        <v>43885</v>
      </c>
      <c r="C41" s="307">
        <v>9.4</v>
      </c>
      <c r="D41" s="307">
        <v>12.7</v>
      </c>
      <c r="E41" s="309">
        <f t="shared" ref="E41:E42" si="44">(D41-C41)/C41*100</f>
        <v>35.106382978723396</v>
      </c>
      <c r="F41" s="202">
        <v>3000000</v>
      </c>
      <c r="G41" s="201">
        <v>12.72</v>
      </c>
      <c r="H41" s="312">
        <f t="shared" ref="H41:H42" si="45">(G41-D41)/D41*100</f>
        <v>0.15748031496064058</v>
      </c>
      <c r="I41" s="201">
        <v>16.940000000000001</v>
      </c>
      <c r="J41" s="312">
        <f t="shared" ref="J41:J42" si="46">(I41-D41)/D41*100</f>
        <v>33.385826771653562</v>
      </c>
      <c r="K41" s="314">
        <v>0.43888888888888888</v>
      </c>
      <c r="L41" s="307">
        <v>8.73</v>
      </c>
      <c r="M41" s="311">
        <f>(D41-L41)/D41*100</f>
        <v>31.259842519685034</v>
      </c>
      <c r="N41" s="202">
        <v>7000000</v>
      </c>
      <c r="O41" s="307" t="s">
        <v>216</v>
      </c>
      <c r="P41" s="316">
        <f t="shared" ref="P41:P42" si="47">E41+J41</f>
        <v>68.492209750376958</v>
      </c>
      <c r="Q41" s="307"/>
    </row>
    <row r="42" spans="1:17" s="306" customFormat="1" ht="19" x14ac:dyDescent="0.25">
      <c r="A42" s="307" t="s">
        <v>817</v>
      </c>
      <c r="B42" s="308">
        <v>43997</v>
      </c>
      <c r="C42" s="307">
        <v>1.21</v>
      </c>
      <c r="D42" s="307">
        <v>1.41</v>
      </c>
      <c r="E42" s="201">
        <f t="shared" si="44"/>
        <v>16.528925619834709</v>
      </c>
      <c r="F42" s="202">
        <v>3000000</v>
      </c>
      <c r="G42" s="201">
        <v>1.54</v>
      </c>
      <c r="H42" s="312">
        <f t="shared" si="45"/>
        <v>9.2198581560283781</v>
      </c>
      <c r="I42" s="201">
        <v>1.77</v>
      </c>
      <c r="J42" s="312">
        <f t="shared" si="46"/>
        <v>25.531914893617031</v>
      </c>
      <c r="K42" s="314">
        <v>0.40208333333333335</v>
      </c>
      <c r="L42" s="307">
        <v>1.4</v>
      </c>
      <c r="M42" s="311">
        <f>(D42-L42)/D42*100</f>
        <v>0.70921985815602906</v>
      </c>
      <c r="N42" s="202">
        <v>18000000</v>
      </c>
      <c r="O42" s="307" t="s">
        <v>190</v>
      </c>
      <c r="P42" s="316">
        <f t="shared" si="47"/>
        <v>42.060840513451737</v>
      </c>
      <c r="Q42" s="307"/>
    </row>
    <row r="43" spans="1:17" ht="19" x14ac:dyDescent="0.25">
      <c r="A43" s="272" t="s">
        <v>300</v>
      </c>
      <c r="B43" s="273" t="e">
        <f>(#REF!+#REF!+#REF!+#REF!+#REF!+#REF!+#REF!+#REF!+#REF!+#REF!+#REF!+#REF!+#REF!+#REF!+#REF!+#REF!+#REF!+#REF!+#REF!+#REF!+#REF!+#REF!+#REF!+#REF!+#REF!+#REF!+#REF!+#REF!+#REF!+#REF!+#REF!+#REF!)/32</f>
        <v>#REF!</v>
      </c>
      <c r="C43" s="273">
        <f t="shared" ref="C43" si="48">(C41+C42)/2</f>
        <v>5.3049999999999997</v>
      </c>
      <c r="D43" s="273">
        <f t="shared" ref="D43" si="49">(D41+D42)/2</f>
        <v>7.0549999999999997</v>
      </c>
      <c r="E43" s="273">
        <f t="shared" ref="E43" si="50">(E41+E42)/2</f>
        <v>25.817654299279052</v>
      </c>
      <c r="F43" s="273">
        <f t="shared" ref="F43" si="51">(F41+F42)/2</f>
        <v>3000000</v>
      </c>
      <c r="G43" s="273">
        <f t="shared" ref="G43" si="52">(G41+G42)/2</f>
        <v>7.1300000000000008</v>
      </c>
      <c r="H43" s="273">
        <f t="shared" ref="H43" si="53">(H41+H42)/2</f>
        <v>4.6886692354945092</v>
      </c>
      <c r="I43" s="273">
        <f t="shared" ref="I43:P43" si="54">(I41+I42)/2</f>
        <v>9.3550000000000004</v>
      </c>
      <c r="J43" s="273">
        <f t="shared" si="54"/>
        <v>29.458870832635299</v>
      </c>
      <c r="K43" s="273">
        <f t="shared" si="54"/>
        <v>0.42048611111111112</v>
      </c>
      <c r="L43" s="273">
        <f t="shared" si="54"/>
        <v>5.0650000000000004</v>
      </c>
      <c r="M43" s="273">
        <f t="shared" si="54"/>
        <v>15.984531188920531</v>
      </c>
      <c r="N43" s="273">
        <f t="shared" si="54"/>
        <v>12500000</v>
      </c>
      <c r="O43" s="273" t="e">
        <f t="shared" si="54"/>
        <v>#VALUE!</v>
      </c>
      <c r="P43" s="273">
        <f t="shared" si="54"/>
        <v>55.276525131914347</v>
      </c>
      <c r="Q43" s="124"/>
    </row>
    <row r="44" spans="1:17" ht="29.25" customHeight="1" x14ac:dyDescent="0.3">
      <c r="A44" s="139" t="s">
        <v>108</v>
      </c>
      <c r="B44" s="139" t="s">
        <v>107</v>
      </c>
      <c r="C44" s="139" t="s">
        <v>152</v>
      </c>
      <c r="D44" s="139" t="s">
        <v>153</v>
      </c>
      <c r="E44" s="139" t="s">
        <v>284</v>
      </c>
      <c r="F44" s="139" t="s">
        <v>155</v>
      </c>
      <c r="G44" s="263" t="s">
        <v>156</v>
      </c>
      <c r="H44" s="139" t="s">
        <v>285</v>
      </c>
      <c r="I44" s="263" t="s">
        <v>158</v>
      </c>
      <c r="J44" s="263" t="s">
        <v>159</v>
      </c>
      <c r="K44" s="263" t="s">
        <v>160</v>
      </c>
      <c r="L44" s="139" t="s">
        <v>161</v>
      </c>
      <c r="M44" s="122" t="s">
        <v>162</v>
      </c>
      <c r="N44" s="296" t="s">
        <v>163</v>
      </c>
      <c r="O44" s="285" t="s">
        <v>164</v>
      </c>
      <c r="P44" s="285" t="s">
        <v>174</v>
      </c>
      <c r="Q44" s="124"/>
    </row>
    <row r="45" spans="1:17" ht="19" x14ac:dyDescent="0.25">
      <c r="A45" s="124"/>
      <c r="B45" s="261"/>
      <c r="C45" s="124"/>
      <c r="D45" s="124"/>
      <c r="E45" s="124"/>
      <c r="F45" s="137"/>
      <c r="G45" s="131"/>
      <c r="H45" s="317" t="e">
        <f t="shared" ref="H45:H54" si="55">(G45-D45)/D45*100</f>
        <v>#DIV/0!</v>
      </c>
      <c r="I45" s="131"/>
      <c r="J45" s="317" t="e">
        <f t="shared" ref="J45:J54" si="56">(I45-D45)/D45*100</f>
        <v>#DIV/0!</v>
      </c>
      <c r="K45" s="280"/>
      <c r="L45" s="124"/>
      <c r="M45" s="331" t="e">
        <f t="shared" ref="M45:M57" si="57">(L45-D45)/D45*100</f>
        <v>#DIV/0!</v>
      </c>
      <c r="N45" s="137"/>
      <c r="O45" s="124"/>
      <c r="P45" s="124"/>
      <c r="Q45" s="124"/>
    </row>
    <row r="46" spans="1:17" ht="19" x14ac:dyDescent="0.25">
      <c r="H46" s="317" t="e">
        <f t="shared" si="55"/>
        <v>#DIV/0!</v>
      </c>
      <c r="J46" s="317" t="e">
        <f t="shared" si="56"/>
        <v>#DIV/0!</v>
      </c>
      <c r="M46" s="331" t="e">
        <f t="shared" si="57"/>
        <v>#DIV/0!</v>
      </c>
    </row>
    <row r="47" spans="1:17" ht="19" x14ac:dyDescent="0.25">
      <c r="H47" s="317" t="e">
        <f t="shared" si="55"/>
        <v>#DIV/0!</v>
      </c>
      <c r="J47" s="317" t="e">
        <f t="shared" si="56"/>
        <v>#DIV/0!</v>
      </c>
      <c r="M47" s="331" t="e">
        <f t="shared" si="57"/>
        <v>#DIV/0!</v>
      </c>
    </row>
    <row r="48" spans="1:17" ht="19" x14ac:dyDescent="0.25">
      <c r="H48" s="317" t="e">
        <f t="shared" si="55"/>
        <v>#DIV/0!</v>
      </c>
      <c r="J48" s="317" t="e">
        <f t="shared" si="56"/>
        <v>#DIV/0!</v>
      </c>
      <c r="M48" s="331" t="e">
        <f t="shared" si="57"/>
        <v>#DIV/0!</v>
      </c>
    </row>
    <row r="49" spans="8:13" ht="19" x14ac:dyDescent="0.25">
      <c r="H49" s="317" t="e">
        <f t="shared" si="55"/>
        <v>#DIV/0!</v>
      </c>
      <c r="J49" s="317" t="e">
        <f t="shared" si="56"/>
        <v>#DIV/0!</v>
      </c>
      <c r="M49" s="331" t="e">
        <f t="shared" si="57"/>
        <v>#DIV/0!</v>
      </c>
    </row>
    <row r="50" spans="8:13" ht="19" x14ac:dyDescent="0.25">
      <c r="H50" s="317" t="e">
        <f t="shared" si="55"/>
        <v>#DIV/0!</v>
      </c>
      <c r="J50" s="317" t="e">
        <f t="shared" si="56"/>
        <v>#DIV/0!</v>
      </c>
      <c r="M50" s="331" t="e">
        <f t="shared" si="57"/>
        <v>#DIV/0!</v>
      </c>
    </row>
    <row r="51" spans="8:13" ht="19" x14ac:dyDescent="0.25">
      <c r="H51" s="317" t="e">
        <f t="shared" si="55"/>
        <v>#DIV/0!</v>
      </c>
      <c r="J51" s="317" t="e">
        <f t="shared" si="56"/>
        <v>#DIV/0!</v>
      </c>
      <c r="M51" s="331" t="e">
        <f t="shared" si="57"/>
        <v>#DIV/0!</v>
      </c>
    </row>
    <row r="52" spans="8:13" ht="19" x14ac:dyDescent="0.25">
      <c r="H52" s="317" t="e">
        <f t="shared" si="55"/>
        <v>#DIV/0!</v>
      </c>
      <c r="J52" s="317" t="e">
        <f t="shared" si="56"/>
        <v>#DIV/0!</v>
      </c>
      <c r="M52" s="331" t="e">
        <f t="shared" si="57"/>
        <v>#DIV/0!</v>
      </c>
    </row>
    <row r="53" spans="8:13" ht="19" x14ac:dyDescent="0.25">
      <c r="H53" s="317" t="e">
        <f t="shared" si="55"/>
        <v>#DIV/0!</v>
      </c>
      <c r="J53" s="317" t="e">
        <f t="shared" si="56"/>
        <v>#DIV/0!</v>
      </c>
      <c r="M53" s="331" t="e">
        <f t="shared" si="57"/>
        <v>#DIV/0!</v>
      </c>
    </row>
    <row r="54" spans="8:13" ht="19" x14ac:dyDescent="0.25">
      <c r="H54" s="317" t="e">
        <f t="shared" si="55"/>
        <v>#DIV/0!</v>
      </c>
      <c r="J54" s="317" t="e">
        <f t="shared" si="56"/>
        <v>#DIV/0!</v>
      </c>
      <c r="M54" s="331" t="e">
        <f t="shared" si="57"/>
        <v>#DIV/0!</v>
      </c>
    </row>
    <row r="55" spans="8:13" ht="19" x14ac:dyDescent="0.25">
      <c r="M55" s="331" t="e">
        <f t="shared" si="57"/>
        <v>#DIV/0!</v>
      </c>
    </row>
    <row r="56" spans="8:13" ht="19" x14ac:dyDescent="0.25">
      <c r="M56" s="331" t="e">
        <f t="shared" si="57"/>
        <v>#DIV/0!</v>
      </c>
    </row>
    <row r="57" spans="8:13" ht="19" x14ac:dyDescent="0.25">
      <c r="M57" s="331" t="e">
        <f t="shared" si="57"/>
        <v>#DIV/0!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AC618-1CED-4246-88A2-D3B2732AA8B7}">
  <dimension ref="A1:I29"/>
  <sheetViews>
    <sheetView workbookViewId="0">
      <selection activeCell="D13" sqref="D13"/>
    </sheetView>
  </sheetViews>
  <sheetFormatPr baseColWidth="10" defaultColWidth="8.83203125" defaultRowHeight="16" x14ac:dyDescent="0.2"/>
  <cols>
    <col min="1" max="1" width="15.5" customWidth="1"/>
    <col min="2" max="2" width="14.1640625" customWidth="1"/>
    <col min="3" max="3" width="14.6640625" customWidth="1"/>
    <col min="4" max="4" width="14.1640625" customWidth="1"/>
    <col min="6" max="6" width="19.5" customWidth="1"/>
    <col min="7" max="7" width="17.1640625" customWidth="1"/>
    <col min="8" max="8" width="18.33203125" customWidth="1"/>
    <col min="9" max="9" width="22.33203125" customWidth="1"/>
  </cols>
  <sheetData>
    <row r="1" spans="1:9" ht="19" x14ac:dyDescent="0.25">
      <c r="A1" s="320" t="s">
        <v>306</v>
      </c>
      <c r="B1" s="320" t="s">
        <v>307</v>
      </c>
      <c r="C1" s="320" t="s">
        <v>357</v>
      </c>
      <c r="D1" s="320" t="s">
        <v>309</v>
      </c>
      <c r="F1" s="320" t="s">
        <v>310</v>
      </c>
      <c r="G1" s="320" t="s">
        <v>307</v>
      </c>
      <c r="H1" s="320" t="s">
        <v>308</v>
      </c>
      <c r="I1" s="320" t="s">
        <v>309</v>
      </c>
    </row>
    <row r="2" spans="1:9" ht="19" x14ac:dyDescent="0.25">
      <c r="A2" s="124" t="s">
        <v>173</v>
      </c>
      <c r="B2" s="124">
        <v>0</v>
      </c>
      <c r="C2" s="124">
        <v>4</v>
      </c>
      <c r="D2" s="131">
        <f>(B2/C2)*100</f>
        <v>0</v>
      </c>
      <c r="F2" s="124" t="s">
        <v>173</v>
      </c>
      <c r="G2" s="124"/>
      <c r="H2" s="124"/>
      <c r="I2" s="131" t="e">
        <f>(G2/H2)*100</f>
        <v>#DIV/0!</v>
      </c>
    </row>
    <row r="3" spans="1:9" ht="19" x14ac:dyDescent="0.25">
      <c r="A3" s="124" t="s">
        <v>183</v>
      </c>
      <c r="B3" s="124">
        <v>3</v>
      </c>
      <c r="C3" s="124">
        <v>7</v>
      </c>
      <c r="D3" s="131">
        <f t="shared" ref="D3:D13" si="0">(B3/C3)*100</f>
        <v>42.857142857142854</v>
      </c>
      <c r="F3" s="124" t="s">
        <v>183</v>
      </c>
      <c r="G3" s="124"/>
      <c r="H3" s="124"/>
      <c r="I3" s="131" t="e">
        <f t="shared" ref="I3:I12" si="1">(G3/H3)*100</f>
        <v>#DIV/0!</v>
      </c>
    </row>
    <row r="4" spans="1:9" ht="19" x14ac:dyDescent="0.25">
      <c r="A4" s="124" t="s">
        <v>311</v>
      </c>
      <c r="B4" s="124">
        <v>1</v>
      </c>
      <c r="C4" s="124">
        <v>14</v>
      </c>
      <c r="D4" s="131">
        <f t="shared" si="0"/>
        <v>7.1428571428571423</v>
      </c>
      <c r="F4" s="124" t="s">
        <v>311</v>
      </c>
      <c r="G4" s="124"/>
      <c r="H4" s="124"/>
      <c r="I4" s="131" t="e">
        <f t="shared" si="1"/>
        <v>#DIV/0!</v>
      </c>
    </row>
    <row r="5" spans="1:9" ht="19" x14ac:dyDescent="0.25">
      <c r="A5" s="124" t="s">
        <v>312</v>
      </c>
      <c r="B5" s="124">
        <v>2</v>
      </c>
      <c r="C5" s="124">
        <v>26</v>
      </c>
      <c r="D5" s="131">
        <f t="shared" si="0"/>
        <v>7.6923076923076925</v>
      </c>
      <c r="F5" s="124" t="s">
        <v>312</v>
      </c>
      <c r="G5" s="124"/>
      <c r="H5" s="124"/>
      <c r="I5" s="131" t="e">
        <f t="shared" si="1"/>
        <v>#DIV/0!</v>
      </c>
    </row>
    <row r="6" spans="1:9" ht="19" x14ac:dyDescent="0.25">
      <c r="A6" s="124" t="s">
        <v>313</v>
      </c>
      <c r="B6" s="124">
        <v>1</v>
      </c>
      <c r="C6" s="124">
        <v>10</v>
      </c>
      <c r="D6" s="131">
        <f t="shared" si="0"/>
        <v>10</v>
      </c>
      <c r="F6" s="124" t="s">
        <v>313</v>
      </c>
      <c r="G6" s="124"/>
      <c r="H6" s="124"/>
      <c r="I6" s="131" t="e">
        <f t="shared" si="1"/>
        <v>#DIV/0!</v>
      </c>
    </row>
    <row r="7" spans="1:9" ht="19" x14ac:dyDescent="0.25">
      <c r="A7" s="124" t="s">
        <v>314</v>
      </c>
      <c r="B7" s="124">
        <v>4</v>
      </c>
      <c r="C7" s="124">
        <v>4</v>
      </c>
      <c r="D7" s="131">
        <f t="shared" si="0"/>
        <v>100</v>
      </c>
      <c r="F7" s="124" t="s">
        <v>314</v>
      </c>
      <c r="G7" s="124"/>
      <c r="H7" s="124"/>
      <c r="I7" s="131" t="e">
        <f t="shared" si="1"/>
        <v>#DIV/0!</v>
      </c>
    </row>
    <row r="8" spans="1:9" ht="19" x14ac:dyDescent="0.25">
      <c r="A8" s="124" t="s">
        <v>315</v>
      </c>
      <c r="B8" s="124">
        <v>5</v>
      </c>
      <c r="C8" s="124">
        <v>6</v>
      </c>
      <c r="D8" s="131">
        <f t="shared" si="0"/>
        <v>83.333333333333343</v>
      </c>
      <c r="F8" s="124" t="s">
        <v>315</v>
      </c>
      <c r="G8" s="124"/>
      <c r="H8" s="124"/>
      <c r="I8" s="131" t="e">
        <f t="shared" si="1"/>
        <v>#DIV/0!</v>
      </c>
    </row>
    <row r="9" spans="1:9" ht="19" x14ac:dyDescent="0.25">
      <c r="A9" s="124" t="s">
        <v>316</v>
      </c>
      <c r="B9" s="124">
        <v>12</v>
      </c>
      <c r="C9" s="124">
        <v>12</v>
      </c>
      <c r="D9" s="131">
        <f t="shared" si="0"/>
        <v>100</v>
      </c>
      <c r="F9" s="124" t="s">
        <v>316</v>
      </c>
      <c r="G9" s="124"/>
      <c r="H9" s="124"/>
      <c r="I9" s="131" t="e">
        <f t="shared" si="1"/>
        <v>#DIV/0!</v>
      </c>
    </row>
    <row r="10" spans="1:9" ht="19" x14ac:dyDescent="0.25">
      <c r="A10" s="124" t="s">
        <v>317</v>
      </c>
      <c r="B10" s="124">
        <v>13</v>
      </c>
      <c r="C10" s="124">
        <v>14</v>
      </c>
      <c r="D10" s="131">
        <f t="shared" si="0"/>
        <v>92.857142857142861</v>
      </c>
      <c r="F10" s="124" t="s">
        <v>317</v>
      </c>
      <c r="G10" s="124"/>
      <c r="H10" s="124"/>
      <c r="I10" s="131" t="e">
        <f t="shared" si="1"/>
        <v>#DIV/0!</v>
      </c>
    </row>
    <row r="11" spans="1:9" ht="19" x14ac:dyDescent="0.25">
      <c r="A11" s="124" t="s">
        <v>318</v>
      </c>
      <c r="B11" s="124">
        <v>23</v>
      </c>
      <c r="C11" s="124">
        <v>24</v>
      </c>
      <c r="D11" s="131">
        <f t="shared" si="0"/>
        <v>95.833333333333343</v>
      </c>
      <c r="F11" s="124" t="s">
        <v>318</v>
      </c>
      <c r="G11" s="124"/>
      <c r="H11" s="124"/>
      <c r="I11" s="131" t="e">
        <f t="shared" si="1"/>
        <v>#DIV/0!</v>
      </c>
    </row>
    <row r="12" spans="1:9" ht="19" x14ac:dyDescent="0.25">
      <c r="A12" s="131" t="s">
        <v>319</v>
      </c>
      <c r="B12" s="124">
        <v>27</v>
      </c>
      <c r="C12" s="124">
        <v>28</v>
      </c>
      <c r="D12" s="131">
        <f t="shared" si="0"/>
        <v>96.428571428571431</v>
      </c>
      <c r="F12" s="131" t="s">
        <v>319</v>
      </c>
      <c r="G12" s="124"/>
      <c r="H12" s="124"/>
      <c r="I12" s="131" t="e">
        <f t="shared" si="1"/>
        <v>#DIV/0!</v>
      </c>
    </row>
    <row r="13" spans="1:9" ht="19" x14ac:dyDescent="0.25">
      <c r="A13" s="124" t="s">
        <v>320</v>
      </c>
      <c r="B13" s="124">
        <v>34</v>
      </c>
      <c r="C13" s="124">
        <v>35</v>
      </c>
      <c r="D13" s="131">
        <f t="shared" si="0"/>
        <v>97.142857142857139</v>
      </c>
      <c r="F13" s="321" t="s">
        <v>823</v>
      </c>
      <c r="G13" s="321"/>
      <c r="H13" s="321"/>
      <c r="I13" s="323" t="e">
        <f>(I3+I4+I5+I6+I7+I8+I9+I10+I11+I12+I2)/11</f>
        <v>#DIV/0!</v>
      </c>
    </row>
    <row r="14" spans="1:9" ht="19" x14ac:dyDescent="0.25">
      <c r="A14" s="321" t="s">
        <v>823</v>
      </c>
      <c r="B14" s="322"/>
      <c r="C14" s="322"/>
      <c r="D14" s="323">
        <f>(D3+D4+D5+D6+D7+D8+D9+D10+D11+D12+D13+D2)/12</f>
        <v>61.107295482295484</v>
      </c>
    </row>
    <row r="16" spans="1:9" ht="19" x14ac:dyDescent="0.25">
      <c r="A16" s="320" t="s">
        <v>321</v>
      </c>
      <c r="B16" s="320" t="s">
        <v>307</v>
      </c>
      <c r="C16" s="320" t="s">
        <v>308</v>
      </c>
      <c r="D16" s="320" t="s">
        <v>309</v>
      </c>
      <c r="F16" s="320">
        <v>52</v>
      </c>
      <c r="G16" s="320" t="s">
        <v>307</v>
      </c>
      <c r="H16" s="320" t="s">
        <v>308</v>
      </c>
      <c r="I16" s="320" t="s">
        <v>309</v>
      </c>
    </row>
    <row r="17" spans="1:9" ht="19" x14ac:dyDescent="0.25">
      <c r="A17" s="124" t="s">
        <v>173</v>
      </c>
      <c r="B17" s="124"/>
      <c r="C17" s="124"/>
      <c r="D17" s="131" t="e">
        <f>(B17/C17)*100</f>
        <v>#DIV/0!</v>
      </c>
      <c r="F17" s="124" t="s">
        <v>173</v>
      </c>
      <c r="G17" s="124"/>
      <c r="H17" s="124"/>
      <c r="I17" s="131" t="e">
        <f>(G17/H17)*100</f>
        <v>#DIV/0!</v>
      </c>
    </row>
    <row r="18" spans="1:9" ht="19" x14ac:dyDescent="0.25">
      <c r="A18" s="124" t="s">
        <v>183</v>
      </c>
      <c r="B18" s="124"/>
      <c r="C18" s="124"/>
      <c r="D18" s="131" t="e">
        <f t="shared" ref="D18:D28" si="2">(B18/C18)*100</f>
        <v>#DIV/0!</v>
      </c>
      <c r="F18" s="124" t="s">
        <v>183</v>
      </c>
      <c r="G18" s="124"/>
      <c r="H18" s="124"/>
      <c r="I18" s="131" t="e">
        <f t="shared" ref="I18:I28" si="3">(G18/H18)*100</f>
        <v>#DIV/0!</v>
      </c>
    </row>
    <row r="19" spans="1:9" ht="19" x14ac:dyDescent="0.25">
      <c r="A19" s="124" t="s">
        <v>311</v>
      </c>
      <c r="B19" s="124"/>
      <c r="C19" s="124"/>
      <c r="D19" s="131" t="e">
        <f t="shared" si="2"/>
        <v>#DIV/0!</v>
      </c>
      <c r="F19" s="124" t="s">
        <v>311</v>
      </c>
      <c r="G19" s="124"/>
      <c r="H19" s="124"/>
      <c r="I19" s="131" t="e">
        <f t="shared" si="3"/>
        <v>#DIV/0!</v>
      </c>
    </row>
    <row r="20" spans="1:9" ht="19" x14ac:dyDescent="0.25">
      <c r="A20" s="124" t="s">
        <v>312</v>
      </c>
      <c r="B20" s="124"/>
      <c r="C20" s="124"/>
      <c r="D20" s="131" t="e">
        <f t="shared" si="2"/>
        <v>#DIV/0!</v>
      </c>
      <c r="F20" s="124" t="s">
        <v>312</v>
      </c>
      <c r="G20" s="124"/>
      <c r="H20" s="124"/>
      <c r="I20" s="131" t="e">
        <f t="shared" si="3"/>
        <v>#DIV/0!</v>
      </c>
    </row>
    <row r="21" spans="1:9" ht="19" x14ac:dyDescent="0.25">
      <c r="A21" s="124" t="s">
        <v>313</v>
      </c>
      <c r="B21" s="124"/>
      <c r="C21" s="124"/>
      <c r="D21" s="131" t="e">
        <f t="shared" si="2"/>
        <v>#DIV/0!</v>
      </c>
      <c r="F21" s="124" t="s">
        <v>313</v>
      </c>
      <c r="G21" s="124"/>
      <c r="H21" s="124"/>
      <c r="I21" s="131" t="e">
        <f t="shared" si="3"/>
        <v>#DIV/0!</v>
      </c>
    </row>
    <row r="22" spans="1:9" ht="19" x14ac:dyDescent="0.25">
      <c r="A22" s="124" t="s">
        <v>314</v>
      </c>
      <c r="B22" s="124"/>
      <c r="C22" s="124"/>
      <c r="D22" s="131" t="e">
        <f t="shared" si="2"/>
        <v>#DIV/0!</v>
      </c>
      <c r="F22" s="124" t="s">
        <v>314</v>
      </c>
      <c r="G22" s="124"/>
      <c r="H22" s="124"/>
      <c r="I22" s="131" t="e">
        <f t="shared" si="3"/>
        <v>#DIV/0!</v>
      </c>
    </row>
    <row r="23" spans="1:9" ht="19" x14ac:dyDescent="0.25">
      <c r="A23" s="124" t="s">
        <v>315</v>
      </c>
      <c r="B23" s="124"/>
      <c r="C23" s="124"/>
      <c r="D23" s="131" t="e">
        <f t="shared" si="2"/>
        <v>#DIV/0!</v>
      </c>
      <c r="F23" s="124" t="s">
        <v>315</v>
      </c>
      <c r="G23" s="124"/>
      <c r="H23" s="124"/>
      <c r="I23" s="131" t="e">
        <f t="shared" si="3"/>
        <v>#DIV/0!</v>
      </c>
    </row>
    <row r="24" spans="1:9" ht="19" x14ac:dyDescent="0.25">
      <c r="A24" s="124" t="s">
        <v>316</v>
      </c>
      <c r="B24" s="124"/>
      <c r="C24" s="124"/>
      <c r="D24" s="131" t="e">
        <f t="shared" si="2"/>
        <v>#DIV/0!</v>
      </c>
      <c r="F24" s="124" t="s">
        <v>316</v>
      </c>
      <c r="G24" s="124"/>
      <c r="H24" s="124"/>
      <c r="I24" s="131" t="e">
        <f t="shared" si="3"/>
        <v>#DIV/0!</v>
      </c>
    </row>
    <row r="25" spans="1:9" ht="19" x14ac:dyDescent="0.25">
      <c r="A25" s="124" t="s">
        <v>317</v>
      </c>
      <c r="B25" s="124"/>
      <c r="C25" s="124"/>
      <c r="D25" s="131" t="e">
        <f t="shared" si="2"/>
        <v>#DIV/0!</v>
      </c>
      <c r="F25" s="124" t="s">
        <v>317</v>
      </c>
      <c r="G25" s="124"/>
      <c r="H25" s="124"/>
      <c r="I25" s="131" t="e">
        <f t="shared" si="3"/>
        <v>#DIV/0!</v>
      </c>
    </row>
    <row r="26" spans="1:9" ht="19" x14ac:dyDescent="0.25">
      <c r="A26" s="124" t="s">
        <v>318</v>
      </c>
      <c r="B26" s="124"/>
      <c r="C26" s="124"/>
      <c r="D26" s="131" t="e">
        <f t="shared" si="2"/>
        <v>#DIV/0!</v>
      </c>
      <c r="F26" s="124" t="s">
        <v>318</v>
      </c>
      <c r="G26" s="124"/>
      <c r="H26" s="124"/>
      <c r="I26" s="131" t="e">
        <f t="shared" si="3"/>
        <v>#DIV/0!</v>
      </c>
    </row>
    <row r="27" spans="1:9" ht="19" x14ac:dyDescent="0.25">
      <c r="A27" s="131" t="s">
        <v>319</v>
      </c>
      <c r="B27" s="124"/>
      <c r="C27" s="124"/>
      <c r="D27" s="131" t="e">
        <f t="shared" si="2"/>
        <v>#DIV/0!</v>
      </c>
      <c r="E27" t="s">
        <v>322</v>
      </c>
      <c r="F27" s="131" t="s">
        <v>319</v>
      </c>
      <c r="G27" s="124"/>
      <c r="H27" s="124"/>
      <c r="I27" s="131" t="e">
        <f t="shared" si="3"/>
        <v>#DIV/0!</v>
      </c>
    </row>
    <row r="28" spans="1:9" ht="19" x14ac:dyDescent="0.25">
      <c r="A28" s="124" t="s">
        <v>320</v>
      </c>
      <c r="B28" s="124"/>
      <c r="C28" s="124"/>
      <c r="D28" s="131" t="e">
        <f t="shared" si="2"/>
        <v>#DIV/0!</v>
      </c>
      <c r="F28" s="124" t="s">
        <v>320</v>
      </c>
      <c r="G28" s="124"/>
      <c r="H28" s="124"/>
      <c r="I28" s="131" t="e">
        <f t="shared" si="3"/>
        <v>#DIV/0!</v>
      </c>
    </row>
    <row r="29" spans="1:9" ht="19" x14ac:dyDescent="0.25">
      <c r="A29" s="321" t="s">
        <v>824</v>
      </c>
      <c r="B29" s="322"/>
      <c r="C29" s="322"/>
      <c r="D29" s="323" t="e">
        <f>(D24+D26+D27+D28+D25)/5</f>
        <v>#DIV/0!</v>
      </c>
      <c r="F29" s="321" t="s">
        <v>824</v>
      </c>
      <c r="G29" s="322"/>
      <c r="H29" s="322"/>
      <c r="I29" s="323" t="e">
        <f>(I24+I26+I27+I28+I25)/5</f>
        <v>#DIV/0!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7A754-3FD6-40A2-A299-D191509FDE0D}">
  <dimension ref="A1:O161"/>
  <sheetViews>
    <sheetView topLeftCell="A17" zoomScale="80" zoomScaleNormal="80" workbookViewId="0">
      <selection activeCell="D72" sqref="D72"/>
    </sheetView>
  </sheetViews>
  <sheetFormatPr baseColWidth="10" defaultColWidth="8.83203125" defaultRowHeight="16" x14ac:dyDescent="0.2"/>
  <cols>
    <col min="1" max="1" width="12.5" customWidth="1"/>
    <col min="2" max="2" width="11.83203125" customWidth="1"/>
    <col min="3" max="3" width="14.5" customWidth="1"/>
    <col min="4" max="4" width="14" customWidth="1"/>
    <col min="5" max="5" width="11.5" customWidth="1"/>
    <col min="6" max="6" width="16.1640625" customWidth="1"/>
    <col min="7" max="7" width="15.6640625" customWidth="1"/>
    <col min="8" max="8" width="17.6640625" customWidth="1"/>
    <col min="9" max="9" width="14.1640625" customWidth="1"/>
    <col min="10" max="10" width="16.6640625" customWidth="1"/>
    <col min="11" max="11" width="18.1640625" customWidth="1"/>
    <col min="12" max="12" width="15.6640625" customWidth="1"/>
    <col min="13" max="13" width="16.83203125" customWidth="1"/>
    <col min="14" max="14" width="16.1640625" customWidth="1"/>
    <col min="15" max="15" width="17.6640625" customWidth="1"/>
  </cols>
  <sheetData>
    <row r="1" spans="1:15" ht="21" x14ac:dyDescent="0.25">
      <c r="A1" s="139" t="s">
        <v>108</v>
      </c>
      <c r="B1" s="139" t="s">
        <v>107</v>
      </c>
      <c r="C1" s="139" t="s">
        <v>323</v>
      </c>
      <c r="D1" s="139" t="s">
        <v>324</v>
      </c>
      <c r="E1" s="139" t="s">
        <v>154</v>
      </c>
      <c r="F1" s="139" t="s">
        <v>155</v>
      </c>
      <c r="G1" s="263" t="s">
        <v>325</v>
      </c>
      <c r="H1" s="263" t="s">
        <v>326</v>
      </c>
      <c r="I1" s="263" t="s">
        <v>158</v>
      </c>
      <c r="J1" s="263" t="s">
        <v>159</v>
      </c>
      <c r="K1" s="139" t="s">
        <v>327</v>
      </c>
      <c r="L1" s="139" t="s">
        <v>328</v>
      </c>
      <c r="M1" s="291" t="s">
        <v>329</v>
      </c>
      <c r="N1" s="285" t="s">
        <v>330</v>
      </c>
      <c r="O1" s="285" t="s">
        <v>163</v>
      </c>
    </row>
    <row r="2" spans="1:15" s="306" customFormat="1" ht="19" x14ac:dyDescent="0.25">
      <c r="A2" s="307" t="s">
        <v>337</v>
      </c>
      <c r="B2" s="308">
        <v>44027</v>
      </c>
      <c r="C2" s="307">
        <v>3.05</v>
      </c>
      <c r="D2" s="307">
        <v>5.32</v>
      </c>
      <c r="E2" s="309">
        <f t="shared" ref="E2:E64" si="0">(D2-C2)/C2*100</f>
        <v>74.426229508196741</v>
      </c>
      <c r="F2" s="202">
        <v>90000000</v>
      </c>
      <c r="G2" s="307">
        <v>5.37</v>
      </c>
      <c r="H2" s="310">
        <f t="shared" ref="H2:H64" si="1">(G2-D2)/D2*100</f>
        <v>0.93984962406014705</v>
      </c>
      <c r="I2" s="307">
        <v>5.6</v>
      </c>
      <c r="J2" s="304">
        <f t="shared" ref="J2:J65" si="2">(I2-G2)/G2*100</f>
        <v>4.283054003724386</v>
      </c>
      <c r="K2" s="307">
        <v>4.55</v>
      </c>
      <c r="L2" s="311">
        <f t="shared" ref="L2:L66" si="3">(K2-G2)/G2*100</f>
        <v>-15.270018621973936</v>
      </c>
      <c r="M2" s="307" t="s">
        <v>331</v>
      </c>
      <c r="N2" s="307" t="s">
        <v>333</v>
      </c>
      <c r="O2" s="202">
        <v>10000000</v>
      </c>
    </row>
    <row r="3" spans="1:15" s="306" customFormat="1" ht="19" x14ac:dyDescent="0.25">
      <c r="A3" s="307" t="s">
        <v>341</v>
      </c>
      <c r="B3" s="308">
        <v>44090</v>
      </c>
      <c r="C3" s="307">
        <v>6.62</v>
      </c>
      <c r="D3" s="307">
        <v>10.96</v>
      </c>
      <c r="E3" s="309">
        <f t="shared" si="0"/>
        <v>65.558912386706965</v>
      </c>
      <c r="F3" s="202">
        <v>12000000</v>
      </c>
      <c r="G3" s="307">
        <v>11</v>
      </c>
      <c r="H3" s="310">
        <f t="shared" si="1"/>
        <v>0.36496350364962721</v>
      </c>
      <c r="I3" s="307">
        <v>11</v>
      </c>
      <c r="J3" s="304">
        <f t="shared" si="2"/>
        <v>0</v>
      </c>
      <c r="K3" s="307">
        <v>9.17</v>
      </c>
      <c r="L3" s="311">
        <f t="shared" si="3"/>
        <v>-16.636363636363637</v>
      </c>
      <c r="M3" s="307" t="s">
        <v>331</v>
      </c>
      <c r="N3" s="307" t="s">
        <v>333</v>
      </c>
      <c r="O3" s="202">
        <v>8000000</v>
      </c>
    </row>
    <row r="4" spans="1:15" s="306" customFormat="1" ht="19" x14ac:dyDescent="0.25">
      <c r="A4" s="307" t="s">
        <v>343</v>
      </c>
      <c r="B4" s="308">
        <v>44029</v>
      </c>
      <c r="C4" s="307">
        <v>1.07</v>
      </c>
      <c r="D4" s="307">
        <v>4.2</v>
      </c>
      <c r="E4" s="309">
        <f t="shared" si="0"/>
        <v>292.52336448598129</v>
      </c>
      <c r="F4" s="202">
        <v>320000000</v>
      </c>
      <c r="G4" s="307">
        <v>4.05</v>
      </c>
      <c r="H4" s="310">
        <f t="shared" si="1"/>
        <v>-3.5714285714285796</v>
      </c>
      <c r="I4" s="307">
        <v>4.1100000000000003</v>
      </c>
      <c r="J4" s="304">
        <f t="shared" si="2"/>
        <v>1.4814814814814938</v>
      </c>
      <c r="K4" s="307">
        <v>3.38</v>
      </c>
      <c r="L4" s="311">
        <f t="shared" si="3"/>
        <v>-16.543209876543209</v>
      </c>
      <c r="M4" s="307" t="s">
        <v>331</v>
      </c>
      <c r="N4" s="307" t="s">
        <v>333</v>
      </c>
      <c r="O4" s="202">
        <v>40000000</v>
      </c>
    </row>
    <row r="5" spans="1:15" ht="19" x14ac:dyDescent="0.25">
      <c r="A5" s="124" t="s">
        <v>745</v>
      </c>
      <c r="B5" s="261">
        <v>44124</v>
      </c>
      <c r="C5" s="124">
        <v>4.34</v>
      </c>
      <c r="D5" s="124">
        <v>5.76</v>
      </c>
      <c r="E5" s="264">
        <f t="shared" si="0"/>
        <v>32.718894009216584</v>
      </c>
      <c r="F5" s="137">
        <v>1800000</v>
      </c>
      <c r="G5" s="124">
        <v>5.52</v>
      </c>
      <c r="H5" s="266">
        <f t="shared" si="1"/>
        <v>-4.1666666666666705</v>
      </c>
      <c r="I5" s="124">
        <v>5.73</v>
      </c>
      <c r="J5" s="267">
        <f t="shared" si="2"/>
        <v>3.8043478260869721</v>
      </c>
      <c r="K5" s="124">
        <v>4.8899999999999997</v>
      </c>
      <c r="L5" s="294">
        <f t="shared" si="3"/>
        <v>-11.413043478260869</v>
      </c>
      <c r="M5" s="124" t="s">
        <v>331</v>
      </c>
      <c r="N5" s="124" t="s">
        <v>333</v>
      </c>
      <c r="O5" s="137">
        <v>8000000</v>
      </c>
    </row>
    <row r="6" spans="1:15" ht="19" x14ac:dyDescent="0.25">
      <c r="A6" s="124" t="s">
        <v>785</v>
      </c>
      <c r="B6" s="261">
        <v>44125</v>
      </c>
      <c r="C6" s="124">
        <v>1.1200000000000001</v>
      </c>
      <c r="D6" s="124">
        <v>1.55</v>
      </c>
      <c r="E6" s="264">
        <f t="shared" si="0"/>
        <v>38.392857142857132</v>
      </c>
      <c r="F6" s="137">
        <v>7500000</v>
      </c>
      <c r="G6" s="124">
        <v>1.44</v>
      </c>
      <c r="H6" s="266">
        <f t="shared" si="1"/>
        <v>-7.0967741935483923</v>
      </c>
      <c r="I6" s="124">
        <v>1.49</v>
      </c>
      <c r="J6" s="267">
        <f t="shared" si="2"/>
        <v>3.472222222222225</v>
      </c>
      <c r="K6" s="124">
        <v>1.27</v>
      </c>
      <c r="L6" s="294">
        <f t="shared" si="3"/>
        <v>-11.805555555555552</v>
      </c>
      <c r="M6" s="124" t="s">
        <v>331</v>
      </c>
      <c r="N6" s="124" t="s">
        <v>333</v>
      </c>
      <c r="O6" s="137"/>
    </row>
    <row r="7" spans="1:15" s="306" customFormat="1" ht="19" x14ac:dyDescent="0.25">
      <c r="A7" s="307" t="s">
        <v>168</v>
      </c>
      <c r="B7" s="308">
        <v>44054</v>
      </c>
      <c r="C7" s="307">
        <v>10</v>
      </c>
      <c r="D7" s="307">
        <v>19</v>
      </c>
      <c r="E7" s="309">
        <f t="shared" ref="E7:E15" si="4">(D7-C7)/C7*100</f>
        <v>90</v>
      </c>
      <c r="F7" s="202">
        <v>161000000</v>
      </c>
      <c r="G7" s="307">
        <v>18.190000000000001</v>
      </c>
      <c r="H7" s="310">
        <f t="shared" ref="H7:H15" si="5">(G7-D7)/D7*100</f>
        <v>-4.2631578947368354</v>
      </c>
      <c r="I7" s="307">
        <v>18.28</v>
      </c>
      <c r="J7" s="312">
        <f t="shared" ref="J7:J15" si="6">(I7-G7)/G7*100</f>
        <v>0.49477735019241265</v>
      </c>
      <c r="K7" s="307">
        <v>12.63</v>
      </c>
      <c r="L7" s="313">
        <f t="shared" ref="L7:L15" si="7">(K7-G7)/G7*100</f>
        <v>-30.566245189664652</v>
      </c>
      <c r="M7" s="307" t="s">
        <v>335</v>
      </c>
      <c r="N7" s="307" t="s">
        <v>333</v>
      </c>
      <c r="O7" s="202">
        <v>150000000</v>
      </c>
    </row>
    <row r="8" spans="1:15" ht="19" x14ac:dyDescent="0.25">
      <c r="A8" s="124" t="s">
        <v>785</v>
      </c>
      <c r="B8" s="261">
        <v>44125</v>
      </c>
      <c r="C8" s="124">
        <v>1.1200000000000001</v>
      </c>
      <c r="D8" s="124">
        <v>1.55</v>
      </c>
      <c r="E8" s="264">
        <f t="shared" si="4"/>
        <v>38.392857142857132</v>
      </c>
      <c r="F8" s="137">
        <v>7500000</v>
      </c>
      <c r="G8" s="124">
        <v>1.44</v>
      </c>
      <c r="H8" s="266">
        <f t="shared" si="5"/>
        <v>-7.0967741935483923</v>
      </c>
      <c r="I8" s="124">
        <v>1.49</v>
      </c>
      <c r="J8" s="267">
        <f t="shared" si="6"/>
        <v>3.472222222222225</v>
      </c>
      <c r="K8" s="124">
        <v>1.27</v>
      </c>
      <c r="L8" s="294">
        <f t="shared" si="7"/>
        <v>-11.805555555555552</v>
      </c>
      <c r="M8" s="124" t="s">
        <v>331</v>
      </c>
      <c r="N8" s="124" t="s">
        <v>333</v>
      </c>
      <c r="O8" s="137">
        <v>30000000</v>
      </c>
    </row>
    <row r="9" spans="1:15" s="306" customFormat="1" ht="19" x14ac:dyDescent="0.25">
      <c r="A9" s="307" t="s">
        <v>211</v>
      </c>
      <c r="B9" s="308">
        <v>44113</v>
      </c>
      <c r="C9" s="307">
        <v>9.91</v>
      </c>
      <c r="D9" s="307">
        <v>16.399999999999999</v>
      </c>
      <c r="E9" s="309">
        <f t="shared" si="4"/>
        <v>65.489404641775977</v>
      </c>
      <c r="F9" s="202">
        <v>111000000</v>
      </c>
      <c r="G9" s="307">
        <v>15.04</v>
      </c>
      <c r="H9" s="310">
        <f t="shared" si="5"/>
        <v>-8.2926829268292668</v>
      </c>
      <c r="I9" s="307">
        <v>16</v>
      </c>
      <c r="J9" s="312">
        <f t="shared" si="6"/>
        <v>6.3829787234042614</v>
      </c>
      <c r="K9" s="307">
        <v>13.2</v>
      </c>
      <c r="L9" s="313">
        <f t="shared" si="7"/>
        <v>-12.23404255319149</v>
      </c>
      <c r="M9" s="307" t="s">
        <v>335</v>
      </c>
      <c r="N9" s="307" t="s">
        <v>333</v>
      </c>
      <c r="O9" s="202">
        <v>3000000</v>
      </c>
    </row>
    <row r="10" spans="1:15" ht="19" x14ac:dyDescent="0.25">
      <c r="A10" s="124" t="s">
        <v>747</v>
      </c>
      <c r="B10" s="261">
        <v>44124</v>
      </c>
      <c r="C10" s="124">
        <v>0.95</v>
      </c>
      <c r="D10" s="124">
        <v>1.52</v>
      </c>
      <c r="E10" s="264">
        <f t="shared" ref="E10" si="8">(D10-C10)/C10*100</f>
        <v>60.000000000000007</v>
      </c>
      <c r="F10" s="137">
        <v>12200000</v>
      </c>
      <c r="G10" s="124">
        <v>1.38</v>
      </c>
      <c r="H10" s="266">
        <f t="shared" ref="H10" si="9">(G10-D10)/D10*100</f>
        <v>-9.2105263157894814</v>
      </c>
      <c r="I10" s="124">
        <v>2.02</v>
      </c>
      <c r="J10" s="267">
        <f t="shared" ref="J10" si="10">(I10-G10)/G10*100</f>
        <v>46.376811594202913</v>
      </c>
      <c r="K10" s="124">
        <v>1.35</v>
      </c>
      <c r="L10" s="294">
        <f t="shared" ref="L10" si="11">(K10-G10)/G10*100</f>
        <v>-2.173913043478247</v>
      </c>
      <c r="M10" s="124" t="s">
        <v>346</v>
      </c>
      <c r="N10" s="124" t="s">
        <v>333</v>
      </c>
      <c r="O10" s="137">
        <v>2000000</v>
      </c>
    </row>
    <row r="11" spans="1:15" s="306" customFormat="1" ht="19" x14ac:dyDescent="0.25">
      <c r="A11" s="307" t="s">
        <v>348</v>
      </c>
      <c r="B11" s="308">
        <v>44013</v>
      </c>
      <c r="C11" s="307">
        <v>3.18</v>
      </c>
      <c r="D11" s="307">
        <v>17.38</v>
      </c>
      <c r="E11" s="309">
        <f t="shared" si="4"/>
        <v>446.54088050314459</v>
      </c>
      <c r="F11" s="202">
        <v>160000000</v>
      </c>
      <c r="G11" s="307">
        <v>15.87</v>
      </c>
      <c r="H11" s="310">
        <f t="shared" si="5"/>
        <v>-8.6881472957422332</v>
      </c>
      <c r="I11" s="307">
        <v>16.8</v>
      </c>
      <c r="J11" s="312">
        <f t="shared" si="6"/>
        <v>5.8601134215501043</v>
      </c>
      <c r="K11" s="307">
        <v>13.62</v>
      </c>
      <c r="L11" s="313">
        <f t="shared" si="7"/>
        <v>-14.177693761814744</v>
      </c>
      <c r="M11" s="307" t="s">
        <v>346</v>
      </c>
      <c r="N11" s="307" t="s">
        <v>333</v>
      </c>
      <c r="O11" s="202">
        <v>80000000</v>
      </c>
    </row>
    <row r="12" spans="1:15" s="306" customFormat="1" ht="19" x14ac:dyDescent="0.25">
      <c r="A12" s="307" t="s">
        <v>347</v>
      </c>
      <c r="B12" s="308">
        <v>44056</v>
      </c>
      <c r="C12" s="307">
        <v>1.1599999999999999</v>
      </c>
      <c r="D12" s="307">
        <v>1.62</v>
      </c>
      <c r="E12" s="309">
        <f t="shared" si="4"/>
        <v>39.655172413793125</v>
      </c>
      <c r="F12" s="202">
        <v>34000000</v>
      </c>
      <c r="G12" s="307">
        <v>1.47</v>
      </c>
      <c r="H12" s="310">
        <f t="shared" si="5"/>
        <v>-9.2592592592592666</v>
      </c>
      <c r="I12" s="307">
        <v>1.54</v>
      </c>
      <c r="J12" s="312">
        <f t="shared" si="6"/>
        <v>4.7619047619047663</v>
      </c>
      <c r="K12" s="307">
        <v>1.29</v>
      </c>
      <c r="L12" s="313">
        <f t="shared" si="7"/>
        <v>-12.244897959183669</v>
      </c>
      <c r="M12" s="307" t="s">
        <v>331</v>
      </c>
      <c r="N12" s="307" t="s">
        <v>333</v>
      </c>
      <c r="O12" s="202">
        <v>15000000</v>
      </c>
    </row>
    <row r="13" spans="1:15" ht="19" x14ac:dyDescent="0.25">
      <c r="A13" s="124" t="s">
        <v>355</v>
      </c>
      <c r="B13" s="261">
        <v>44123</v>
      </c>
      <c r="C13" s="124">
        <v>0.72</v>
      </c>
      <c r="D13" s="124">
        <v>1.1100000000000001</v>
      </c>
      <c r="E13" s="264">
        <f t="shared" si="4"/>
        <v>54.166666666666686</v>
      </c>
      <c r="F13" s="137">
        <v>10000000</v>
      </c>
      <c r="G13" s="124">
        <v>1.02</v>
      </c>
      <c r="H13" s="266">
        <f t="shared" si="5"/>
        <v>-8.1081081081081141</v>
      </c>
      <c r="I13" s="124">
        <v>1.34</v>
      </c>
      <c r="J13" s="267">
        <f t="shared" si="6"/>
        <v>31.372549019607849</v>
      </c>
      <c r="K13" s="124">
        <v>1.02</v>
      </c>
      <c r="L13" s="294">
        <f t="shared" si="7"/>
        <v>0</v>
      </c>
      <c r="M13" s="124" t="s">
        <v>346</v>
      </c>
      <c r="N13" s="124" t="s">
        <v>331</v>
      </c>
      <c r="O13" s="137">
        <v>5000000</v>
      </c>
    </row>
    <row r="14" spans="1:15" ht="19" x14ac:dyDescent="0.25">
      <c r="A14" s="124" t="s">
        <v>356</v>
      </c>
      <c r="B14" s="261">
        <v>44123</v>
      </c>
      <c r="C14" s="124">
        <v>3.2</v>
      </c>
      <c r="D14" s="124">
        <v>4.08</v>
      </c>
      <c r="E14" s="264">
        <f t="shared" si="4"/>
        <v>27.499999999999996</v>
      </c>
      <c r="F14" s="137">
        <v>2000000</v>
      </c>
      <c r="G14" s="124">
        <v>3.99</v>
      </c>
      <c r="H14" s="266">
        <f t="shared" si="5"/>
        <v>-2.2058823529411726</v>
      </c>
      <c r="I14" s="124">
        <v>4.8499999999999996</v>
      </c>
      <c r="J14" s="267">
        <f t="shared" si="6"/>
        <v>21.553884711779432</v>
      </c>
      <c r="K14" s="124">
        <v>3.94</v>
      </c>
      <c r="L14" s="294">
        <f t="shared" si="7"/>
        <v>-1.2531328320802071</v>
      </c>
      <c r="M14" s="124" t="s">
        <v>743</v>
      </c>
      <c r="N14" s="124" t="s">
        <v>331</v>
      </c>
      <c r="O14" s="137">
        <v>3500000</v>
      </c>
    </row>
    <row r="15" spans="1:15" ht="19" x14ac:dyDescent="0.25">
      <c r="A15" s="124" t="s">
        <v>744</v>
      </c>
      <c r="B15" s="261">
        <v>44124</v>
      </c>
      <c r="C15" s="124">
        <v>0.19</v>
      </c>
      <c r="D15" s="124">
        <v>0.85</v>
      </c>
      <c r="E15" s="264">
        <f t="shared" si="4"/>
        <v>347.36842105263156</v>
      </c>
      <c r="F15" s="137">
        <v>29000000</v>
      </c>
      <c r="G15" s="124">
        <v>0.78</v>
      </c>
      <c r="H15" s="266">
        <f t="shared" si="5"/>
        <v>-8.2352941176470527</v>
      </c>
      <c r="I15" s="124">
        <v>0.9</v>
      </c>
      <c r="J15" s="267">
        <f t="shared" si="6"/>
        <v>15.384615384615383</v>
      </c>
      <c r="K15" s="124">
        <v>0.71</v>
      </c>
      <c r="L15" s="294">
        <f t="shared" si="7"/>
        <v>-8.9743589743589816</v>
      </c>
      <c r="M15" s="124" t="s">
        <v>346</v>
      </c>
      <c r="N15" s="124" t="s">
        <v>331</v>
      </c>
      <c r="O15" s="137">
        <v>23000000</v>
      </c>
    </row>
    <row r="16" spans="1:15" s="306" customFormat="1" ht="19" x14ac:dyDescent="0.25">
      <c r="A16" s="297" t="s">
        <v>192</v>
      </c>
      <c r="B16" s="298">
        <v>44089</v>
      </c>
      <c r="C16" s="299">
        <v>3.31</v>
      </c>
      <c r="D16" s="299">
        <v>7.83</v>
      </c>
      <c r="E16" s="300">
        <f>(D16-C16)/C16*100</f>
        <v>136.55589123867068</v>
      </c>
      <c r="F16" s="301">
        <v>175000000</v>
      </c>
      <c r="G16" s="302">
        <v>7.22</v>
      </c>
      <c r="H16" s="303">
        <f>(G16-D16)/D16*100</f>
        <v>-7.7905491698595188</v>
      </c>
      <c r="I16" s="302">
        <v>7.4</v>
      </c>
      <c r="J16" s="304">
        <f>(I16-G16)/G16*100</f>
        <v>2.4930747922437759</v>
      </c>
      <c r="K16" s="299">
        <v>6.6</v>
      </c>
      <c r="L16" s="305">
        <f>(K16-G16)/G16*100</f>
        <v>-8.5872576177285325</v>
      </c>
      <c r="M16" s="301" t="s">
        <v>331</v>
      </c>
      <c r="N16" s="299" t="s">
        <v>331</v>
      </c>
      <c r="O16" s="202">
        <v>22000000</v>
      </c>
    </row>
    <row r="17" spans="1:15" s="306" customFormat="1" ht="19" x14ac:dyDescent="0.25">
      <c r="A17" s="307" t="s">
        <v>230</v>
      </c>
      <c r="B17" s="308">
        <v>44092</v>
      </c>
      <c r="C17" s="307">
        <v>1.63</v>
      </c>
      <c r="D17" s="307">
        <v>2.2599999999999998</v>
      </c>
      <c r="E17" s="309">
        <f t="shared" ref="E17:E24" si="12">(D17-C17)/C17*100</f>
        <v>38.650306748466249</v>
      </c>
      <c r="F17" s="202">
        <v>80000000</v>
      </c>
      <c r="G17" s="307">
        <v>2.31</v>
      </c>
      <c r="H17" s="310">
        <f t="shared" ref="H17:H24" si="13">(G17-D17)/D17*100</f>
        <v>2.2123893805309858</v>
      </c>
      <c r="I17" s="307">
        <v>2.41</v>
      </c>
      <c r="J17" s="304">
        <f t="shared" ref="J17:J24" si="14">(I17-G17)/G17*100</f>
        <v>4.3290043290043334</v>
      </c>
      <c r="K17" s="307">
        <v>2.06</v>
      </c>
      <c r="L17" s="311">
        <f t="shared" ref="L17:L24" si="15">(K17-G17)/G17*100</f>
        <v>-10.822510822510822</v>
      </c>
      <c r="M17" s="307" t="s">
        <v>335</v>
      </c>
      <c r="N17" s="307" t="s">
        <v>331</v>
      </c>
      <c r="O17" s="202">
        <v>90000000</v>
      </c>
    </row>
    <row r="18" spans="1:15" s="306" customFormat="1" ht="19" x14ac:dyDescent="0.25">
      <c r="A18" s="307" t="s">
        <v>342</v>
      </c>
      <c r="B18" s="308">
        <v>44062</v>
      </c>
      <c r="C18" s="307">
        <v>3.42</v>
      </c>
      <c r="D18" s="307">
        <v>7.47</v>
      </c>
      <c r="E18" s="309">
        <f t="shared" si="12"/>
        <v>118.42105263157893</v>
      </c>
      <c r="F18" s="202">
        <v>50000000</v>
      </c>
      <c r="G18" s="307">
        <v>7.06</v>
      </c>
      <c r="H18" s="310">
        <f t="shared" si="13"/>
        <v>-5.4886211512717562</v>
      </c>
      <c r="I18" s="307">
        <v>7.74</v>
      </c>
      <c r="J18" s="304">
        <f t="shared" si="14"/>
        <v>9.6317280453257883</v>
      </c>
      <c r="K18" s="307">
        <v>6.57</v>
      </c>
      <c r="L18" s="311">
        <f t="shared" si="15"/>
        <v>-6.9405099150141547</v>
      </c>
      <c r="M18" s="307" t="s">
        <v>335</v>
      </c>
      <c r="N18" s="307" t="s">
        <v>331</v>
      </c>
      <c r="O18" s="202">
        <v>5000000</v>
      </c>
    </row>
    <row r="19" spans="1:15" s="306" customFormat="1" ht="19" x14ac:dyDescent="0.25">
      <c r="A19" s="307" t="s">
        <v>352</v>
      </c>
      <c r="B19" s="308">
        <v>44054</v>
      </c>
      <c r="C19" s="307">
        <v>6.74</v>
      </c>
      <c r="D19" s="307">
        <v>12</v>
      </c>
      <c r="E19" s="309">
        <f t="shared" si="12"/>
        <v>78.041543026706222</v>
      </c>
      <c r="F19" s="202">
        <v>19000000</v>
      </c>
      <c r="G19" s="307">
        <v>11.74</v>
      </c>
      <c r="H19" s="310">
        <f t="shared" si="13"/>
        <v>-2.1666666666666652</v>
      </c>
      <c r="I19" s="307">
        <v>13.62</v>
      </c>
      <c r="J19" s="312">
        <f t="shared" si="14"/>
        <v>16.013628620102203</v>
      </c>
      <c r="K19" s="307">
        <v>9.81</v>
      </c>
      <c r="L19" s="313">
        <f t="shared" si="15"/>
        <v>-16.439522998296418</v>
      </c>
      <c r="M19" s="307" t="s">
        <v>346</v>
      </c>
      <c r="N19" s="307" t="s">
        <v>331</v>
      </c>
      <c r="O19" s="202">
        <v>15000000</v>
      </c>
    </row>
    <row r="20" spans="1:15" ht="19" x14ac:dyDescent="0.25">
      <c r="A20" s="124" t="s">
        <v>764</v>
      </c>
      <c r="B20" s="261">
        <v>44133</v>
      </c>
      <c r="C20" s="124">
        <v>0.53</v>
      </c>
      <c r="D20" s="124">
        <v>1.26</v>
      </c>
      <c r="E20" s="264">
        <f t="shared" si="12"/>
        <v>137.73584905660377</v>
      </c>
      <c r="F20" s="137">
        <v>267000000</v>
      </c>
      <c r="G20" s="124">
        <v>1.01</v>
      </c>
      <c r="H20" s="266">
        <f t="shared" si="13"/>
        <v>-19.841269841269842</v>
      </c>
      <c r="I20" s="124">
        <v>1.5</v>
      </c>
      <c r="J20" s="267">
        <f t="shared" si="14"/>
        <v>48.514851485148512</v>
      </c>
      <c r="K20" s="124">
        <v>0.98</v>
      </c>
      <c r="L20" s="294">
        <f t="shared" si="15"/>
        <v>-2.9702970297029729</v>
      </c>
      <c r="M20" s="124" t="s">
        <v>333</v>
      </c>
      <c r="N20" s="124" t="s">
        <v>331</v>
      </c>
      <c r="O20" s="137">
        <v>45000000</v>
      </c>
    </row>
    <row r="21" spans="1:15" s="306" customFormat="1" ht="19" x14ac:dyDescent="0.25">
      <c r="A21" s="307" t="s">
        <v>350</v>
      </c>
      <c r="B21" s="308">
        <v>44106</v>
      </c>
      <c r="C21" s="307">
        <v>7</v>
      </c>
      <c r="D21" s="307">
        <v>12</v>
      </c>
      <c r="E21" s="309">
        <f t="shared" si="12"/>
        <v>71.428571428571431</v>
      </c>
      <c r="F21" s="202">
        <v>28000000</v>
      </c>
      <c r="G21" s="307">
        <v>11.35</v>
      </c>
      <c r="H21" s="310">
        <f t="shared" si="13"/>
        <v>-5.4166666666666696</v>
      </c>
      <c r="I21" s="307">
        <v>15.31</v>
      </c>
      <c r="J21" s="312">
        <f t="shared" si="14"/>
        <v>34.889867841409696</v>
      </c>
      <c r="K21" s="307">
        <v>11.35</v>
      </c>
      <c r="L21" s="313">
        <f t="shared" si="15"/>
        <v>0</v>
      </c>
      <c r="M21" s="307" t="s">
        <v>346</v>
      </c>
      <c r="N21" s="307" t="s">
        <v>331</v>
      </c>
      <c r="O21" s="202">
        <v>40000000</v>
      </c>
    </row>
    <row r="22" spans="1:15" ht="19" x14ac:dyDescent="0.25">
      <c r="A22" s="124" t="s">
        <v>842</v>
      </c>
      <c r="B22" s="261">
        <v>44138</v>
      </c>
      <c r="C22" s="124">
        <v>1.23</v>
      </c>
      <c r="D22" s="124">
        <v>1.97</v>
      </c>
      <c r="E22" s="264">
        <f t="shared" si="12"/>
        <v>60.162601626016269</v>
      </c>
      <c r="F22" s="137">
        <v>40000000</v>
      </c>
      <c r="G22" s="124">
        <v>1.8</v>
      </c>
      <c r="H22" s="266">
        <f t="shared" si="13"/>
        <v>-8.6294416243654783</v>
      </c>
      <c r="I22" s="124">
        <v>2.08</v>
      </c>
      <c r="J22" s="267">
        <f t="shared" si="14"/>
        <v>15.555555555555555</v>
      </c>
      <c r="K22" s="124">
        <v>1.42</v>
      </c>
      <c r="L22" s="294">
        <f t="shared" si="15"/>
        <v>-21.111111111111118</v>
      </c>
      <c r="M22" s="124" t="s">
        <v>333</v>
      </c>
      <c r="N22" s="124" t="s">
        <v>331</v>
      </c>
      <c r="O22" s="137"/>
    </row>
    <row r="23" spans="1:15" s="306" customFormat="1" ht="19" x14ac:dyDescent="0.25">
      <c r="A23" s="307" t="s">
        <v>354</v>
      </c>
      <c r="B23" s="308">
        <v>44019</v>
      </c>
      <c r="C23" s="307">
        <v>7</v>
      </c>
      <c r="D23" s="307">
        <v>11.72</v>
      </c>
      <c r="E23" s="309">
        <f t="shared" si="12"/>
        <v>67.428571428571445</v>
      </c>
      <c r="F23" s="202">
        <v>260000000</v>
      </c>
      <c r="G23" s="307">
        <v>11.26</v>
      </c>
      <c r="H23" s="310">
        <f t="shared" si="13"/>
        <v>-3.924914675767925</v>
      </c>
      <c r="I23" s="307">
        <v>13.8</v>
      </c>
      <c r="J23" s="312">
        <f t="shared" si="14"/>
        <v>22.55772646536413</v>
      </c>
      <c r="K23" s="307">
        <v>10.7</v>
      </c>
      <c r="L23" s="313">
        <f t="shared" si="15"/>
        <v>-4.9733570159857949</v>
      </c>
      <c r="M23" s="307" t="s">
        <v>346</v>
      </c>
      <c r="N23" s="307" t="s">
        <v>331</v>
      </c>
      <c r="O23" s="202">
        <v>900000000</v>
      </c>
    </row>
    <row r="24" spans="1:15" ht="19" x14ac:dyDescent="0.25">
      <c r="A24" s="124" t="s">
        <v>850</v>
      </c>
      <c r="B24" s="261">
        <v>44141</v>
      </c>
      <c r="C24" s="124">
        <v>1.64</v>
      </c>
      <c r="D24" s="124">
        <v>3.37</v>
      </c>
      <c r="E24" s="264">
        <f t="shared" si="12"/>
        <v>105.48780487804881</v>
      </c>
      <c r="F24" s="137">
        <v>86000000</v>
      </c>
      <c r="G24" s="124">
        <v>3.19</v>
      </c>
      <c r="H24" s="266">
        <f t="shared" si="13"/>
        <v>-5.341246290801192</v>
      </c>
      <c r="I24" s="124">
        <v>3.32</v>
      </c>
      <c r="J24" s="267">
        <f t="shared" si="14"/>
        <v>4.0752351097178652</v>
      </c>
      <c r="K24" s="124">
        <v>3.13</v>
      </c>
      <c r="L24" s="294">
        <f t="shared" si="15"/>
        <v>-1.8808777429467103</v>
      </c>
      <c r="M24" s="124" t="s">
        <v>333</v>
      </c>
      <c r="N24" s="124" t="s">
        <v>331</v>
      </c>
      <c r="O24" s="137">
        <v>7000000</v>
      </c>
    </row>
    <row r="25" spans="1:15" ht="21" x14ac:dyDescent="0.25">
      <c r="A25" s="139" t="s">
        <v>108</v>
      </c>
      <c r="B25" s="139" t="s">
        <v>107</v>
      </c>
      <c r="C25" s="139" t="s">
        <v>323</v>
      </c>
      <c r="D25" s="139" t="s">
        <v>324</v>
      </c>
      <c r="E25" s="139" t="s">
        <v>154</v>
      </c>
      <c r="F25" s="139" t="s">
        <v>155</v>
      </c>
      <c r="G25" s="263" t="s">
        <v>325</v>
      </c>
      <c r="H25" s="263" t="s">
        <v>326</v>
      </c>
      <c r="I25" s="263" t="s">
        <v>158</v>
      </c>
      <c r="J25" s="263" t="s">
        <v>159</v>
      </c>
      <c r="K25" s="139" t="s">
        <v>327</v>
      </c>
      <c r="L25" s="139" t="s">
        <v>328</v>
      </c>
      <c r="M25" s="291" t="s">
        <v>329</v>
      </c>
      <c r="N25" s="285" t="s">
        <v>330</v>
      </c>
      <c r="O25" s="285" t="s">
        <v>163</v>
      </c>
    </row>
    <row r="26" spans="1:15" ht="19" x14ac:dyDescent="0.25">
      <c r="A26" s="124" t="s">
        <v>349</v>
      </c>
      <c r="B26" s="261">
        <v>44124</v>
      </c>
      <c r="C26" s="124">
        <v>1.33</v>
      </c>
      <c r="D26" s="124">
        <v>8.15</v>
      </c>
      <c r="E26" s="264">
        <f t="shared" ref="E26" si="16">(D26-C26)/C26*100</f>
        <v>512.78195488721803</v>
      </c>
      <c r="F26" s="137">
        <v>235000000</v>
      </c>
      <c r="G26" s="124">
        <v>6.01</v>
      </c>
      <c r="H26" s="266">
        <f t="shared" ref="H26" si="17">(G26-D26)/D26*100</f>
        <v>-26.257668711656446</v>
      </c>
      <c r="I26" s="124">
        <v>6.3</v>
      </c>
      <c r="J26" s="267">
        <f t="shared" ref="J26" si="18">(I26-G26)/G26*100</f>
        <v>4.8252911813643928</v>
      </c>
      <c r="K26" s="124">
        <v>4.28</v>
      </c>
      <c r="L26" s="294">
        <f t="shared" ref="L26" si="19">(K26-G26)/G26*100</f>
        <v>-28.785357737104817</v>
      </c>
      <c r="M26" s="124" t="s">
        <v>331</v>
      </c>
      <c r="N26" s="124" t="s">
        <v>333</v>
      </c>
      <c r="O26" s="137">
        <v>1000000</v>
      </c>
    </row>
    <row r="27" spans="1:15" ht="19" x14ac:dyDescent="0.25">
      <c r="A27" s="124" t="s">
        <v>750</v>
      </c>
      <c r="B27" s="261">
        <v>44124</v>
      </c>
      <c r="C27" s="124">
        <v>2.5</v>
      </c>
      <c r="D27" s="124">
        <v>3.54</v>
      </c>
      <c r="E27" s="264">
        <f t="shared" ref="E27" si="20">(D27-C27)/C27*100</f>
        <v>41.6</v>
      </c>
      <c r="F27" s="137">
        <v>4000000</v>
      </c>
      <c r="G27" s="124">
        <v>3.13</v>
      </c>
      <c r="H27" s="266">
        <f t="shared" ref="H27" si="21">(G27-D27)/D27*100</f>
        <v>-11.581920903954806</v>
      </c>
      <c r="I27" s="124">
        <v>3.29</v>
      </c>
      <c r="J27" s="267">
        <f t="shared" ref="J27" si="22">(I27-G27)/G27*100</f>
        <v>5.1118210862619851</v>
      </c>
      <c r="K27" s="124">
        <v>2.71</v>
      </c>
      <c r="L27" s="294">
        <f t="shared" ref="L27" si="23">(K27-G27)/G27*100</f>
        <v>-13.418530351437699</v>
      </c>
      <c r="M27" s="124" t="s">
        <v>331</v>
      </c>
      <c r="N27" s="124" t="s">
        <v>333</v>
      </c>
      <c r="O27" s="137">
        <v>1000000</v>
      </c>
    </row>
    <row r="28" spans="1:15" ht="19" x14ac:dyDescent="0.25">
      <c r="A28" s="124" t="s">
        <v>344</v>
      </c>
      <c r="B28" s="261">
        <v>44043</v>
      </c>
      <c r="C28" s="124">
        <v>1.32</v>
      </c>
      <c r="D28" s="124">
        <v>7</v>
      </c>
      <c r="E28" s="264">
        <f t="shared" ref="E28" si="24">(D28-C28)/C28*100</f>
        <v>430.30303030303025</v>
      </c>
      <c r="F28" s="137">
        <v>97000000</v>
      </c>
      <c r="G28" s="124">
        <v>4.95</v>
      </c>
      <c r="H28" s="266">
        <f t="shared" ref="H28" si="25">(G28-D28)/D28*100</f>
        <v>-29.285714285714281</v>
      </c>
      <c r="I28" s="124">
        <v>5.05</v>
      </c>
      <c r="J28" s="293">
        <f t="shared" ref="J28" si="26">(I28-G28)/G28*100</f>
        <v>2.0202020202020132</v>
      </c>
      <c r="K28" s="124">
        <v>3.02</v>
      </c>
      <c r="L28" s="271">
        <f t="shared" ref="L28" si="27">(K28-G28)/G28*100</f>
        <v>-38.98989898989899</v>
      </c>
      <c r="M28" s="124" t="s">
        <v>331</v>
      </c>
      <c r="N28" s="124" t="s">
        <v>345</v>
      </c>
      <c r="O28" s="137">
        <v>14000000</v>
      </c>
    </row>
    <row r="29" spans="1:15" ht="19" x14ac:dyDescent="0.25">
      <c r="A29" s="124" t="s">
        <v>288</v>
      </c>
      <c r="B29" s="261">
        <v>44054</v>
      </c>
      <c r="C29" s="124">
        <v>14.19</v>
      </c>
      <c r="D29" s="124">
        <v>21.38</v>
      </c>
      <c r="E29" s="264">
        <f t="shared" ref="E29" si="28">(D29-C29)/C29*100</f>
        <v>50.669485553206485</v>
      </c>
      <c r="F29" s="137">
        <v>18500000</v>
      </c>
      <c r="G29" s="124">
        <v>19.079999999999998</v>
      </c>
      <c r="H29" s="266">
        <f t="shared" ref="H29" si="29">(G29-D29)/D29*100</f>
        <v>-10.757717492984101</v>
      </c>
      <c r="I29" s="124">
        <v>19.91</v>
      </c>
      <c r="J29" s="293">
        <f t="shared" ref="J29" si="30">(I29-G29)/G29*100</f>
        <v>4.3501048218029448</v>
      </c>
      <c r="K29" s="124">
        <v>15.7</v>
      </c>
      <c r="L29" s="271">
        <f t="shared" ref="L29" si="31">(K29-G29)/G29*100</f>
        <v>-17.714884696016767</v>
      </c>
      <c r="M29" s="124" t="s">
        <v>331</v>
      </c>
      <c r="N29" s="124" t="s">
        <v>333</v>
      </c>
      <c r="O29" s="137">
        <v>12000000</v>
      </c>
    </row>
    <row r="30" spans="1:15" ht="19" x14ac:dyDescent="0.25">
      <c r="A30" s="124" t="s">
        <v>340</v>
      </c>
      <c r="B30" s="261">
        <v>44091</v>
      </c>
      <c r="C30" s="124">
        <v>10.28</v>
      </c>
      <c r="D30" s="124">
        <v>18.59</v>
      </c>
      <c r="E30" s="264">
        <f t="shared" ref="E30" si="32">(D30-C30)/C30*100</f>
        <v>80.836575875486389</v>
      </c>
      <c r="F30" s="137">
        <v>122000000</v>
      </c>
      <c r="G30" s="124">
        <v>16.600000000000001</v>
      </c>
      <c r="H30" s="266">
        <f t="shared" ref="H30" si="33">(G30-D30)/D30*100</f>
        <v>-10.704679935449157</v>
      </c>
      <c r="I30" s="124">
        <v>17.86</v>
      </c>
      <c r="J30" s="293">
        <f t="shared" ref="J30" si="34">(I30-G30)/G30*100</f>
        <v>7.5903614457831194</v>
      </c>
      <c r="K30" s="124">
        <v>14.29</v>
      </c>
      <c r="L30" s="271">
        <f t="shared" ref="L30" si="35">(K30-G30)/G30*100</f>
        <v>-13.915662650602423</v>
      </c>
      <c r="M30" s="124" t="s">
        <v>331</v>
      </c>
      <c r="N30" s="124" t="s">
        <v>333</v>
      </c>
      <c r="O30" s="137">
        <v>120000000</v>
      </c>
    </row>
    <row r="31" spans="1:15" ht="19" x14ac:dyDescent="0.25">
      <c r="A31" s="124" t="s">
        <v>338</v>
      </c>
      <c r="B31" s="261">
        <v>44097</v>
      </c>
      <c r="C31" s="124">
        <v>0.57999999999999996</v>
      </c>
      <c r="D31" s="124">
        <v>1.2</v>
      </c>
      <c r="E31" s="264">
        <f t="shared" ref="E31:E32" si="36">(D31-C31)/C31*100</f>
        <v>106.89655172413795</v>
      </c>
      <c r="F31" s="137">
        <v>220000000</v>
      </c>
      <c r="G31" s="124">
        <v>1.07</v>
      </c>
      <c r="H31" s="266">
        <f t="shared" ref="H31:H32" si="37">(G31-D31)/D31*100</f>
        <v>-10.833333333333325</v>
      </c>
      <c r="I31" s="124">
        <v>1.07</v>
      </c>
      <c r="J31" s="293">
        <f t="shared" ref="J31:J32" si="38">(I31-G31)/G31*100</f>
        <v>0</v>
      </c>
      <c r="K31" s="124">
        <v>0.9</v>
      </c>
      <c r="L31" s="271">
        <f t="shared" ref="L31:L32" si="39">(K31-G31)/G31*100</f>
        <v>-15.887850467289722</v>
      </c>
      <c r="M31" s="124" t="s">
        <v>339</v>
      </c>
      <c r="N31" s="124" t="s">
        <v>333</v>
      </c>
      <c r="O31" s="137">
        <v>10000000</v>
      </c>
    </row>
    <row r="32" spans="1:15" ht="19" x14ac:dyDescent="0.25">
      <c r="A32" s="124" t="s">
        <v>754</v>
      </c>
      <c r="B32" s="261">
        <v>44125</v>
      </c>
      <c r="C32" s="124">
        <v>0.83</v>
      </c>
      <c r="D32" s="124">
        <v>5</v>
      </c>
      <c r="E32" s="264">
        <f t="shared" si="36"/>
        <v>502.40963855421688</v>
      </c>
      <c r="F32" s="137">
        <v>120000000</v>
      </c>
      <c r="G32" s="124">
        <v>3.7</v>
      </c>
      <c r="H32" s="266">
        <f t="shared" si="37"/>
        <v>-25.999999999999996</v>
      </c>
      <c r="I32" s="124">
        <v>3.7</v>
      </c>
      <c r="J32" s="267">
        <f t="shared" si="38"/>
        <v>0</v>
      </c>
      <c r="K32" s="124">
        <v>2.11</v>
      </c>
      <c r="L32" s="294">
        <f t="shared" si="39"/>
        <v>-42.972972972972975</v>
      </c>
      <c r="M32" s="124" t="s">
        <v>331</v>
      </c>
      <c r="N32" s="124" t="s">
        <v>333</v>
      </c>
      <c r="O32" s="137">
        <v>30000000</v>
      </c>
    </row>
    <row r="33" spans="1:15" ht="19" x14ac:dyDescent="0.25">
      <c r="A33" s="124" t="s">
        <v>200</v>
      </c>
      <c r="B33" s="261">
        <v>44102</v>
      </c>
      <c r="C33" s="124">
        <v>1.1299999999999999</v>
      </c>
      <c r="D33" s="124">
        <v>2.98</v>
      </c>
      <c r="E33" s="264">
        <f t="shared" ref="E33:E34" si="40">(D33-C33)/C33*100</f>
        <v>163.71681415929206</v>
      </c>
      <c r="F33" s="137">
        <v>140000000</v>
      </c>
      <c r="G33" s="124">
        <v>2.4500000000000002</v>
      </c>
      <c r="H33" s="266">
        <f t="shared" ref="H33:H34" si="41">(G33-D33)/D33*100</f>
        <v>-17.785234899328852</v>
      </c>
      <c r="I33" s="124">
        <v>2.58</v>
      </c>
      <c r="J33" s="293">
        <f t="shared" ref="J33:J34" si="42">(I33-G33)/G33*100</f>
        <v>5.3061224489795871</v>
      </c>
      <c r="K33" s="124">
        <v>2.0499999999999998</v>
      </c>
      <c r="L33" s="271">
        <f t="shared" ref="L33:L34" si="43">(K33-G33)/G33*100</f>
        <v>-16.326530612244909</v>
      </c>
      <c r="M33" s="124" t="s">
        <v>335</v>
      </c>
      <c r="N33" s="124" t="s">
        <v>333</v>
      </c>
      <c r="O33" s="137">
        <v>1500000</v>
      </c>
    </row>
    <row r="34" spans="1:15" ht="19" x14ac:dyDescent="0.25">
      <c r="A34" s="124" t="s">
        <v>852</v>
      </c>
      <c r="B34" s="261">
        <v>44149</v>
      </c>
      <c r="C34" s="124">
        <v>1.56</v>
      </c>
      <c r="D34" s="124">
        <v>2.58</v>
      </c>
      <c r="E34" s="264">
        <f t="shared" si="40"/>
        <v>65.384615384615387</v>
      </c>
      <c r="F34" s="137">
        <v>4000000</v>
      </c>
      <c r="G34" s="124">
        <v>2.2400000000000002</v>
      </c>
      <c r="H34" s="266">
        <f t="shared" si="41"/>
        <v>-13.178294573643404</v>
      </c>
      <c r="I34" s="124">
        <v>2.36</v>
      </c>
      <c r="J34" s="267">
        <f t="shared" si="42"/>
        <v>5.3571428571428417</v>
      </c>
      <c r="K34" s="124">
        <v>1.99</v>
      </c>
      <c r="L34" s="294">
        <f t="shared" si="43"/>
        <v>-11.160714285714295</v>
      </c>
      <c r="M34" s="124" t="s">
        <v>418</v>
      </c>
      <c r="N34" s="124" t="s">
        <v>345</v>
      </c>
      <c r="O34" s="137">
        <v>40000000</v>
      </c>
    </row>
    <row r="35" spans="1:15" ht="19" x14ac:dyDescent="0.25">
      <c r="A35" s="124" t="s">
        <v>336</v>
      </c>
      <c r="B35" s="261">
        <v>44103</v>
      </c>
      <c r="C35" s="124">
        <v>11</v>
      </c>
      <c r="D35" s="124">
        <v>37</v>
      </c>
      <c r="E35" s="264">
        <f t="shared" ref="E35" si="44">(D35-C35)/C35*100</f>
        <v>236.36363636363637</v>
      </c>
      <c r="F35" s="137">
        <v>50000000</v>
      </c>
      <c r="G35" s="124">
        <v>31.39</v>
      </c>
      <c r="H35" s="266">
        <f t="shared" ref="H35" si="45">(G35-D35)/D35*100</f>
        <v>-15.16216216216216</v>
      </c>
      <c r="I35" s="124">
        <v>34.43</v>
      </c>
      <c r="J35" s="293">
        <f t="shared" ref="J35" si="46">(I35-G35)/G35*100</f>
        <v>9.6846129340554281</v>
      </c>
      <c r="K35" s="124">
        <v>25</v>
      </c>
      <c r="L35" s="271">
        <f t="shared" ref="L35" si="47">(K35-G35)/G35*100</f>
        <v>-20.356801529149411</v>
      </c>
      <c r="M35" s="124" t="s">
        <v>331</v>
      </c>
      <c r="N35" s="124" t="s">
        <v>333</v>
      </c>
      <c r="O35" s="137">
        <v>10000000</v>
      </c>
    </row>
    <row r="36" spans="1:15" ht="19" x14ac:dyDescent="0.25">
      <c r="A36" s="124" t="s">
        <v>172</v>
      </c>
      <c r="B36" s="261">
        <v>44110</v>
      </c>
      <c r="C36" s="124">
        <v>1.5</v>
      </c>
      <c r="D36" s="124">
        <v>7</v>
      </c>
      <c r="E36" s="264">
        <f t="shared" ref="E36" si="48">(D36-C36)/C36*100</f>
        <v>366.66666666666663</v>
      </c>
      <c r="F36" s="137">
        <v>40000000</v>
      </c>
      <c r="G36" s="124">
        <v>5.8</v>
      </c>
      <c r="H36" s="266">
        <f t="shared" ref="H36" si="49">(G36-D36)/D36*100</f>
        <v>-17.142857142857146</v>
      </c>
      <c r="I36" s="124">
        <v>5.98</v>
      </c>
      <c r="J36" s="293">
        <f t="shared" ref="J36" si="50">(I36-G36)/G36*100</f>
        <v>3.1034482758620792</v>
      </c>
      <c r="K36" s="124">
        <v>5.14</v>
      </c>
      <c r="L36" s="271">
        <f t="shared" ref="L36" si="51">(K36-G36)/G36*100</f>
        <v>-11.379310344827589</v>
      </c>
      <c r="M36" s="124" t="s">
        <v>331</v>
      </c>
      <c r="N36" s="124" t="s">
        <v>333</v>
      </c>
      <c r="O36" s="137">
        <v>1500000</v>
      </c>
    </row>
    <row r="37" spans="1:15" ht="19" x14ac:dyDescent="0.25">
      <c r="A37" s="124" t="s">
        <v>277</v>
      </c>
      <c r="B37" s="261">
        <v>44099</v>
      </c>
      <c r="C37" s="124">
        <v>3.4</v>
      </c>
      <c r="D37" s="124">
        <v>7.99</v>
      </c>
      <c r="E37" s="264">
        <f t="shared" ref="E37:E38" si="52">(D37-C37)/C37*100</f>
        <v>135</v>
      </c>
      <c r="F37" s="137">
        <v>28000000</v>
      </c>
      <c r="G37" s="124">
        <v>6.57</v>
      </c>
      <c r="H37" s="266">
        <f t="shared" ref="H37:H38" si="53">(G37-D37)/D37*100</f>
        <v>-17.772215269086356</v>
      </c>
      <c r="I37" s="124">
        <v>7.34</v>
      </c>
      <c r="J37" s="293">
        <f t="shared" ref="J37:J38" si="54">(I37-G37)/G37*100</f>
        <v>11.719939117199383</v>
      </c>
      <c r="K37" s="124">
        <v>5.1100000000000003</v>
      </c>
      <c r="L37" s="271">
        <f t="shared" ref="L37:L38" si="55">(K37-G37)/G37*100</f>
        <v>-22.222222222222221</v>
      </c>
      <c r="M37" s="124" t="s">
        <v>331</v>
      </c>
      <c r="N37" s="124" t="s">
        <v>333</v>
      </c>
      <c r="O37" s="137">
        <v>4000000</v>
      </c>
    </row>
    <row r="38" spans="1:15" ht="19" x14ac:dyDescent="0.25">
      <c r="A38" s="124" t="s">
        <v>220</v>
      </c>
      <c r="B38" s="261">
        <v>44071</v>
      </c>
      <c r="C38" s="124">
        <v>0.78</v>
      </c>
      <c r="D38" s="124">
        <v>2.11</v>
      </c>
      <c r="E38" s="264">
        <f t="shared" si="52"/>
        <v>170.5128205128205</v>
      </c>
      <c r="F38" s="137">
        <v>102000000</v>
      </c>
      <c r="G38" s="124">
        <v>1.52</v>
      </c>
      <c r="H38" s="266">
        <f t="shared" si="53"/>
        <v>-27.962085308056867</v>
      </c>
      <c r="I38" s="124">
        <v>1.52</v>
      </c>
      <c r="J38" s="267">
        <f t="shared" si="54"/>
        <v>0</v>
      </c>
      <c r="K38" s="124">
        <v>1.25</v>
      </c>
      <c r="L38" s="294">
        <f t="shared" si="55"/>
        <v>-17.763157894736842</v>
      </c>
      <c r="M38" s="124" t="s">
        <v>335</v>
      </c>
      <c r="N38" s="124" t="s">
        <v>345</v>
      </c>
      <c r="O38" s="137">
        <v>7000000</v>
      </c>
    </row>
    <row r="39" spans="1:15" ht="19" x14ac:dyDescent="0.25">
      <c r="A39" s="124" t="s">
        <v>287</v>
      </c>
      <c r="B39" s="261">
        <v>44040</v>
      </c>
      <c r="C39" s="124">
        <v>5.6</v>
      </c>
      <c r="D39" s="124">
        <v>11.1</v>
      </c>
      <c r="E39" s="264">
        <f t="shared" ref="E39" si="56">(D39-C39)/C39*100</f>
        <v>98.214285714285722</v>
      </c>
      <c r="F39" s="137">
        <v>80000000</v>
      </c>
      <c r="G39" s="124">
        <v>8.73</v>
      </c>
      <c r="H39" s="266">
        <f t="shared" ref="H39" si="57">(G39-D39)/D39*100</f>
        <v>-21.351351351351344</v>
      </c>
      <c r="I39" s="124">
        <v>8.89</v>
      </c>
      <c r="J39" s="293">
        <f t="shared" ref="J39" si="58">(I39-G39)/G39*100</f>
        <v>1.8327605956471951</v>
      </c>
      <c r="K39" s="124">
        <v>7.1</v>
      </c>
      <c r="L39" s="271">
        <f t="shared" ref="L39" si="59">(K39-G39)/G39*100</f>
        <v>-18.671248568155793</v>
      </c>
      <c r="M39" s="124" t="s">
        <v>331</v>
      </c>
      <c r="N39" s="124" t="s">
        <v>333</v>
      </c>
      <c r="O39" s="137">
        <v>25000000</v>
      </c>
    </row>
    <row r="40" spans="1:15" ht="19" x14ac:dyDescent="0.25">
      <c r="A40" s="124" t="s">
        <v>334</v>
      </c>
      <c r="B40" s="261">
        <v>44082</v>
      </c>
      <c r="C40" s="124">
        <v>1.89</v>
      </c>
      <c r="D40" s="124">
        <v>4.28</v>
      </c>
      <c r="E40" s="264">
        <f t="shared" ref="E40" si="60">(D40-C40)/C40*100</f>
        <v>126.45502645502648</v>
      </c>
      <c r="F40" s="137">
        <v>208000000</v>
      </c>
      <c r="G40" s="124">
        <v>3.33</v>
      </c>
      <c r="H40" s="266">
        <f t="shared" ref="H40" si="61">(G40-D40)/D40*100</f>
        <v>-22.196261682242994</v>
      </c>
      <c r="I40" s="124">
        <v>3.9</v>
      </c>
      <c r="J40" s="293">
        <f t="shared" ref="J40" si="62">(I40-G40)/G40*100</f>
        <v>17.117117117117111</v>
      </c>
      <c r="K40" s="124">
        <v>2.92</v>
      </c>
      <c r="L40" s="271">
        <f t="shared" ref="L40" si="63">(K40-G40)/G40*100</f>
        <v>-12.312312312312317</v>
      </c>
      <c r="M40" s="124" t="s">
        <v>331</v>
      </c>
      <c r="N40" s="124" t="s">
        <v>333</v>
      </c>
      <c r="O40" s="137">
        <v>1000000</v>
      </c>
    </row>
    <row r="41" spans="1:15" ht="19" x14ac:dyDescent="0.25">
      <c r="A41" s="124" t="s">
        <v>231</v>
      </c>
      <c r="B41" s="261">
        <v>44050</v>
      </c>
      <c r="C41" s="124">
        <v>1.03</v>
      </c>
      <c r="D41" s="124">
        <v>5.12</v>
      </c>
      <c r="E41" s="264">
        <f t="shared" si="0"/>
        <v>397.08737864077665</v>
      </c>
      <c r="F41" s="137">
        <v>100000000</v>
      </c>
      <c r="G41" s="124">
        <v>4.55</v>
      </c>
      <c r="H41" s="266">
        <f t="shared" si="1"/>
        <v>-11.132812500000005</v>
      </c>
      <c r="I41" s="124">
        <v>4.62</v>
      </c>
      <c r="J41" s="267">
        <f t="shared" si="2"/>
        <v>1.5384615384615448</v>
      </c>
      <c r="K41" s="124">
        <v>3.98</v>
      </c>
      <c r="L41" s="294">
        <f t="shared" si="3"/>
        <v>-12.527472527472524</v>
      </c>
      <c r="M41" s="124" t="s">
        <v>331</v>
      </c>
      <c r="N41" s="124" t="s">
        <v>333</v>
      </c>
      <c r="O41" s="137">
        <v>31000000</v>
      </c>
    </row>
    <row r="42" spans="1:15" ht="19" x14ac:dyDescent="0.25">
      <c r="A42" s="124" t="s">
        <v>349</v>
      </c>
      <c r="B42" s="261">
        <v>44120</v>
      </c>
      <c r="C42" s="124">
        <v>0.53</v>
      </c>
      <c r="D42" s="124">
        <v>2</v>
      </c>
      <c r="E42" s="264">
        <f t="shared" si="0"/>
        <v>277.35849056603769</v>
      </c>
      <c r="F42" s="137">
        <v>60000000</v>
      </c>
      <c r="G42" s="124">
        <v>1.33</v>
      </c>
      <c r="H42" s="266">
        <f t="shared" si="1"/>
        <v>-33.5</v>
      </c>
      <c r="I42" s="124">
        <v>1.49</v>
      </c>
      <c r="J42" s="267">
        <f t="shared" si="2"/>
        <v>12.030075187969919</v>
      </c>
      <c r="K42" s="124">
        <v>1.1599999999999999</v>
      </c>
      <c r="L42" s="294">
        <f t="shared" si="3"/>
        <v>-12.781954887218056</v>
      </c>
      <c r="M42" s="124" t="s">
        <v>331</v>
      </c>
      <c r="N42" s="124" t="s">
        <v>333</v>
      </c>
      <c r="O42" s="137">
        <v>1000000</v>
      </c>
    </row>
    <row r="43" spans="1:15" ht="19" x14ac:dyDescent="0.25">
      <c r="A43" s="124" t="s">
        <v>351</v>
      </c>
      <c r="B43" s="261">
        <v>44019</v>
      </c>
      <c r="C43" s="124">
        <v>2.5499999999999998</v>
      </c>
      <c r="D43" s="124">
        <v>5.15</v>
      </c>
      <c r="E43" s="264">
        <f t="shared" ref="E43:E44" si="64">(D43-C43)/C43*100</f>
        <v>101.96078431372553</v>
      </c>
      <c r="F43" s="137">
        <v>129000000</v>
      </c>
      <c r="G43" s="124">
        <v>4.46</v>
      </c>
      <c r="H43" s="266">
        <f t="shared" ref="H43" si="65">(G43-D43)/D43*100</f>
        <v>-13.398058252427191</v>
      </c>
      <c r="I43" s="124">
        <v>4.54</v>
      </c>
      <c r="J43" s="267">
        <f t="shared" ref="J43" si="66">(I43-G43)/G43*100</f>
        <v>1.793721973094172</v>
      </c>
      <c r="K43" s="124">
        <v>3.87</v>
      </c>
      <c r="L43" s="294">
        <f t="shared" ref="L43:L44" si="67">(K43-G43)/G43*100</f>
        <v>-13.228699551569504</v>
      </c>
      <c r="M43" s="124" t="s">
        <v>331</v>
      </c>
      <c r="N43" s="124" t="s">
        <v>333</v>
      </c>
      <c r="O43" s="137">
        <v>45000000</v>
      </c>
    </row>
    <row r="44" spans="1:15" ht="19" x14ac:dyDescent="0.25">
      <c r="A44" s="124" t="s">
        <v>332</v>
      </c>
      <c r="B44" s="261">
        <v>44080</v>
      </c>
      <c r="C44" s="124">
        <v>0.55000000000000004</v>
      </c>
      <c r="D44" s="124">
        <v>2.06</v>
      </c>
      <c r="E44" s="264">
        <f t="shared" si="64"/>
        <v>274.5454545454545</v>
      </c>
      <c r="F44" s="137">
        <v>250000000</v>
      </c>
      <c r="G44" s="124">
        <v>1.67</v>
      </c>
      <c r="H44" s="292">
        <f>(G44-D44)/D44*100</f>
        <v>-18.932038834951463</v>
      </c>
      <c r="I44" s="124">
        <v>1.77</v>
      </c>
      <c r="J44" s="293">
        <f>(I44-G44)/G44*100</f>
        <v>5.9880239520958138</v>
      </c>
      <c r="K44" s="124">
        <v>1.5</v>
      </c>
      <c r="L44" s="271">
        <f t="shared" si="67"/>
        <v>-10.179640718562871</v>
      </c>
      <c r="M44" s="124" t="s">
        <v>331</v>
      </c>
      <c r="N44" s="124" t="s">
        <v>333</v>
      </c>
      <c r="O44" s="137">
        <v>5000000</v>
      </c>
    </row>
    <row r="45" spans="1:15" ht="19" x14ac:dyDescent="0.25">
      <c r="A45" s="124" t="s">
        <v>175</v>
      </c>
      <c r="B45" s="261">
        <v>44095</v>
      </c>
      <c r="C45" s="124">
        <v>8</v>
      </c>
      <c r="D45" s="124">
        <v>12</v>
      </c>
      <c r="E45" s="264">
        <f t="shared" si="0"/>
        <v>50</v>
      </c>
      <c r="F45" s="137">
        <v>90000000</v>
      </c>
      <c r="G45" s="124">
        <v>10.18</v>
      </c>
      <c r="H45" s="266">
        <f t="shared" si="1"/>
        <v>-15.16666666666667</v>
      </c>
      <c r="I45" s="124">
        <v>10.99</v>
      </c>
      <c r="J45" s="267">
        <f t="shared" si="2"/>
        <v>7.9567779960707323</v>
      </c>
      <c r="K45" s="124">
        <v>9.2899999999999991</v>
      </c>
      <c r="L45" s="294">
        <f t="shared" si="3"/>
        <v>-8.7426326129666077</v>
      </c>
      <c r="M45" s="124" t="s">
        <v>331</v>
      </c>
      <c r="N45" s="124" t="s">
        <v>331</v>
      </c>
      <c r="O45" s="137">
        <v>20000000</v>
      </c>
    </row>
    <row r="46" spans="1:15" ht="19" x14ac:dyDescent="0.25">
      <c r="A46" s="124" t="s">
        <v>353</v>
      </c>
      <c r="B46" s="261">
        <v>44103</v>
      </c>
      <c r="C46" s="124">
        <v>1.74</v>
      </c>
      <c r="D46" s="124">
        <v>4.08</v>
      </c>
      <c r="E46" s="264">
        <f t="shared" si="0"/>
        <v>134.48275862068965</v>
      </c>
      <c r="F46" s="137">
        <v>25000000</v>
      </c>
      <c r="G46" s="124">
        <v>3.14</v>
      </c>
      <c r="H46" s="266">
        <f t="shared" si="1"/>
        <v>-23.03921568627451</v>
      </c>
      <c r="I46" s="124">
        <v>5</v>
      </c>
      <c r="J46" s="267">
        <f t="shared" si="2"/>
        <v>59.235668789808912</v>
      </c>
      <c r="K46" s="124">
        <v>3.09</v>
      </c>
      <c r="L46" s="294">
        <f t="shared" si="3"/>
        <v>-1.5923566878980975</v>
      </c>
      <c r="M46" s="124" t="s">
        <v>346</v>
      </c>
      <c r="N46" s="124" t="s">
        <v>331</v>
      </c>
      <c r="O46" s="137">
        <v>800000</v>
      </c>
    </row>
    <row r="47" spans="1:15" ht="19" x14ac:dyDescent="0.25">
      <c r="A47" s="124" t="s">
        <v>292</v>
      </c>
      <c r="B47" s="261">
        <v>44123</v>
      </c>
      <c r="C47" s="124">
        <v>1.1499999999999999</v>
      </c>
      <c r="D47" s="124">
        <v>1.44</v>
      </c>
      <c r="E47" s="264">
        <f t="shared" si="0"/>
        <v>25.217391304347831</v>
      </c>
      <c r="F47" s="137">
        <v>15000000</v>
      </c>
      <c r="G47" s="124">
        <v>1.29</v>
      </c>
      <c r="H47" s="266">
        <f t="shared" si="1"/>
        <v>-10.416666666666661</v>
      </c>
      <c r="I47" s="124">
        <v>1.2</v>
      </c>
      <c r="J47" s="267">
        <f t="shared" si="2"/>
        <v>-6.9767441860465169</v>
      </c>
      <c r="K47" s="124">
        <v>1.2</v>
      </c>
      <c r="L47" s="294">
        <f t="shared" si="3"/>
        <v>-6.9767441860465169</v>
      </c>
      <c r="M47" s="124" t="s">
        <v>331</v>
      </c>
      <c r="N47" s="124" t="s">
        <v>331</v>
      </c>
      <c r="O47" s="137">
        <v>14000000</v>
      </c>
    </row>
    <row r="48" spans="1:15" ht="19" x14ac:dyDescent="0.25">
      <c r="A48" s="124" t="s">
        <v>746</v>
      </c>
      <c r="B48" s="261">
        <v>44124</v>
      </c>
      <c r="C48" s="124">
        <v>1.08</v>
      </c>
      <c r="D48" s="124">
        <v>1.86</v>
      </c>
      <c r="E48" s="264">
        <f t="shared" si="0"/>
        <v>72.222222222222214</v>
      </c>
      <c r="F48" s="137">
        <v>4300000</v>
      </c>
      <c r="G48" s="124">
        <v>1.6</v>
      </c>
      <c r="H48" s="266">
        <f t="shared" si="1"/>
        <v>-13.978494623655912</v>
      </c>
      <c r="I48" s="124">
        <v>1.77</v>
      </c>
      <c r="J48" s="267">
        <f t="shared" si="2"/>
        <v>10.624999999999996</v>
      </c>
      <c r="K48" s="124">
        <v>1.5</v>
      </c>
      <c r="L48" s="294">
        <f t="shared" si="3"/>
        <v>-6.2500000000000053</v>
      </c>
      <c r="M48" s="124" t="s">
        <v>346</v>
      </c>
      <c r="N48" s="124" t="s">
        <v>331</v>
      </c>
      <c r="O48" s="137">
        <v>16000000</v>
      </c>
    </row>
    <row r="49" spans="1:15" ht="19" x14ac:dyDescent="0.25">
      <c r="A49" s="124" t="s">
        <v>748</v>
      </c>
      <c r="B49" s="261">
        <v>44124</v>
      </c>
      <c r="C49" s="124">
        <v>2.25</v>
      </c>
      <c r="D49" s="124">
        <v>4.45</v>
      </c>
      <c r="E49" s="264">
        <f t="shared" si="0"/>
        <v>97.777777777777786</v>
      </c>
      <c r="F49" s="137">
        <v>4300000</v>
      </c>
      <c r="G49" s="124">
        <v>3.92</v>
      </c>
      <c r="H49" s="266">
        <f t="shared" si="1"/>
        <v>-11.910112359550567</v>
      </c>
      <c r="I49" s="124">
        <v>4.3499999999999996</v>
      </c>
      <c r="J49" s="267">
        <f t="shared" si="2"/>
        <v>10.969387755102034</v>
      </c>
      <c r="K49" s="124">
        <v>3.58</v>
      </c>
      <c r="L49" s="294">
        <f t="shared" si="3"/>
        <v>-8.6734693877550999</v>
      </c>
      <c r="M49" s="124" t="s">
        <v>331</v>
      </c>
      <c r="N49" s="124" t="s">
        <v>331</v>
      </c>
      <c r="O49" s="137">
        <v>1500000</v>
      </c>
    </row>
    <row r="50" spans="1:15" ht="19" x14ac:dyDescent="0.25">
      <c r="A50" s="124" t="s">
        <v>200</v>
      </c>
      <c r="B50" s="261">
        <v>44113</v>
      </c>
      <c r="C50" s="124">
        <v>1.8</v>
      </c>
      <c r="D50" s="124">
        <v>2.41</v>
      </c>
      <c r="E50" s="264">
        <f t="shared" si="0"/>
        <v>33.888888888888893</v>
      </c>
      <c r="F50" s="137">
        <v>55000000</v>
      </c>
      <c r="G50" s="124">
        <v>2.15</v>
      </c>
      <c r="H50" s="266">
        <f t="shared" si="1"/>
        <v>-10.788381742738599</v>
      </c>
      <c r="I50" s="124">
        <v>2.4</v>
      </c>
      <c r="J50" s="293">
        <f t="shared" si="2"/>
        <v>11.627906976744185</v>
      </c>
      <c r="K50" s="124">
        <v>1.97</v>
      </c>
      <c r="L50" s="271">
        <f t="shared" si="3"/>
        <v>-8.3720930232558111</v>
      </c>
      <c r="M50" s="124" t="s">
        <v>335</v>
      </c>
      <c r="N50" s="124" t="s">
        <v>331</v>
      </c>
      <c r="O50" s="137">
        <v>1500000</v>
      </c>
    </row>
    <row r="51" spans="1:15" ht="19" x14ac:dyDescent="0.25">
      <c r="A51" s="124" t="s">
        <v>231</v>
      </c>
      <c r="B51" s="261">
        <v>44047</v>
      </c>
      <c r="C51" s="124">
        <v>1.03</v>
      </c>
      <c r="D51" s="124">
        <v>3.84</v>
      </c>
      <c r="E51" s="264">
        <f t="shared" ref="E51" si="68">(D51-C51)/C51*100</f>
        <v>272.81553398058247</v>
      </c>
      <c r="F51" s="137">
        <v>225000000</v>
      </c>
      <c r="G51" s="124">
        <v>2.99</v>
      </c>
      <c r="H51" s="266">
        <f t="shared" ref="H51" si="69">(G51-D51)/D51*100</f>
        <v>-22.135416666666657</v>
      </c>
      <c r="I51" s="124">
        <v>3.64</v>
      </c>
      <c r="J51" s="267">
        <f t="shared" ref="J51" si="70">(I51-G51)/G51*100</f>
        <v>21.739130434782606</v>
      </c>
      <c r="K51" s="124">
        <v>2.84</v>
      </c>
      <c r="L51" s="294">
        <f t="shared" ref="L51" si="71">(K51-G51)/G51*100</f>
        <v>-5.0167224080267667</v>
      </c>
      <c r="M51" s="124" t="s">
        <v>346</v>
      </c>
      <c r="N51" s="124" t="s">
        <v>331</v>
      </c>
      <c r="O51" s="137">
        <v>31000000</v>
      </c>
    </row>
    <row r="52" spans="1:15" ht="19" x14ac:dyDescent="0.25">
      <c r="A52" s="124" t="s">
        <v>749</v>
      </c>
      <c r="B52" s="261">
        <v>44124</v>
      </c>
      <c r="C52" s="124">
        <v>1.57</v>
      </c>
      <c r="D52" s="124">
        <v>2.56</v>
      </c>
      <c r="E52" s="264">
        <f t="shared" si="0"/>
        <v>63.057324840764331</v>
      </c>
      <c r="F52" s="137">
        <v>37000000</v>
      </c>
      <c r="G52" s="124">
        <v>2.02</v>
      </c>
      <c r="H52" s="266">
        <f t="shared" si="1"/>
        <v>-21.09375</v>
      </c>
      <c r="I52" s="124">
        <v>4.28</v>
      </c>
      <c r="J52" s="267">
        <f t="shared" si="2"/>
        <v>111.88118811881189</v>
      </c>
      <c r="K52" s="124">
        <v>1.99</v>
      </c>
      <c r="L52" s="294">
        <f t="shared" si="3"/>
        <v>-1.4851485148514865</v>
      </c>
      <c r="M52" s="124" t="s">
        <v>333</v>
      </c>
      <c r="N52" s="124" t="s">
        <v>331</v>
      </c>
      <c r="O52" s="137">
        <v>5000000</v>
      </c>
    </row>
    <row r="53" spans="1:15" ht="19" x14ac:dyDescent="0.25">
      <c r="A53" s="124" t="s">
        <v>786</v>
      </c>
      <c r="B53" s="261">
        <v>44126</v>
      </c>
      <c r="C53" s="124">
        <v>1.55</v>
      </c>
      <c r="D53" s="124">
        <v>3.79</v>
      </c>
      <c r="E53" s="264">
        <f t="shared" ref="E53:E56" si="72">(D53-C53)/C53*100</f>
        <v>144.51612903225808</v>
      </c>
      <c r="F53" s="137">
        <v>169000000</v>
      </c>
      <c r="G53" s="124">
        <v>2.67</v>
      </c>
      <c r="H53" s="266">
        <f t="shared" ref="H53:H56" si="73">(G53-D53)/D53*100</f>
        <v>-29.551451187335093</v>
      </c>
      <c r="I53" s="124">
        <v>3.12</v>
      </c>
      <c r="J53" s="267">
        <f t="shared" ref="J53:J56" si="74">(I53-G53)/G53*100</f>
        <v>16.853932584269671</v>
      </c>
      <c r="K53" s="124">
        <v>2.2799999999999998</v>
      </c>
      <c r="L53" s="294">
        <f t="shared" ref="L53:L56" si="75">(K53-G53)/G53*100</f>
        <v>-14.606741573033712</v>
      </c>
      <c r="M53" s="124" t="s">
        <v>331</v>
      </c>
      <c r="N53" s="124" t="s">
        <v>331</v>
      </c>
      <c r="O53" s="137">
        <v>30000000</v>
      </c>
    </row>
    <row r="54" spans="1:15" ht="19" x14ac:dyDescent="0.25">
      <c r="A54" s="124" t="s">
        <v>759</v>
      </c>
      <c r="B54" s="261">
        <v>44127</v>
      </c>
      <c r="C54" s="124">
        <v>2.46</v>
      </c>
      <c r="D54" s="124">
        <v>3.91</v>
      </c>
      <c r="E54" s="264">
        <f t="shared" si="72"/>
        <v>58.943089430894311</v>
      </c>
      <c r="F54" s="137">
        <v>1400000</v>
      </c>
      <c r="G54" s="124">
        <v>2.88</v>
      </c>
      <c r="H54" s="266">
        <f t="shared" si="73"/>
        <v>-26.34271099744246</v>
      </c>
      <c r="I54" s="124">
        <v>3.48</v>
      </c>
      <c r="J54" s="267">
        <f t="shared" si="74"/>
        <v>20.833333333333336</v>
      </c>
      <c r="K54" s="124">
        <v>2.9</v>
      </c>
      <c r="L54" s="294">
        <f t="shared" si="75"/>
        <v>0.69444444444444509</v>
      </c>
      <c r="M54" s="124" t="s">
        <v>333</v>
      </c>
      <c r="N54" s="124" t="s">
        <v>331</v>
      </c>
      <c r="O54" s="137">
        <v>1000000</v>
      </c>
    </row>
    <row r="55" spans="1:15" ht="19" x14ac:dyDescent="0.25">
      <c r="A55" s="124" t="s">
        <v>829</v>
      </c>
      <c r="B55" s="261">
        <v>44131</v>
      </c>
      <c r="C55" s="124">
        <v>4.05</v>
      </c>
      <c r="D55" s="124">
        <v>6.86</v>
      </c>
      <c r="E55" s="264">
        <f t="shared" si="72"/>
        <v>69.382716049382736</v>
      </c>
      <c r="F55" s="137">
        <v>119000000</v>
      </c>
      <c r="G55" s="124">
        <v>6.1</v>
      </c>
      <c r="H55" s="266">
        <f t="shared" si="73"/>
        <v>-11.078717201166191</v>
      </c>
      <c r="I55" s="124">
        <v>6.55</v>
      </c>
      <c r="J55" s="267">
        <f t="shared" si="74"/>
        <v>7.377049180327873</v>
      </c>
      <c r="K55" s="124">
        <v>5.67</v>
      </c>
      <c r="L55" s="294">
        <f t="shared" si="75"/>
        <v>-7.0491803278688483</v>
      </c>
      <c r="M55" s="124" t="s">
        <v>331</v>
      </c>
      <c r="N55" s="124" t="s">
        <v>331</v>
      </c>
      <c r="O55" s="137">
        <v>3000000</v>
      </c>
    </row>
    <row r="56" spans="1:15" ht="19" x14ac:dyDescent="0.25">
      <c r="A56" s="124" t="s">
        <v>498</v>
      </c>
      <c r="B56" s="261">
        <v>44140</v>
      </c>
      <c r="C56" s="124">
        <v>6.36</v>
      </c>
      <c r="D56" s="124">
        <v>17.11</v>
      </c>
      <c r="E56" s="264">
        <f t="shared" si="72"/>
        <v>169.0251572327044</v>
      </c>
      <c r="F56" s="137">
        <v>26000000</v>
      </c>
      <c r="G56" s="124">
        <v>14.82</v>
      </c>
      <c r="H56" s="266">
        <f t="shared" si="73"/>
        <v>-13.383985973115134</v>
      </c>
      <c r="I56" s="124">
        <v>26.25</v>
      </c>
      <c r="J56" s="267">
        <f t="shared" si="74"/>
        <v>77.125506072874501</v>
      </c>
      <c r="K56" s="124">
        <v>13.98</v>
      </c>
      <c r="L56" s="294">
        <f t="shared" si="75"/>
        <v>-5.6680161943319822</v>
      </c>
      <c r="M56" s="124" t="s">
        <v>333</v>
      </c>
      <c r="N56" s="124" t="s">
        <v>331</v>
      </c>
      <c r="O56" s="137">
        <v>2000000</v>
      </c>
    </row>
    <row r="57" spans="1:15" ht="21" x14ac:dyDescent="0.25">
      <c r="A57" s="139" t="s">
        <v>108</v>
      </c>
      <c r="B57" s="139" t="s">
        <v>107</v>
      </c>
      <c r="C57" s="139" t="s">
        <v>323</v>
      </c>
      <c r="D57" s="139" t="s">
        <v>324</v>
      </c>
      <c r="E57" s="139" t="s">
        <v>154</v>
      </c>
      <c r="F57" s="139" t="s">
        <v>155</v>
      </c>
      <c r="G57" s="263" t="s">
        <v>325</v>
      </c>
      <c r="H57" s="263" t="s">
        <v>326</v>
      </c>
      <c r="I57" s="263" t="s">
        <v>158</v>
      </c>
      <c r="J57" s="263" t="s">
        <v>159</v>
      </c>
      <c r="K57" s="139" t="s">
        <v>327</v>
      </c>
      <c r="L57" s="139" t="s">
        <v>328</v>
      </c>
      <c r="M57" s="291" t="s">
        <v>329</v>
      </c>
      <c r="N57" s="285" t="s">
        <v>330</v>
      </c>
      <c r="O57" s="285" t="s">
        <v>163</v>
      </c>
    </row>
    <row r="58" spans="1:15" ht="19" x14ac:dyDescent="0.25">
      <c r="A58" s="124" t="s">
        <v>280</v>
      </c>
      <c r="B58" s="124"/>
      <c r="C58" s="124"/>
      <c r="D58" s="124"/>
      <c r="E58" s="264" t="e">
        <f t="shared" si="0"/>
        <v>#DIV/0!</v>
      </c>
      <c r="F58" s="137"/>
      <c r="G58" s="124"/>
      <c r="H58" s="266" t="e">
        <f t="shared" si="1"/>
        <v>#DIV/0!</v>
      </c>
      <c r="I58" s="124"/>
      <c r="J58" s="267" t="e">
        <f t="shared" si="2"/>
        <v>#DIV/0!</v>
      </c>
      <c r="K58" s="124"/>
      <c r="L58" s="294" t="e">
        <f t="shared" si="3"/>
        <v>#DIV/0!</v>
      </c>
      <c r="M58" s="124"/>
      <c r="N58" s="124"/>
      <c r="O58" s="137"/>
    </row>
    <row r="59" spans="1:15" ht="19" x14ac:dyDescent="0.25">
      <c r="A59" s="124" t="s">
        <v>864</v>
      </c>
      <c r="B59" s="124"/>
      <c r="C59" s="124"/>
      <c r="D59" s="124"/>
      <c r="E59" s="264" t="e">
        <f t="shared" si="0"/>
        <v>#DIV/0!</v>
      </c>
      <c r="F59" s="137"/>
      <c r="G59" s="124"/>
      <c r="H59" s="266" t="e">
        <f t="shared" si="1"/>
        <v>#DIV/0!</v>
      </c>
      <c r="I59" s="124"/>
      <c r="J59" s="267" t="e">
        <f t="shared" si="2"/>
        <v>#DIV/0!</v>
      </c>
      <c r="K59" s="124"/>
      <c r="L59" s="294" t="e">
        <f t="shared" si="3"/>
        <v>#DIV/0!</v>
      </c>
      <c r="M59" s="124"/>
      <c r="N59" s="124"/>
      <c r="O59" s="137"/>
    </row>
    <row r="60" spans="1:15" ht="19" x14ac:dyDescent="0.25">
      <c r="A60" s="124" t="s">
        <v>883</v>
      </c>
      <c r="B60" s="124"/>
      <c r="C60" s="124"/>
      <c r="D60" s="124"/>
      <c r="E60" s="264" t="e">
        <f t="shared" si="0"/>
        <v>#DIV/0!</v>
      </c>
      <c r="F60" s="137"/>
      <c r="G60" s="124"/>
      <c r="H60" s="266" t="e">
        <f t="shared" si="1"/>
        <v>#DIV/0!</v>
      </c>
      <c r="I60" s="124"/>
      <c r="J60" s="267" t="e">
        <f t="shared" si="2"/>
        <v>#DIV/0!</v>
      </c>
      <c r="K60" s="124"/>
      <c r="L60" s="294" t="e">
        <f t="shared" si="3"/>
        <v>#DIV/0!</v>
      </c>
      <c r="M60" s="124"/>
      <c r="N60" s="124"/>
      <c r="O60" s="137"/>
    </row>
    <row r="61" spans="1:15" ht="19" x14ac:dyDescent="0.25">
      <c r="A61" s="124" t="s">
        <v>886</v>
      </c>
      <c r="B61" s="124"/>
      <c r="C61" s="124"/>
      <c r="D61" s="124"/>
      <c r="E61" s="264" t="e">
        <f t="shared" si="0"/>
        <v>#DIV/0!</v>
      </c>
      <c r="F61" s="124"/>
      <c r="G61" s="124"/>
      <c r="H61" s="266" t="e">
        <f t="shared" si="1"/>
        <v>#DIV/0!</v>
      </c>
      <c r="I61" s="124"/>
      <c r="J61" s="267" t="e">
        <f t="shared" si="2"/>
        <v>#DIV/0!</v>
      </c>
      <c r="K61" s="124"/>
      <c r="L61" s="294" t="e">
        <f t="shared" si="3"/>
        <v>#DIV/0!</v>
      </c>
      <c r="M61" s="124"/>
      <c r="N61" s="124"/>
      <c r="O61" s="137"/>
    </row>
    <row r="62" spans="1:15" ht="19" x14ac:dyDescent="0.25">
      <c r="A62" s="124" t="s">
        <v>243</v>
      </c>
      <c r="B62" s="124"/>
      <c r="C62" s="124"/>
      <c r="D62" s="124"/>
      <c r="E62" s="264" t="e">
        <f t="shared" si="0"/>
        <v>#DIV/0!</v>
      </c>
      <c r="F62" s="124"/>
      <c r="G62" s="124"/>
      <c r="H62" s="266" t="e">
        <f t="shared" si="1"/>
        <v>#DIV/0!</v>
      </c>
      <c r="I62" s="124"/>
      <c r="J62" s="267" t="e">
        <f t="shared" si="2"/>
        <v>#DIV/0!</v>
      </c>
      <c r="K62" s="124"/>
      <c r="L62" s="294" t="e">
        <f t="shared" si="3"/>
        <v>#DIV/0!</v>
      </c>
      <c r="M62" s="124"/>
      <c r="N62" s="124"/>
      <c r="O62" s="137"/>
    </row>
    <row r="63" spans="1:15" ht="19" x14ac:dyDescent="0.25">
      <c r="A63" s="124" t="s">
        <v>888</v>
      </c>
      <c r="B63" s="124"/>
      <c r="C63" s="124"/>
      <c r="D63" s="124"/>
      <c r="E63" s="264" t="e">
        <f t="shared" si="0"/>
        <v>#DIV/0!</v>
      </c>
      <c r="F63" s="124"/>
      <c r="G63" s="124"/>
      <c r="H63" s="266" t="e">
        <f t="shared" si="1"/>
        <v>#DIV/0!</v>
      </c>
      <c r="I63" s="124"/>
      <c r="J63" s="267" t="e">
        <f t="shared" si="2"/>
        <v>#DIV/0!</v>
      </c>
      <c r="K63" s="124"/>
      <c r="L63" s="294" t="e">
        <f t="shared" si="3"/>
        <v>#DIV/0!</v>
      </c>
      <c r="M63" s="124"/>
      <c r="N63" s="124"/>
      <c r="O63" s="137"/>
    </row>
    <row r="64" spans="1:15" ht="19" x14ac:dyDescent="0.25">
      <c r="A64" s="124" t="s">
        <v>862</v>
      </c>
      <c r="B64" s="124"/>
      <c r="C64" s="124"/>
      <c r="D64" s="124"/>
      <c r="E64" s="264" t="e">
        <f t="shared" si="0"/>
        <v>#DIV/0!</v>
      </c>
      <c r="F64" s="124"/>
      <c r="G64" s="124"/>
      <c r="H64" s="266" t="e">
        <f t="shared" si="1"/>
        <v>#DIV/0!</v>
      </c>
      <c r="I64" s="124"/>
      <c r="J64" s="267" t="e">
        <f t="shared" si="2"/>
        <v>#DIV/0!</v>
      </c>
      <c r="K64" s="124"/>
      <c r="L64" s="294" t="e">
        <f t="shared" si="3"/>
        <v>#DIV/0!</v>
      </c>
      <c r="M64" s="124"/>
      <c r="N64" s="124"/>
      <c r="O64" s="137"/>
    </row>
    <row r="65" spans="1:15" ht="19" x14ac:dyDescent="0.25">
      <c r="A65" s="124" t="s">
        <v>772</v>
      </c>
      <c r="B65" s="124"/>
      <c r="C65" s="124"/>
      <c r="D65" s="124"/>
      <c r="E65" s="124"/>
      <c r="F65" s="124"/>
      <c r="G65" s="124"/>
      <c r="H65" s="124"/>
      <c r="I65" s="124"/>
      <c r="J65" s="267" t="e">
        <f t="shared" si="2"/>
        <v>#DIV/0!</v>
      </c>
      <c r="K65" s="124"/>
      <c r="L65" s="294" t="e">
        <f t="shared" si="3"/>
        <v>#DIV/0!</v>
      </c>
      <c r="M65" s="124"/>
      <c r="N65" s="124"/>
      <c r="O65" s="137"/>
    </row>
    <row r="66" spans="1:15" ht="19" x14ac:dyDescent="0.25">
      <c r="A66" s="124"/>
      <c r="B66" s="124"/>
      <c r="C66" s="124"/>
      <c r="D66" s="124"/>
      <c r="E66" s="124"/>
      <c r="F66" s="124"/>
      <c r="G66" s="124"/>
      <c r="H66" s="124"/>
      <c r="I66" s="124"/>
      <c r="J66" s="124"/>
      <c r="K66" s="124"/>
      <c r="L66" s="294" t="e">
        <f t="shared" si="3"/>
        <v>#DIV/0!</v>
      </c>
      <c r="M66" s="124"/>
      <c r="N66" s="124"/>
      <c r="O66" s="137"/>
    </row>
    <row r="67" spans="1:15" ht="19" x14ac:dyDescent="0.25">
      <c r="A67" s="124"/>
      <c r="B67" s="124"/>
      <c r="C67" s="124"/>
      <c r="D67" s="124"/>
      <c r="E67" s="124"/>
      <c r="F67" s="124"/>
      <c r="G67" s="124"/>
      <c r="H67" s="124"/>
      <c r="I67" s="124"/>
      <c r="J67" s="124"/>
      <c r="K67" s="124"/>
      <c r="L67" s="294" t="e">
        <f t="shared" ref="L67" si="76">(K67-G67)/G67*100</f>
        <v>#DIV/0!</v>
      </c>
      <c r="M67" s="124"/>
      <c r="N67" s="124"/>
      <c r="O67" s="137"/>
    </row>
    <row r="68" spans="1:15" ht="19" x14ac:dyDescent="0.25">
      <c r="A68" s="124"/>
      <c r="B68" s="124"/>
      <c r="C68" s="124"/>
      <c r="D68" s="124"/>
      <c r="E68" s="124"/>
      <c r="F68" s="124"/>
      <c r="G68" s="124"/>
      <c r="H68" s="124"/>
      <c r="I68" s="124"/>
      <c r="J68" s="124"/>
      <c r="K68" s="124"/>
      <c r="L68" s="295"/>
      <c r="M68" s="3"/>
      <c r="N68" s="3"/>
      <c r="O68" s="44"/>
    </row>
    <row r="69" spans="1:15" ht="19" x14ac:dyDescent="0.25">
      <c r="A69" s="124"/>
      <c r="B69" s="124"/>
      <c r="C69" s="124"/>
      <c r="D69" s="124"/>
      <c r="E69" s="124"/>
      <c r="F69" s="124"/>
      <c r="G69" s="124"/>
      <c r="H69" s="124"/>
      <c r="I69" s="124"/>
      <c r="J69" s="124"/>
      <c r="K69" s="124"/>
      <c r="L69" s="295"/>
      <c r="M69" s="3"/>
      <c r="N69" s="3"/>
      <c r="O69" s="44"/>
    </row>
    <row r="70" spans="1:15" ht="19" x14ac:dyDescent="0.25">
      <c r="A70" s="124"/>
      <c r="B70" s="124"/>
      <c r="C70" s="124"/>
      <c r="D70" s="124"/>
      <c r="E70" s="124"/>
      <c r="F70" s="124"/>
      <c r="G70" s="124"/>
      <c r="H70" s="124"/>
      <c r="I70" s="124"/>
      <c r="J70" s="124"/>
      <c r="K70" s="124"/>
      <c r="L70" s="295"/>
      <c r="M70" s="3"/>
      <c r="N70" s="3"/>
      <c r="O70" s="44"/>
    </row>
    <row r="71" spans="1:15" ht="19" x14ac:dyDescent="0.25">
      <c r="A71" s="124"/>
      <c r="B71" s="124"/>
      <c r="C71" s="124"/>
      <c r="D71" s="124"/>
      <c r="E71" s="124"/>
      <c r="F71" s="124"/>
      <c r="G71" s="124"/>
      <c r="H71" s="124"/>
      <c r="I71" s="124"/>
      <c r="J71" s="124"/>
      <c r="K71" s="124"/>
      <c r="L71" s="295"/>
      <c r="M71" s="3"/>
      <c r="N71" s="3"/>
      <c r="O71" s="44"/>
    </row>
    <row r="72" spans="1:15" ht="19" x14ac:dyDescent="0.25">
      <c r="A72" s="124"/>
      <c r="B72" s="124"/>
      <c r="C72" s="124"/>
      <c r="D72" s="124"/>
      <c r="E72" s="124"/>
      <c r="F72" s="124"/>
      <c r="G72" s="124"/>
      <c r="H72" s="124"/>
      <c r="I72" s="124"/>
      <c r="J72" s="124"/>
      <c r="K72" s="124"/>
      <c r="L72" s="295"/>
      <c r="M72" s="3"/>
      <c r="N72" s="3"/>
      <c r="O72" s="44"/>
    </row>
    <row r="73" spans="1:15" ht="19" x14ac:dyDescent="0.25">
      <c r="A73" s="124"/>
      <c r="B73" s="124"/>
      <c r="C73" s="124"/>
      <c r="D73" s="124"/>
      <c r="E73" s="124"/>
      <c r="F73" s="124"/>
      <c r="G73" s="124"/>
      <c r="H73" s="124"/>
      <c r="I73" s="124"/>
      <c r="J73" s="124"/>
      <c r="K73" s="124"/>
      <c r="L73" s="295"/>
      <c r="M73" s="3"/>
      <c r="N73" s="3"/>
      <c r="O73" s="44"/>
    </row>
    <row r="74" spans="1:15" ht="19" x14ac:dyDescent="0.25">
      <c r="A74" s="124"/>
      <c r="B74" s="124"/>
      <c r="C74" s="124"/>
      <c r="D74" s="124"/>
      <c r="E74" s="124"/>
      <c r="F74" s="124"/>
      <c r="G74" s="124"/>
      <c r="H74" s="124"/>
      <c r="I74" s="124"/>
      <c r="J74" s="124"/>
      <c r="K74" s="124"/>
      <c r="L74" s="295"/>
      <c r="M74" s="3"/>
      <c r="N74" s="3"/>
      <c r="O74" s="44"/>
    </row>
    <row r="75" spans="1:15" ht="19" x14ac:dyDescent="0.25">
      <c r="A75" s="124"/>
      <c r="B75" s="124"/>
      <c r="C75" s="124"/>
      <c r="D75" s="124"/>
      <c r="E75" s="124"/>
      <c r="F75" s="124"/>
      <c r="G75" s="124"/>
      <c r="H75" s="124"/>
      <c r="I75" s="124"/>
      <c r="J75" s="124"/>
      <c r="K75" s="124"/>
      <c r="L75" s="295"/>
      <c r="M75" s="3"/>
      <c r="N75" s="3"/>
      <c r="O75" s="44"/>
    </row>
    <row r="76" spans="1:15" ht="19" x14ac:dyDescent="0.25">
      <c r="A76" s="124"/>
      <c r="B76" s="124"/>
      <c r="C76" s="124"/>
      <c r="D76" s="124"/>
      <c r="E76" s="124"/>
      <c r="F76" s="124"/>
      <c r="G76" s="124"/>
      <c r="H76" s="124"/>
      <c r="I76" s="124"/>
      <c r="J76" s="124"/>
      <c r="K76" s="124"/>
      <c r="L76" s="295"/>
      <c r="M76" s="3"/>
      <c r="N76" s="3"/>
      <c r="O76" s="44"/>
    </row>
    <row r="77" spans="1:15" ht="19" x14ac:dyDescent="0.25">
      <c r="A77" s="124"/>
      <c r="B77" s="124"/>
      <c r="C77" s="124"/>
      <c r="D77" s="124"/>
      <c r="E77" s="124"/>
      <c r="F77" s="124"/>
      <c r="G77" s="124"/>
      <c r="H77" s="124"/>
      <c r="I77" s="124"/>
      <c r="J77" s="124"/>
      <c r="K77" s="124"/>
      <c r="L77" s="295"/>
      <c r="M77" s="3"/>
      <c r="N77" s="3"/>
      <c r="O77" s="44"/>
    </row>
    <row r="78" spans="1:15" ht="19" x14ac:dyDescent="0.25">
      <c r="A78" s="124"/>
      <c r="B78" s="124"/>
      <c r="C78" s="124"/>
      <c r="D78" s="124"/>
      <c r="E78" s="124"/>
      <c r="F78" s="124"/>
      <c r="G78" s="124"/>
      <c r="H78" s="124"/>
      <c r="I78" s="124"/>
      <c r="J78" s="124"/>
      <c r="K78" s="124"/>
      <c r="L78" s="295"/>
      <c r="M78" s="3"/>
      <c r="N78" s="3"/>
      <c r="O78" s="44"/>
    </row>
    <row r="79" spans="1:15" ht="19" x14ac:dyDescent="0.25">
      <c r="A79" s="124"/>
      <c r="B79" s="124"/>
      <c r="C79" s="124"/>
      <c r="D79" s="124"/>
      <c r="E79" s="124"/>
      <c r="F79" s="124"/>
      <c r="G79" s="124"/>
      <c r="H79" s="124"/>
      <c r="I79" s="124"/>
      <c r="J79" s="124"/>
      <c r="K79" s="124"/>
      <c r="L79" s="295"/>
      <c r="M79" s="3"/>
      <c r="N79" s="3"/>
      <c r="O79" s="44"/>
    </row>
    <row r="80" spans="1:15" ht="19" x14ac:dyDescent="0.25">
      <c r="A80" s="124"/>
      <c r="B80" s="124"/>
      <c r="C80" s="124"/>
      <c r="D80" s="124"/>
      <c r="E80" s="124"/>
      <c r="F80" s="124"/>
      <c r="G80" s="124"/>
      <c r="H80" s="124"/>
      <c r="I80" s="124"/>
      <c r="J80" s="124"/>
      <c r="K80" s="124"/>
      <c r="L80" s="295"/>
      <c r="M80" s="3"/>
      <c r="N80" s="3"/>
      <c r="O80" s="44"/>
    </row>
    <row r="81" spans="1:15" ht="19" x14ac:dyDescent="0.25">
      <c r="A81" s="124"/>
      <c r="B81" s="124"/>
      <c r="C81" s="124"/>
      <c r="D81" s="124"/>
      <c r="E81" s="124"/>
      <c r="F81" s="124"/>
      <c r="G81" s="124"/>
      <c r="H81" s="124"/>
      <c r="I81" s="124"/>
      <c r="J81" s="124"/>
      <c r="K81" s="124"/>
      <c r="L81" s="295"/>
      <c r="M81" s="3"/>
      <c r="N81" s="3"/>
      <c r="O81" s="44"/>
    </row>
    <row r="82" spans="1:15" ht="19" x14ac:dyDescent="0.25">
      <c r="A82" s="124"/>
      <c r="B82" s="124"/>
      <c r="C82" s="124"/>
      <c r="D82" s="124"/>
      <c r="E82" s="124"/>
      <c r="F82" s="124"/>
      <c r="G82" s="124"/>
      <c r="H82" s="124"/>
      <c r="I82" s="124"/>
      <c r="J82" s="124"/>
      <c r="K82" s="124"/>
      <c r="L82" s="295"/>
      <c r="M82" s="3"/>
      <c r="N82" s="3"/>
      <c r="O82" s="44"/>
    </row>
    <row r="83" spans="1:15" ht="19" x14ac:dyDescent="0.25">
      <c r="A83" s="124"/>
      <c r="B83" s="124"/>
      <c r="C83" s="124"/>
      <c r="D83" s="124"/>
      <c r="E83" s="124"/>
      <c r="F83" s="124"/>
      <c r="G83" s="124"/>
      <c r="H83" s="124"/>
      <c r="I83" s="124"/>
      <c r="J83" s="124"/>
      <c r="K83" s="124"/>
      <c r="L83" s="295"/>
      <c r="M83" s="3"/>
      <c r="N83" s="3"/>
      <c r="O83" s="44"/>
    </row>
    <row r="84" spans="1:15" ht="19" x14ac:dyDescent="0.25">
      <c r="A84" s="124"/>
      <c r="B84" s="124"/>
      <c r="C84" s="124"/>
      <c r="D84" s="124"/>
      <c r="E84" s="124"/>
      <c r="F84" s="124"/>
      <c r="G84" s="124"/>
      <c r="H84" s="124"/>
      <c r="I84" s="124"/>
      <c r="J84" s="124"/>
      <c r="K84" s="124"/>
      <c r="L84" s="295"/>
      <c r="M84" s="3"/>
      <c r="N84" s="3"/>
      <c r="O84" s="44"/>
    </row>
    <row r="85" spans="1:15" ht="19" x14ac:dyDescent="0.25">
      <c r="A85" s="124"/>
      <c r="B85" s="124"/>
      <c r="C85" s="124"/>
      <c r="D85" s="124"/>
      <c r="E85" s="124"/>
      <c r="F85" s="124"/>
      <c r="G85" s="124"/>
      <c r="H85" s="124"/>
      <c r="I85" s="124"/>
      <c r="J85" s="124"/>
      <c r="K85" s="124"/>
      <c r="L85" s="295"/>
      <c r="M85" s="3"/>
      <c r="N85" s="3"/>
      <c r="O85" s="44"/>
    </row>
    <row r="86" spans="1:15" ht="19" x14ac:dyDescent="0.25">
      <c r="A86" s="124"/>
      <c r="B86" s="124"/>
      <c r="C86" s="124"/>
      <c r="D86" s="124"/>
      <c r="E86" s="124"/>
      <c r="F86" s="124"/>
      <c r="G86" s="124"/>
      <c r="H86" s="124"/>
      <c r="I86" s="124"/>
      <c r="J86" s="124"/>
      <c r="K86" s="124"/>
      <c r="L86" s="295"/>
      <c r="M86" s="3"/>
      <c r="N86" s="3"/>
      <c r="O86" s="44"/>
    </row>
    <row r="87" spans="1:15" ht="19" x14ac:dyDescent="0.25">
      <c r="A87" s="124"/>
      <c r="B87" s="124"/>
      <c r="C87" s="124"/>
      <c r="D87" s="124"/>
      <c r="E87" s="124"/>
      <c r="F87" s="124"/>
      <c r="G87" s="124"/>
      <c r="H87" s="124"/>
      <c r="I87" s="124"/>
      <c r="J87" s="124"/>
      <c r="K87" s="124"/>
      <c r="L87" s="295"/>
      <c r="M87" s="3"/>
      <c r="N87" s="3"/>
      <c r="O87" s="44"/>
    </row>
    <row r="88" spans="1:15" ht="19" x14ac:dyDescent="0.25">
      <c r="A88" s="124"/>
      <c r="B88" s="124"/>
      <c r="C88" s="124"/>
      <c r="D88" s="124"/>
      <c r="E88" s="124"/>
      <c r="F88" s="124"/>
      <c r="G88" s="124"/>
      <c r="H88" s="124"/>
      <c r="I88" s="124"/>
      <c r="J88" s="124"/>
      <c r="K88" s="124"/>
      <c r="L88" s="295"/>
      <c r="M88" s="3"/>
      <c r="N88" s="3"/>
      <c r="O88" s="44"/>
    </row>
    <row r="89" spans="1:15" ht="19" x14ac:dyDescent="0.25">
      <c r="A89" s="124"/>
      <c r="B89" s="124"/>
      <c r="C89" s="124"/>
      <c r="D89" s="124"/>
      <c r="E89" s="124"/>
      <c r="F89" s="124"/>
      <c r="G89" s="124"/>
      <c r="H89" s="124"/>
      <c r="I89" s="124"/>
      <c r="J89" s="124"/>
      <c r="K89" s="124"/>
      <c r="L89" s="295"/>
      <c r="M89" s="3"/>
      <c r="N89" s="3"/>
      <c r="O89" s="44"/>
    </row>
    <row r="90" spans="1:15" ht="19" x14ac:dyDescent="0.25">
      <c r="A90" s="124"/>
      <c r="B90" s="124"/>
      <c r="C90" s="124"/>
      <c r="D90" s="124"/>
      <c r="E90" s="124"/>
      <c r="F90" s="124"/>
      <c r="G90" s="124"/>
      <c r="H90" s="124"/>
      <c r="I90" s="124"/>
      <c r="J90" s="124"/>
      <c r="K90" s="124"/>
      <c r="L90" s="295"/>
      <c r="M90" s="3"/>
      <c r="N90" s="3"/>
      <c r="O90" s="44"/>
    </row>
    <row r="91" spans="1:15" ht="19" x14ac:dyDescent="0.25">
      <c r="A91" s="124"/>
      <c r="B91" s="124"/>
      <c r="C91" s="124"/>
      <c r="D91" s="124"/>
      <c r="E91" s="124"/>
      <c r="F91" s="124"/>
      <c r="G91" s="124"/>
      <c r="H91" s="124"/>
      <c r="I91" s="124"/>
      <c r="J91" s="124"/>
      <c r="K91" s="124"/>
      <c r="L91" s="295"/>
      <c r="M91" s="3"/>
      <c r="N91" s="3"/>
      <c r="O91" s="44"/>
    </row>
    <row r="92" spans="1:15" ht="19" x14ac:dyDescent="0.25">
      <c r="A92" s="124"/>
      <c r="B92" s="124"/>
      <c r="C92" s="124"/>
      <c r="D92" s="124"/>
      <c r="E92" s="124"/>
      <c r="F92" s="124"/>
      <c r="G92" s="124"/>
      <c r="H92" s="124"/>
      <c r="I92" s="124"/>
      <c r="J92" s="124"/>
      <c r="K92" s="124"/>
      <c r="L92" s="295"/>
      <c r="M92" s="3"/>
      <c r="N92" s="3"/>
      <c r="O92" s="44"/>
    </row>
    <row r="93" spans="1:15" ht="19" x14ac:dyDescent="0.25">
      <c r="A93" s="124"/>
      <c r="B93" s="124"/>
      <c r="C93" s="124"/>
      <c r="D93" s="124"/>
      <c r="E93" s="124"/>
      <c r="F93" s="124"/>
      <c r="G93" s="124"/>
      <c r="H93" s="124"/>
      <c r="I93" s="124"/>
      <c r="J93" s="124"/>
      <c r="K93" s="124"/>
      <c r="L93" s="295"/>
      <c r="M93" s="3"/>
      <c r="N93" s="3"/>
      <c r="O93" s="44"/>
    </row>
    <row r="94" spans="1:15" ht="19" x14ac:dyDescent="0.25">
      <c r="A94" s="124"/>
      <c r="B94" s="124"/>
      <c r="C94" s="124"/>
      <c r="D94" s="124"/>
      <c r="E94" s="124"/>
      <c r="F94" s="124"/>
      <c r="G94" s="124"/>
      <c r="H94" s="124"/>
      <c r="I94" s="124"/>
      <c r="J94" s="124"/>
      <c r="K94" s="124"/>
      <c r="L94" s="295"/>
      <c r="M94" s="3"/>
      <c r="N94" s="3"/>
      <c r="O94" s="44"/>
    </row>
    <row r="95" spans="1:15" ht="19" x14ac:dyDescent="0.25">
      <c r="A95" s="124"/>
      <c r="B95" s="124"/>
      <c r="C95" s="124"/>
      <c r="D95" s="124"/>
      <c r="E95" s="124"/>
      <c r="F95" s="124"/>
      <c r="G95" s="124"/>
      <c r="H95" s="124"/>
      <c r="I95" s="124"/>
      <c r="J95" s="124"/>
      <c r="K95" s="124"/>
      <c r="L95" s="295"/>
      <c r="M95" s="3"/>
      <c r="N95" s="3"/>
      <c r="O95" s="44"/>
    </row>
    <row r="96" spans="1:15" ht="19" x14ac:dyDescent="0.25">
      <c r="A96" s="124"/>
      <c r="B96" s="124"/>
      <c r="C96" s="124"/>
      <c r="D96" s="124"/>
      <c r="E96" s="124"/>
      <c r="F96" s="124"/>
      <c r="G96" s="124"/>
      <c r="H96" s="124"/>
      <c r="I96" s="124"/>
      <c r="J96" s="124"/>
      <c r="K96" s="124"/>
      <c r="L96" s="295"/>
      <c r="M96" s="3"/>
      <c r="N96" s="3"/>
      <c r="O96" s="44"/>
    </row>
    <row r="97" spans="1:15" ht="19" x14ac:dyDescent="0.25">
      <c r="A97" s="124"/>
      <c r="B97" s="124"/>
      <c r="C97" s="124"/>
      <c r="D97" s="124"/>
      <c r="E97" s="124"/>
      <c r="F97" s="124"/>
      <c r="G97" s="124"/>
      <c r="H97" s="124"/>
      <c r="I97" s="124"/>
      <c r="J97" s="124"/>
      <c r="K97" s="124"/>
      <c r="L97" s="295"/>
      <c r="M97" s="3"/>
      <c r="N97" s="3"/>
      <c r="O97" s="44"/>
    </row>
    <row r="98" spans="1:15" ht="19" x14ac:dyDescent="0.25">
      <c r="A98" s="124"/>
      <c r="B98" s="124"/>
      <c r="C98" s="124"/>
      <c r="D98" s="124"/>
      <c r="E98" s="124"/>
      <c r="F98" s="124"/>
      <c r="G98" s="124"/>
      <c r="H98" s="124"/>
      <c r="I98" s="124"/>
      <c r="J98" s="124"/>
      <c r="K98" s="124"/>
      <c r="L98" s="295"/>
      <c r="M98" s="3"/>
      <c r="N98" s="3"/>
      <c r="O98" s="44"/>
    </row>
    <row r="99" spans="1:15" ht="19" x14ac:dyDescent="0.25">
      <c r="A99" s="124"/>
      <c r="B99" s="124"/>
      <c r="C99" s="124"/>
      <c r="D99" s="124"/>
      <c r="E99" s="124"/>
      <c r="F99" s="124"/>
      <c r="G99" s="124"/>
      <c r="H99" s="124"/>
      <c r="I99" s="124"/>
      <c r="J99" s="124"/>
      <c r="K99" s="124"/>
      <c r="L99" s="295"/>
      <c r="M99" s="3"/>
      <c r="N99" s="3"/>
      <c r="O99" s="44"/>
    </row>
    <row r="100" spans="1:15" ht="19" x14ac:dyDescent="0.25">
      <c r="A100" s="124"/>
      <c r="B100" s="124"/>
      <c r="C100" s="124"/>
      <c r="D100" s="124"/>
      <c r="E100" s="124"/>
      <c r="F100" s="124"/>
      <c r="G100" s="124"/>
      <c r="H100" s="124"/>
      <c r="I100" s="124"/>
      <c r="J100" s="124"/>
      <c r="K100" s="124"/>
      <c r="L100" s="295"/>
      <c r="M100" s="3"/>
      <c r="N100" s="3"/>
      <c r="O100" s="44"/>
    </row>
    <row r="101" spans="1:15" ht="19" x14ac:dyDescent="0.25">
      <c r="A101" s="124"/>
      <c r="B101" s="124"/>
      <c r="C101" s="124"/>
      <c r="D101" s="124"/>
      <c r="E101" s="124"/>
      <c r="F101" s="124"/>
      <c r="G101" s="124"/>
      <c r="H101" s="124"/>
      <c r="I101" s="124"/>
      <c r="J101" s="124"/>
      <c r="K101" s="124"/>
      <c r="L101" s="295"/>
      <c r="M101" s="3"/>
      <c r="N101" s="3"/>
      <c r="O101" s="44"/>
    </row>
    <row r="102" spans="1:15" ht="19" x14ac:dyDescent="0.25">
      <c r="A102" s="124"/>
      <c r="B102" s="124"/>
      <c r="C102" s="124"/>
      <c r="D102" s="124"/>
      <c r="E102" s="124"/>
      <c r="F102" s="124"/>
      <c r="G102" s="124"/>
      <c r="H102" s="124"/>
      <c r="I102" s="124"/>
      <c r="J102" s="124"/>
      <c r="K102" s="124"/>
      <c r="L102" s="295"/>
      <c r="M102" s="3"/>
      <c r="N102" s="3"/>
      <c r="O102" s="44"/>
    </row>
    <row r="103" spans="1:15" ht="19" x14ac:dyDescent="0.25">
      <c r="A103" s="124"/>
      <c r="B103" s="124"/>
      <c r="C103" s="124"/>
      <c r="D103" s="124"/>
      <c r="E103" s="124"/>
      <c r="F103" s="124"/>
      <c r="G103" s="124"/>
      <c r="H103" s="124"/>
      <c r="I103" s="124"/>
      <c r="J103" s="124"/>
      <c r="K103" s="124"/>
      <c r="L103" s="295"/>
      <c r="M103" s="3"/>
      <c r="N103" s="3"/>
      <c r="O103" s="44"/>
    </row>
    <row r="104" spans="1:15" ht="19" x14ac:dyDescent="0.25">
      <c r="A104" s="124"/>
      <c r="B104" s="124"/>
      <c r="C104" s="124"/>
      <c r="D104" s="124"/>
      <c r="E104" s="124"/>
      <c r="F104" s="124"/>
      <c r="G104" s="124"/>
      <c r="H104" s="124"/>
      <c r="I104" s="124"/>
      <c r="J104" s="124"/>
      <c r="K104" s="124"/>
      <c r="L104" s="295"/>
      <c r="M104" s="3"/>
      <c r="N104" s="3"/>
      <c r="O104" s="44"/>
    </row>
    <row r="105" spans="1:15" ht="19" x14ac:dyDescent="0.25">
      <c r="A105" s="124"/>
      <c r="B105" s="124"/>
      <c r="C105" s="124"/>
      <c r="D105" s="124"/>
      <c r="E105" s="124"/>
      <c r="F105" s="124"/>
      <c r="G105" s="124"/>
      <c r="H105" s="124"/>
      <c r="I105" s="124"/>
      <c r="J105" s="124"/>
      <c r="K105" s="124"/>
      <c r="L105" s="295"/>
      <c r="M105" s="3"/>
      <c r="N105" s="3"/>
      <c r="O105" s="44"/>
    </row>
    <row r="106" spans="1:15" ht="19" x14ac:dyDescent="0.25">
      <c r="A106" s="124"/>
      <c r="B106" s="124"/>
      <c r="C106" s="124"/>
      <c r="D106" s="124"/>
      <c r="E106" s="124"/>
      <c r="F106" s="124"/>
      <c r="G106" s="124"/>
      <c r="H106" s="124"/>
      <c r="I106" s="124"/>
      <c r="J106" s="124"/>
      <c r="K106" s="124"/>
      <c r="L106" s="295"/>
      <c r="M106" s="3"/>
      <c r="N106" s="3"/>
      <c r="O106" s="44"/>
    </row>
    <row r="107" spans="1:15" ht="19" x14ac:dyDescent="0.25">
      <c r="A107" s="124"/>
      <c r="B107" s="124"/>
      <c r="C107" s="124"/>
      <c r="D107" s="124"/>
      <c r="E107" s="124"/>
      <c r="F107" s="124"/>
      <c r="G107" s="124"/>
      <c r="H107" s="124"/>
      <c r="I107" s="124"/>
      <c r="J107" s="124"/>
      <c r="K107" s="124"/>
      <c r="L107" s="295"/>
      <c r="M107" s="3"/>
      <c r="N107" s="3"/>
      <c r="O107" s="44"/>
    </row>
    <row r="108" spans="1:15" ht="19" x14ac:dyDescent="0.25">
      <c r="A108" s="124"/>
      <c r="B108" s="124"/>
      <c r="C108" s="124"/>
      <c r="D108" s="124"/>
      <c r="E108" s="124"/>
      <c r="F108" s="124"/>
      <c r="G108" s="124"/>
      <c r="H108" s="124"/>
      <c r="I108" s="124"/>
      <c r="J108" s="124"/>
      <c r="K108" s="124"/>
      <c r="O108" s="92"/>
    </row>
    <row r="109" spans="1:15" ht="19" x14ac:dyDescent="0.25">
      <c r="A109" s="124"/>
      <c r="B109" s="124"/>
      <c r="C109" s="124"/>
      <c r="D109" s="124"/>
      <c r="E109" s="124"/>
      <c r="F109" s="124"/>
      <c r="G109" s="124"/>
      <c r="H109" s="124"/>
      <c r="I109" s="124"/>
      <c r="J109" s="124"/>
      <c r="K109" s="124"/>
      <c r="O109" s="92"/>
    </row>
    <row r="110" spans="1:15" ht="19" x14ac:dyDescent="0.25">
      <c r="A110" s="124"/>
      <c r="B110" s="124"/>
      <c r="C110" s="124"/>
      <c r="D110" s="124"/>
      <c r="E110" s="124"/>
      <c r="F110" s="124"/>
      <c r="G110" s="124"/>
      <c r="H110" s="124"/>
      <c r="I110" s="124"/>
      <c r="J110" s="124"/>
      <c r="K110" s="124"/>
      <c r="O110" s="92"/>
    </row>
    <row r="111" spans="1:15" ht="19" x14ac:dyDescent="0.25">
      <c r="A111" s="124"/>
      <c r="B111" s="124"/>
      <c r="C111" s="124"/>
      <c r="D111" s="124"/>
      <c r="E111" s="124"/>
      <c r="F111" s="124"/>
      <c r="G111" s="124"/>
      <c r="H111" s="124"/>
      <c r="I111" s="124"/>
      <c r="J111" s="124"/>
      <c r="K111" s="124"/>
      <c r="O111" s="92"/>
    </row>
    <row r="112" spans="1:15" ht="19" x14ac:dyDescent="0.25">
      <c r="A112" s="124"/>
      <c r="B112" s="124"/>
      <c r="C112" s="124"/>
      <c r="D112" s="124"/>
      <c r="E112" s="124"/>
      <c r="F112" s="124"/>
      <c r="G112" s="124"/>
      <c r="H112" s="124"/>
      <c r="I112" s="124"/>
      <c r="J112" s="124"/>
      <c r="K112" s="124"/>
      <c r="O112" s="92"/>
    </row>
    <row r="113" spans="1:15" ht="19" x14ac:dyDescent="0.25">
      <c r="A113" s="124"/>
      <c r="B113" s="124"/>
      <c r="C113" s="124"/>
      <c r="D113" s="124"/>
      <c r="E113" s="124"/>
      <c r="F113" s="124"/>
      <c r="G113" s="124"/>
      <c r="H113" s="124"/>
      <c r="I113" s="124"/>
      <c r="J113" s="124"/>
      <c r="K113" s="124"/>
      <c r="O113" s="92"/>
    </row>
    <row r="114" spans="1:15" ht="19" x14ac:dyDescent="0.25">
      <c r="A114" s="124"/>
      <c r="B114" s="124"/>
      <c r="C114" s="124"/>
      <c r="D114" s="124"/>
      <c r="E114" s="124"/>
      <c r="F114" s="124"/>
      <c r="G114" s="124"/>
      <c r="H114" s="124"/>
      <c r="I114" s="124"/>
      <c r="J114" s="124"/>
      <c r="K114" s="124"/>
      <c r="O114" s="92"/>
    </row>
    <row r="115" spans="1:15" ht="19" x14ac:dyDescent="0.25">
      <c r="A115" s="124"/>
      <c r="B115" s="124"/>
      <c r="C115" s="124"/>
      <c r="D115" s="124"/>
      <c r="E115" s="124"/>
      <c r="F115" s="124"/>
      <c r="G115" s="124"/>
      <c r="H115" s="124"/>
      <c r="I115" s="124"/>
      <c r="J115" s="124"/>
      <c r="K115" s="124"/>
      <c r="O115" s="92"/>
    </row>
    <row r="116" spans="1:15" ht="19" x14ac:dyDescent="0.25">
      <c r="A116" s="124"/>
      <c r="B116" s="124"/>
      <c r="C116" s="124"/>
      <c r="D116" s="124"/>
      <c r="E116" s="124"/>
      <c r="F116" s="124"/>
      <c r="G116" s="124"/>
      <c r="H116" s="124"/>
      <c r="I116" s="124"/>
      <c r="J116" s="124"/>
      <c r="K116" s="124"/>
      <c r="O116" s="92"/>
    </row>
    <row r="117" spans="1:15" ht="19" x14ac:dyDescent="0.25">
      <c r="A117" s="124"/>
      <c r="B117" s="124"/>
      <c r="C117" s="124"/>
      <c r="D117" s="124"/>
      <c r="E117" s="124"/>
      <c r="F117" s="124"/>
      <c r="G117" s="124"/>
      <c r="H117" s="124"/>
      <c r="I117" s="124"/>
      <c r="J117" s="124"/>
      <c r="K117" s="124"/>
      <c r="O117" s="92"/>
    </row>
    <row r="118" spans="1:15" ht="19" x14ac:dyDescent="0.25">
      <c r="A118" s="124"/>
      <c r="B118" s="124"/>
      <c r="C118" s="124"/>
      <c r="D118" s="124"/>
      <c r="E118" s="124"/>
      <c r="F118" s="124"/>
      <c r="G118" s="124"/>
      <c r="H118" s="124"/>
      <c r="I118" s="124"/>
      <c r="J118" s="124"/>
      <c r="K118" s="124"/>
      <c r="O118" s="92"/>
    </row>
    <row r="119" spans="1:15" ht="19" x14ac:dyDescent="0.25">
      <c r="A119" s="124"/>
      <c r="B119" s="124"/>
      <c r="C119" s="124"/>
      <c r="D119" s="124"/>
      <c r="E119" s="124"/>
      <c r="F119" s="124"/>
      <c r="G119" s="124"/>
      <c r="H119" s="124"/>
      <c r="I119" s="124"/>
      <c r="J119" s="124"/>
      <c r="K119" s="124"/>
      <c r="O119" s="92"/>
    </row>
    <row r="120" spans="1:15" ht="19" x14ac:dyDescent="0.25">
      <c r="A120" s="124"/>
      <c r="B120" s="124"/>
      <c r="C120" s="124"/>
      <c r="D120" s="124"/>
      <c r="E120" s="124"/>
      <c r="F120" s="124"/>
      <c r="G120" s="124"/>
      <c r="H120" s="124"/>
      <c r="I120" s="124"/>
      <c r="J120" s="124"/>
      <c r="K120" s="124"/>
      <c r="O120" s="92"/>
    </row>
    <row r="121" spans="1:15" ht="19" x14ac:dyDescent="0.25">
      <c r="A121" s="124"/>
      <c r="B121" s="124"/>
      <c r="C121" s="124"/>
      <c r="D121" s="124"/>
      <c r="E121" s="124"/>
      <c r="F121" s="124"/>
      <c r="G121" s="124"/>
      <c r="H121" s="124"/>
      <c r="I121" s="124"/>
      <c r="J121" s="124"/>
      <c r="K121" s="124"/>
      <c r="O121" s="92"/>
    </row>
    <row r="122" spans="1:15" ht="19" x14ac:dyDescent="0.25">
      <c r="A122" s="124"/>
      <c r="B122" s="124"/>
      <c r="C122" s="124"/>
      <c r="D122" s="124"/>
      <c r="E122" s="124"/>
      <c r="F122" s="124"/>
      <c r="G122" s="124"/>
      <c r="H122" s="124"/>
      <c r="I122" s="124"/>
      <c r="J122" s="124"/>
      <c r="K122" s="124"/>
      <c r="O122" s="92"/>
    </row>
    <row r="123" spans="1:15" ht="19" x14ac:dyDescent="0.25">
      <c r="A123" s="124"/>
      <c r="B123" s="124"/>
      <c r="C123" s="124"/>
      <c r="D123" s="124"/>
      <c r="E123" s="124"/>
      <c r="F123" s="124"/>
      <c r="G123" s="124"/>
      <c r="H123" s="124"/>
      <c r="I123" s="124"/>
      <c r="J123" s="124"/>
      <c r="K123" s="124"/>
      <c r="O123" s="92"/>
    </row>
    <row r="124" spans="1:15" ht="19" x14ac:dyDescent="0.25">
      <c r="A124" s="124"/>
      <c r="B124" s="124"/>
      <c r="C124" s="124"/>
      <c r="D124" s="124"/>
      <c r="E124" s="124"/>
      <c r="F124" s="124"/>
      <c r="G124" s="124"/>
      <c r="H124" s="124"/>
      <c r="I124" s="124"/>
      <c r="J124" s="124"/>
      <c r="K124" s="124"/>
      <c r="O124" s="92"/>
    </row>
    <row r="125" spans="1:15" ht="19" x14ac:dyDescent="0.25">
      <c r="A125" s="124"/>
      <c r="B125" s="124"/>
      <c r="C125" s="124"/>
      <c r="D125" s="124"/>
      <c r="E125" s="124"/>
      <c r="F125" s="124"/>
      <c r="G125" s="124"/>
      <c r="H125" s="124"/>
      <c r="I125" s="124"/>
      <c r="J125" s="124"/>
      <c r="K125" s="124"/>
      <c r="O125" s="92"/>
    </row>
    <row r="126" spans="1:15" ht="19" x14ac:dyDescent="0.25">
      <c r="A126" s="124"/>
      <c r="B126" s="124"/>
      <c r="C126" s="124"/>
      <c r="D126" s="124"/>
      <c r="E126" s="124"/>
      <c r="F126" s="124"/>
      <c r="G126" s="124"/>
      <c r="H126" s="124"/>
      <c r="I126" s="124"/>
      <c r="J126" s="124"/>
      <c r="K126" s="124"/>
      <c r="O126" s="92"/>
    </row>
    <row r="127" spans="1:15" ht="19" x14ac:dyDescent="0.25">
      <c r="A127" s="124"/>
      <c r="B127" s="124"/>
      <c r="C127" s="124"/>
      <c r="D127" s="124"/>
      <c r="E127" s="124"/>
      <c r="F127" s="124"/>
      <c r="G127" s="124"/>
      <c r="H127" s="124"/>
      <c r="I127" s="124"/>
      <c r="J127" s="124"/>
      <c r="K127" s="124"/>
      <c r="O127" s="92"/>
    </row>
    <row r="128" spans="1:15" ht="19" x14ac:dyDescent="0.25">
      <c r="A128" s="124"/>
      <c r="B128" s="124"/>
      <c r="C128" s="124"/>
      <c r="D128" s="124"/>
      <c r="E128" s="124"/>
      <c r="F128" s="124"/>
      <c r="G128" s="124"/>
      <c r="H128" s="124"/>
      <c r="I128" s="124"/>
      <c r="J128" s="124"/>
      <c r="K128" s="124"/>
      <c r="O128" s="92"/>
    </row>
    <row r="129" spans="1:15" ht="19" x14ac:dyDescent="0.25">
      <c r="A129" s="124"/>
      <c r="B129" s="124"/>
      <c r="C129" s="124"/>
      <c r="D129" s="124"/>
      <c r="E129" s="124"/>
      <c r="F129" s="124"/>
      <c r="G129" s="124"/>
      <c r="H129" s="124"/>
      <c r="I129" s="124"/>
      <c r="J129" s="124"/>
      <c r="K129" s="124"/>
      <c r="O129" s="92"/>
    </row>
    <row r="130" spans="1:15" ht="19" x14ac:dyDescent="0.25">
      <c r="A130" s="124"/>
      <c r="B130" s="124"/>
      <c r="C130" s="124"/>
      <c r="D130" s="124"/>
      <c r="E130" s="124"/>
      <c r="F130" s="124"/>
      <c r="G130" s="124"/>
      <c r="H130" s="124"/>
      <c r="I130" s="124"/>
      <c r="J130" s="124"/>
      <c r="K130" s="124"/>
      <c r="O130" s="92"/>
    </row>
    <row r="131" spans="1:15" ht="19" x14ac:dyDescent="0.25">
      <c r="A131" s="124"/>
      <c r="B131" s="124"/>
      <c r="C131" s="124"/>
      <c r="D131" s="124"/>
      <c r="E131" s="124"/>
      <c r="F131" s="124"/>
      <c r="G131" s="124"/>
      <c r="H131" s="124"/>
      <c r="I131" s="124"/>
      <c r="J131" s="124"/>
      <c r="K131" s="124"/>
      <c r="O131" s="92"/>
    </row>
    <row r="132" spans="1:15" ht="19" x14ac:dyDescent="0.25">
      <c r="A132" s="124"/>
      <c r="B132" s="124"/>
      <c r="C132" s="124"/>
      <c r="D132" s="124"/>
      <c r="E132" s="124"/>
      <c r="F132" s="124"/>
      <c r="G132" s="124"/>
      <c r="H132" s="124"/>
      <c r="I132" s="124"/>
      <c r="J132" s="124"/>
      <c r="K132" s="124"/>
      <c r="O132" s="92"/>
    </row>
    <row r="133" spans="1:15" ht="19" x14ac:dyDescent="0.25">
      <c r="A133" s="124"/>
      <c r="B133" s="124"/>
      <c r="C133" s="124"/>
      <c r="D133" s="124"/>
      <c r="E133" s="124"/>
      <c r="F133" s="124"/>
      <c r="G133" s="124"/>
      <c r="H133" s="124"/>
      <c r="I133" s="124"/>
      <c r="J133" s="124"/>
      <c r="K133" s="124"/>
      <c r="O133" s="92"/>
    </row>
    <row r="134" spans="1:15" ht="19" x14ac:dyDescent="0.25">
      <c r="A134" s="124"/>
      <c r="B134" s="124"/>
      <c r="C134" s="124"/>
      <c r="D134" s="124"/>
      <c r="E134" s="124"/>
      <c r="F134" s="124"/>
      <c r="G134" s="124"/>
      <c r="H134" s="124"/>
      <c r="I134" s="124"/>
      <c r="J134" s="124"/>
      <c r="K134" s="124"/>
      <c r="O134" s="92"/>
    </row>
    <row r="135" spans="1:15" ht="19" x14ac:dyDescent="0.25">
      <c r="A135" s="124"/>
      <c r="B135" s="124"/>
      <c r="C135" s="124"/>
      <c r="D135" s="124"/>
      <c r="E135" s="124"/>
      <c r="F135" s="124"/>
      <c r="G135" s="124"/>
      <c r="H135" s="124"/>
      <c r="I135" s="124"/>
      <c r="J135" s="124"/>
      <c r="K135" s="124"/>
      <c r="O135" s="92"/>
    </row>
    <row r="136" spans="1:15" ht="19" x14ac:dyDescent="0.25">
      <c r="A136" s="124"/>
      <c r="B136" s="124"/>
      <c r="C136" s="124"/>
      <c r="D136" s="124"/>
      <c r="E136" s="124"/>
      <c r="F136" s="124"/>
      <c r="G136" s="124"/>
      <c r="H136" s="124"/>
      <c r="I136" s="124"/>
      <c r="J136" s="124"/>
      <c r="K136" s="124"/>
      <c r="O136" s="92"/>
    </row>
    <row r="137" spans="1:15" ht="19" x14ac:dyDescent="0.25">
      <c r="A137" s="124"/>
      <c r="B137" s="124"/>
      <c r="C137" s="124"/>
      <c r="D137" s="124"/>
      <c r="E137" s="124"/>
      <c r="F137" s="124"/>
      <c r="G137" s="124"/>
      <c r="H137" s="124"/>
      <c r="I137" s="124"/>
      <c r="J137" s="124"/>
      <c r="K137" s="124"/>
      <c r="O137" s="92"/>
    </row>
    <row r="138" spans="1:15" ht="19" x14ac:dyDescent="0.25">
      <c r="A138" s="124"/>
      <c r="B138" s="124"/>
      <c r="C138" s="124"/>
      <c r="D138" s="124"/>
      <c r="E138" s="124"/>
      <c r="F138" s="124"/>
      <c r="G138" s="124"/>
      <c r="H138" s="124"/>
      <c r="I138" s="124"/>
      <c r="J138" s="124"/>
      <c r="K138" s="124"/>
      <c r="O138" s="92"/>
    </row>
    <row r="139" spans="1:15" ht="19" x14ac:dyDescent="0.25">
      <c r="A139" s="124"/>
      <c r="B139" s="124"/>
      <c r="C139" s="124"/>
      <c r="D139" s="124"/>
      <c r="E139" s="124"/>
      <c r="F139" s="124"/>
      <c r="G139" s="124"/>
      <c r="H139" s="124"/>
      <c r="I139" s="124"/>
      <c r="J139" s="124"/>
      <c r="K139" s="124"/>
      <c r="O139" s="92"/>
    </row>
    <row r="140" spans="1:15" ht="19" x14ac:dyDescent="0.25">
      <c r="A140" s="124"/>
      <c r="B140" s="124"/>
      <c r="C140" s="124"/>
      <c r="D140" s="124"/>
      <c r="E140" s="124"/>
      <c r="F140" s="124"/>
      <c r="G140" s="124"/>
      <c r="H140" s="124"/>
      <c r="I140" s="124"/>
      <c r="J140" s="124"/>
      <c r="K140" s="124"/>
      <c r="O140" s="92"/>
    </row>
    <row r="141" spans="1:15" ht="19" x14ac:dyDescent="0.25">
      <c r="A141" s="124"/>
      <c r="B141" s="124"/>
      <c r="C141" s="124"/>
      <c r="D141" s="124"/>
      <c r="E141" s="124"/>
      <c r="F141" s="124"/>
      <c r="G141" s="124"/>
      <c r="H141" s="124"/>
      <c r="I141" s="124"/>
      <c r="J141" s="124"/>
      <c r="K141" s="124"/>
      <c r="O141" s="92"/>
    </row>
    <row r="142" spans="1:15" ht="19" x14ac:dyDescent="0.25">
      <c r="A142" s="124"/>
      <c r="B142" s="124"/>
      <c r="C142" s="124"/>
      <c r="D142" s="124"/>
      <c r="E142" s="124"/>
      <c r="F142" s="124"/>
      <c r="G142" s="124"/>
      <c r="H142" s="124"/>
      <c r="I142" s="124"/>
      <c r="J142" s="124"/>
      <c r="K142" s="124"/>
      <c r="O142" s="92"/>
    </row>
    <row r="143" spans="1:15" ht="19" x14ac:dyDescent="0.25">
      <c r="A143" s="124"/>
      <c r="B143" s="124"/>
      <c r="C143" s="124"/>
      <c r="D143" s="124"/>
      <c r="E143" s="124"/>
      <c r="F143" s="124"/>
      <c r="G143" s="124"/>
      <c r="H143" s="124"/>
      <c r="I143" s="124"/>
      <c r="J143" s="124"/>
      <c r="K143" s="124"/>
      <c r="O143" s="92"/>
    </row>
    <row r="144" spans="1:15" ht="19" x14ac:dyDescent="0.25">
      <c r="A144" s="124"/>
      <c r="B144" s="124"/>
      <c r="C144" s="124"/>
      <c r="D144" s="124"/>
      <c r="E144" s="124"/>
      <c r="F144" s="124"/>
      <c r="G144" s="124"/>
      <c r="H144" s="124"/>
      <c r="I144" s="124"/>
      <c r="J144" s="124"/>
      <c r="K144" s="124"/>
      <c r="O144" s="92"/>
    </row>
    <row r="145" spans="1:15" ht="19" x14ac:dyDescent="0.25">
      <c r="A145" s="124"/>
      <c r="B145" s="124"/>
      <c r="C145" s="124"/>
      <c r="D145" s="124"/>
      <c r="E145" s="124"/>
      <c r="F145" s="124"/>
      <c r="G145" s="124"/>
      <c r="H145" s="124"/>
      <c r="I145" s="124"/>
      <c r="J145" s="124"/>
      <c r="K145" s="124"/>
      <c r="O145" s="92"/>
    </row>
    <row r="146" spans="1:15" ht="19" x14ac:dyDescent="0.25">
      <c r="A146" s="124"/>
      <c r="B146" s="124"/>
      <c r="C146" s="124"/>
      <c r="D146" s="124"/>
      <c r="E146" s="124"/>
      <c r="F146" s="124"/>
      <c r="G146" s="124"/>
      <c r="H146" s="124"/>
      <c r="I146" s="124"/>
      <c r="J146" s="124"/>
      <c r="K146" s="124"/>
      <c r="O146" s="92"/>
    </row>
    <row r="147" spans="1:15" ht="19" x14ac:dyDescent="0.25">
      <c r="A147" s="124"/>
      <c r="B147" s="124"/>
      <c r="C147" s="124"/>
      <c r="D147" s="124"/>
      <c r="E147" s="124"/>
      <c r="F147" s="124"/>
      <c r="G147" s="124"/>
      <c r="H147" s="124"/>
      <c r="I147" s="124"/>
      <c r="J147" s="124"/>
      <c r="K147" s="124"/>
      <c r="O147" s="92"/>
    </row>
    <row r="148" spans="1:15" ht="19" x14ac:dyDescent="0.25">
      <c r="A148" s="124"/>
      <c r="B148" s="124"/>
      <c r="C148" s="124"/>
      <c r="D148" s="124"/>
      <c r="E148" s="124"/>
      <c r="F148" s="124"/>
      <c r="G148" s="124"/>
      <c r="H148" s="124"/>
      <c r="I148" s="124"/>
      <c r="J148" s="124"/>
      <c r="K148" s="124"/>
      <c r="O148" s="92"/>
    </row>
    <row r="149" spans="1:15" ht="19" x14ac:dyDescent="0.25">
      <c r="A149" s="124"/>
      <c r="B149" s="124"/>
      <c r="C149" s="124"/>
      <c r="D149" s="124"/>
      <c r="E149" s="124"/>
      <c r="F149" s="124"/>
      <c r="G149" s="124"/>
      <c r="H149" s="124"/>
      <c r="I149" s="124"/>
      <c r="J149" s="124"/>
      <c r="K149" s="124"/>
      <c r="O149" s="92"/>
    </row>
    <row r="150" spans="1:15" ht="19" x14ac:dyDescent="0.25">
      <c r="A150" s="124"/>
      <c r="B150" s="124"/>
      <c r="C150" s="124"/>
      <c r="D150" s="124"/>
      <c r="E150" s="124"/>
      <c r="F150" s="124"/>
      <c r="G150" s="124"/>
      <c r="H150" s="124"/>
      <c r="I150" s="124"/>
      <c r="J150" s="124"/>
      <c r="K150" s="124"/>
      <c r="O150" s="92"/>
    </row>
    <row r="151" spans="1:15" x14ac:dyDescent="0.2">
      <c r="O151" s="92"/>
    </row>
    <row r="152" spans="1:15" x14ac:dyDescent="0.2">
      <c r="O152" s="92"/>
    </row>
    <row r="153" spans="1:15" x14ac:dyDescent="0.2">
      <c r="O153" s="92"/>
    </row>
    <row r="154" spans="1:15" x14ac:dyDescent="0.2">
      <c r="O154" s="92"/>
    </row>
    <row r="155" spans="1:15" x14ac:dyDescent="0.2">
      <c r="O155" s="92"/>
    </row>
    <row r="156" spans="1:15" x14ac:dyDescent="0.2">
      <c r="O156" s="92"/>
    </row>
    <row r="157" spans="1:15" x14ac:dyDescent="0.2">
      <c r="O157" s="92"/>
    </row>
    <row r="158" spans="1:15" x14ac:dyDescent="0.2">
      <c r="O158" s="92"/>
    </row>
    <row r="159" spans="1:15" x14ac:dyDescent="0.2">
      <c r="O159" s="92"/>
    </row>
    <row r="160" spans="1:15" x14ac:dyDescent="0.2">
      <c r="O160" s="92"/>
    </row>
    <row r="161" spans="15:15" x14ac:dyDescent="0.2">
      <c r="O161" s="92"/>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F9993-B5A7-4C1B-A00B-38DDC30D9067}">
  <dimension ref="A1:H43"/>
  <sheetViews>
    <sheetView topLeftCell="A10" workbookViewId="0">
      <selection activeCell="H33" sqref="H33"/>
    </sheetView>
  </sheetViews>
  <sheetFormatPr baseColWidth="10" defaultColWidth="8.83203125" defaultRowHeight="16" x14ac:dyDescent="0.2"/>
  <sheetData>
    <row r="1" spans="1:8" x14ac:dyDescent="0.2">
      <c r="A1" s="4" t="s">
        <v>865</v>
      </c>
      <c r="B1" s="412"/>
      <c r="C1" s="412"/>
      <c r="D1" s="412"/>
      <c r="E1" s="412"/>
      <c r="F1" s="412"/>
      <c r="G1" s="412"/>
      <c r="H1" s="412"/>
    </row>
    <row r="2" spans="1:8" x14ac:dyDescent="0.2">
      <c r="A2" s="413" t="s">
        <v>108</v>
      </c>
      <c r="B2" s="413" t="s">
        <v>866</v>
      </c>
      <c r="C2" s="413" t="s">
        <v>867</v>
      </c>
      <c r="D2" s="413" t="s">
        <v>868</v>
      </c>
      <c r="E2" s="413" t="s">
        <v>869</v>
      </c>
      <c r="F2" s="413" t="s">
        <v>870</v>
      </c>
      <c r="G2" s="413" t="s">
        <v>871</v>
      </c>
      <c r="H2" s="413" t="s">
        <v>872</v>
      </c>
    </row>
    <row r="3" spans="1:8" x14ac:dyDescent="0.2">
      <c r="A3" s="413" t="s">
        <v>172</v>
      </c>
      <c r="B3" s="413">
        <v>20</v>
      </c>
      <c r="C3" s="413">
        <v>3</v>
      </c>
      <c r="D3" s="413">
        <v>10</v>
      </c>
      <c r="E3" s="413">
        <v>25</v>
      </c>
      <c r="F3" s="413">
        <v>53</v>
      </c>
      <c r="G3" s="413">
        <v>104</v>
      </c>
      <c r="H3" s="413">
        <v>315</v>
      </c>
    </row>
    <row r="4" spans="1:8" x14ac:dyDescent="0.2">
      <c r="A4" s="413" t="s">
        <v>169</v>
      </c>
      <c r="B4" s="413">
        <v>23</v>
      </c>
      <c r="C4" s="413">
        <v>4</v>
      </c>
      <c r="D4" s="413">
        <v>14</v>
      </c>
      <c r="E4" s="413">
        <v>25</v>
      </c>
      <c r="F4" s="413">
        <v>40</v>
      </c>
      <c r="G4" s="413">
        <v>53</v>
      </c>
      <c r="H4" s="413">
        <v>350</v>
      </c>
    </row>
    <row r="5" spans="1:8" x14ac:dyDescent="0.2">
      <c r="A5" s="413" t="s">
        <v>168</v>
      </c>
      <c r="B5" s="413">
        <v>9</v>
      </c>
      <c r="C5" s="413">
        <v>4</v>
      </c>
      <c r="D5" s="413">
        <v>10</v>
      </c>
      <c r="E5" s="413">
        <v>21</v>
      </c>
      <c r="F5" s="413">
        <v>33</v>
      </c>
      <c r="G5" s="413">
        <v>66</v>
      </c>
      <c r="H5" s="413">
        <v>520</v>
      </c>
    </row>
    <row r="6" spans="1:8" x14ac:dyDescent="0.2">
      <c r="A6" s="413" t="s">
        <v>175</v>
      </c>
      <c r="B6" s="413">
        <v>43</v>
      </c>
      <c r="C6" s="413">
        <v>7</v>
      </c>
      <c r="D6" s="413">
        <v>15</v>
      </c>
      <c r="E6" s="413">
        <v>18</v>
      </c>
      <c r="F6" s="413">
        <v>40</v>
      </c>
      <c r="G6" s="413">
        <v>67</v>
      </c>
      <c r="H6" s="413">
        <v>282</v>
      </c>
    </row>
    <row r="7" spans="1:8" x14ac:dyDescent="0.2">
      <c r="A7" s="413" t="s">
        <v>176</v>
      </c>
      <c r="B7" s="413">
        <v>14</v>
      </c>
      <c r="C7" s="413">
        <v>2</v>
      </c>
      <c r="D7" s="413">
        <v>6</v>
      </c>
      <c r="E7" s="413">
        <v>20</v>
      </c>
      <c r="F7" s="413">
        <v>41</v>
      </c>
      <c r="G7" s="413">
        <v>93</v>
      </c>
      <c r="H7" s="413">
        <v>271</v>
      </c>
    </row>
    <row r="8" spans="1:8" x14ac:dyDescent="0.2">
      <c r="A8" s="413" t="s">
        <v>177</v>
      </c>
      <c r="B8" s="413">
        <v>12</v>
      </c>
      <c r="C8" s="413">
        <v>5</v>
      </c>
      <c r="D8" s="413">
        <v>12</v>
      </c>
      <c r="E8" s="413">
        <v>25</v>
      </c>
      <c r="F8" s="413">
        <v>44</v>
      </c>
      <c r="G8" s="413">
        <v>61</v>
      </c>
      <c r="H8" s="413">
        <v>268</v>
      </c>
    </row>
    <row r="9" spans="1:8" x14ac:dyDescent="0.2">
      <c r="A9" s="413" t="s">
        <v>180</v>
      </c>
      <c r="B9" s="413">
        <v>17</v>
      </c>
      <c r="C9" s="413">
        <v>3.5</v>
      </c>
      <c r="D9" s="413">
        <v>12</v>
      </c>
      <c r="E9" s="413">
        <v>23</v>
      </c>
      <c r="F9" s="413">
        <v>44</v>
      </c>
      <c r="G9" s="413">
        <v>53</v>
      </c>
      <c r="H9" s="413">
        <v>224</v>
      </c>
    </row>
    <row r="10" spans="1:8" x14ac:dyDescent="0.2">
      <c r="A10" s="413" t="s">
        <v>181</v>
      </c>
      <c r="B10" s="413">
        <v>36</v>
      </c>
      <c r="C10" s="413">
        <v>1.7</v>
      </c>
      <c r="D10" s="413">
        <v>2</v>
      </c>
      <c r="E10" s="413">
        <v>6</v>
      </c>
      <c r="F10" s="413">
        <v>20</v>
      </c>
      <c r="G10" s="413">
        <v>45</v>
      </c>
      <c r="H10" s="413">
        <v>213</v>
      </c>
    </row>
    <row r="11" spans="1:8" x14ac:dyDescent="0.2">
      <c r="A11" s="413" t="s">
        <v>184</v>
      </c>
      <c r="B11" s="413">
        <v>3</v>
      </c>
      <c r="C11" s="413">
        <v>1.2</v>
      </c>
      <c r="D11" s="413">
        <v>4.5</v>
      </c>
      <c r="E11" s="413">
        <v>13</v>
      </c>
      <c r="F11" s="413">
        <v>25</v>
      </c>
      <c r="G11" s="413">
        <v>44</v>
      </c>
      <c r="H11" s="413">
        <v>199</v>
      </c>
    </row>
    <row r="12" spans="1:8" x14ac:dyDescent="0.2">
      <c r="A12" s="413" t="s">
        <v>195</v>
      </c>
      <c r="B12" s="413">
        <v>6.4</v>
      </c>
      <c r="C12" s="413">
        <v>1.7</v>
      </c>
      <c r="D12" s="413">
        <v>3.77</v>
      </c>
      <c r="E12" s="413">
        <v>15.65</v>
      </c>
      <c r="F12" s="413">
        <v>41</v>
      </c>
      <c r="G12" s="413">
        <v>67</v>
      </c>
      <c r="H12" s="413">
        <v>160</v>
      </c>
    </row>
    <row r="13" spans="1:8" x14ac:dyDescent="0.2">
      <c r="A13" s="413" t="s">
        <v>228</v>
      </c>
      <c r="B13" s="413">
        <v>15</v>
      </c>
      <c r="C13" s="413">
        <v>1.6</v>
      </c>
      <c r="D13" s="413">
        <v>7</v>
      </c>
      <c r="E13" s="413">
        <v>13</v>
      </c>
      <c r="F13" s="413">
        <v>20</v>
      </c>
      <c r="G13" s="413">
        <v>32</v>
      </c>
      <c r="H13" s="413">
        <v>92</v>
      </c>
    </row>
    <row r="14" spans="1:8" x14ac:dyDescent="0.2">
      <c r="A14" s="413" t="s">
        <v>230</v>
      </c>
      <c r="B14" s="413">
        <v>4</v>
      </c>
      <c r="C14" s="413">
        <v>0.7</v>
      </c>
      <c r="D14" s="413">
        <v>4</v>
      </c>
      <c r="E14" s="413">
        <v>16</v>
      </c>
      <c r="F14" s="413">
        <v>25</v>
      </c>
      <c r="G14" s="413">
        <v>35</v>
      </c>
      <c r="H14" s="413">
        <v>80</v>
      </c>
    </row>
    <row r="15" spans="1:8" x14ac:dyDescent="0.2">
      <c r="A15" s="413" t="s">
        <v>199</v>
      </c>
      <c r="B15" s="413">
        <v>4</v>
      </c>
      <c r="C15" s="413">
        <v>0.8</v>
      </c>
      <c r="D15" s="413">
        <v>6</v>
      </c>
      <c r="E15" s="413">
        <v>13</v>
      </c>
      <c r="F15" s="413">
        <v>17</v>
      </c>
      <c r="G15" s="413">
        <v>21</v>
      </c>
      <c r="H15" s="413">
        <v>60</v>
      </c>
    </row>
    <row r="16" spans="1:8" x14ac:dyDescent="0.2">
      <c r="A16" s="413" t="s">
        <v>256</v>
      </c>
      <c r="B16" s="413">
        <v>3.8</v>
      </c>
      <c r="C16" s="413">
        <v>0.8</v>
      </c>
      <c r="D16" s="413">
        <v>3</v>
      </c>
      <c r="E16" s="413">
        <v>6</v>
      </c>
      <c r="F16" s="413">
        <v>9</v>
      </c>
      <c r="G16" s="413">
        <v>12</v>
      </c>
      <c r="H16" s="413">
        <v>36</v>
      </c>
    </row>
    <row r="17" spans="1:8" x14ac:dyDescent="0.2">
      <c r="A17" s="413" t="s">
        <v>189</v>
      </c>
      <c r="B17" s="413">
        <v>8</v>
      </c>
      <c r="C17" s="413">
        <v>0.4</v>
      </c>
      <c r="D17" s="413">
        <v>3</v>
      </c>
      <c r="E17" s="413">
        <v>7</v>
      </c>
      <c r="F17" s="413">
        <v>10</v>
      </c>
      <c r="G17" s="413">
        <v>11</v>
      </c>
      <c r="H17" s="413">
        <v>32</v>
      </c>
    </row>
    <row r="18" spans="1:8" x14ac:dyDescent="0.2">
      <c r="A18" s="413" t="s">
        <v>304</v>
      </c>
      <c r="B18" s="413">
        <v>2.2999999999999998</v>
      </c>
      <c r="C18" s="413">
        <v>0.05</v>
      </c>
      <c r="D18" s="413">
        <v>0.2</v>
      </c>
      <c r="E18" s="413">
        <v>0.42</v>
      </c>
      <c r="F18" s="413">
        <v>0.6</v>
      </c>
      <c r="G18" s="413">
        <v>0.8</v>
      </c>
      <c r="H18" s="413">
        <v>4.4000000000000004</v>
      </c>
    </row>
    <row r="19" spans="1:8" x14ac:dyDescent="0.2">
      <c r="A19" s="413" t="s">
        <v>873</v>
      </c>
      <c r="B19" s="414">
        <f>(B3+B4+B5+B6+B7+B8+B9+B10+B11+B12+B13+J19+B17+B14+B15+B16+B18)/17</f>
        <v>12.97058823529412</v>
      </c>
      <c r="C19" s="414">
        <f t="shared" ref="C19:H19" si="0">(C3+C4+C5+C6+C7+C8+C9+C10+C11+C12+C13+K19+C17+C14+C15+C16+C18)/17</f>
        <v>2.202941176470588</v>
      </c>
      <c r="D19" s="414">
        <f t="shared" si="0"/>
        <v>6.6158823529411768</v>
      </c>
      <c r="E19" s="414">
        <f t="shared" si="0"/>
        <v>14.533529411764706</v>
      </c>
      <c r="F19" s="414">
        <f t="shared" si="0"/>
        <v>27.211764705882356</v>
      </c>
      <c r="G19" s="414">
        <f t="shared" si="0"/>
        <v>44.988235294117644</v>
      </c>
      <c r="H19" s="414">
        <f t="shared" si="0"/>
        <v>182.7294117647059</v>
      </c>
    </row>
    <row r="20" spans="1:8" x14ac:dyDescent="0.2">
      <c r="A20" s="176"/>
      <c r="B20" s="415"/>
      <c r="C20" s="415"/>
      <c r="D20" s="415"/>
      <c r="E20" s="415"/>
      <c r="F20" s="415"/>
      <c r="G20" s="415"/>
      <c r="H20" s="415"/>
    </row>
    <row r="21" spans="1:8" x14ac:dyDescent="0.2">
      <c r="A21" s="176"/>
      <c r="B21" s="415"/>
      <c r="C21" s="415"/>
      <c r="D21" s="415"/>
      <c r="E21" s="415"/>
      <c r="F21" s="415"/>
      <c r="G21" s="415"/>
      <c r="H21" s="415"/>
    </row>
    <row r="22" spans="1:8" x14ac:dyDescent="0.2">
      <c r="A22" s="176"/>
      <c r="B22" s="415"/>
      <c r="C22" s="415"/>
      <c r="D22" s="415"/>
      <c r="E22" s="415"/>
      <c r="F22" s="415"/>
      <c r="G22" s="415"/>
      <c r="H22" s="415"/>
    </row>
    <row r="23" spans="1:8" x14ac:dyDescent="0.2">
      <c r="A23" s="176"/>
      <c r="B23" s="415"/>
      <c r="C23" s="415"/>
      <c r="D23" s="415"/>
      <c r="E23" s="415"/>
      <c r="F23" s="415"/>
      <c r="G23" s="415"/>
      <c r="H23" s="415"/>
    </row>
    <row r="24" spans="1:8" x14ac:dyDescent="0.2">
      <c r="A24" s="176"/>
      <c r="B24" s="415"/>
      <c r="C24" s="415"/>
      <c r="D24" s="415"/>
      <c r="E24" s="415"/>
      <c r="F24" s="415"/>
      <c r="G24" s="415"/>
      <c r="H24" s="415"/>
    </row>
    <row r="25" spans="1:8" x14ac:dyDescent="0.2">
      <c r="A25" s="176"/>
      <c r="B25" s="415"/>
      <c r="C25" s="415"/>
      <c r="D25" s="415"/>
      <c r="E25" s="415"/>
      <c r="F25" s="415"/>
      <c r="G25" s="415"/>
      <c r="H25" s="415"/>
    </row>
    <row r="27" spans="1:8" x14ac:dyDescent="0.2">
      <c r="A27" s="416" t="s">
        <v>874</v>
      </c>
      <c r="B27" s="416" t="s">
        <v>872</v>
      </c>
    </row>
    <row r="28" spans="1:8" x14ac:dyDescent="0.2">
      <c r="A28" s="413">
        <v>10</v>
      </c>
      <c r="B28" s="416">
        <f>A28*14</f>
        <v>140</v>
      </c>
    </row>
    <row r="29" spans="1:8" x14ac:dyDescent="0.2">
      <c r="A29" s="75"/>
      <c r="B29" s="75"/>
    </row>
    <row r="30" spans="1:8" x14ac:dyDescent="0.2">
      <c r="A30" s="416" t="s">
        <v>867</v>
      </c>
      <c r="B30" s="416" t="s">
        <v>872</v>
      </c>
    </row>
    <row r="31" spans="1:8" x14ac:dyDescent="0.2">
      <c r="A31" s="416">
        <v>1.6</v>
      </c>
      <c r="B31" s="416">
        <f>A31*82</f>
        <v>131.20000000000002</v>
      </c>
    </row>
    <row r="32" spans="1:8" x14ac:dyDescent="0.2">
      <c r="A32" s="75"/>
      <c r="B32" s="75"/>
    </row>
    <row r="33" spans="1:2" x14ac:dyDescent="0.2">
      <c r="A33" s="416" t="s">
        <v>868</v>
      </c>
      <c r="B33" s="416" t="s">
        <v>872</v>
      </c>
    </row>
    <row r="34" spans="1:2" x14ac:dyDescent="0.2">
      <c r="A34" s="416">
        <v>0.35</v>
      </c>
      <c r="B34" s="416">
        <f>A34*27</f>
        <v>9.4499999999999993</v>
      </c>
    </row>
    <row r="35" spans="1:2" x14ac:dyDescent="0.2">
      <c r="A35" s="75"/>
      <c r="B35" s="75"/>
    </row>
    <row r="36" spans="1:2" x14ac:dyDescent="0.2">
      <c r="A36" s="416" t="s">
        <v>869</v>
      </c>
      <c r="B36" s="416" t="s">
        <v>872</v>
      </c>
    </row>
    <row r="37" spans="1:2" x14ac:dyDescent="0.2">
      <c r="A37" s="416">
        <v>80</v>
      </c>
      <c r="B37" s="416">
        <f>A37*13</f>
        <v>1040</v>
      </c>
    </row>
    <row r="38" spans="1:2" x14ac:dyDescent="0.2">
      <c r="A38" s="75"/>
      <c r="B38" s="75"/>
    </row>
    <row r="39" spans="1:2" x14ac:dyDescent="0.2">
      <c r="A39" s="416" t="s">
        <v>870</v>
      </c>
      <c r="B39" s="416" t="s">
        <v>872</v>
      </c>
    </row>
    <row r="40" spans="1:2" x14ac:dyDescent="0.2">
      <c r="A40" s="416"/>
      <c r="B40" s="416">
        <f>A40*7</f>
        <v>0</v>
      </c>
    </row>
    <row r="42" spans="1:2" x14ac:dyDescent="0.2">
      <c r="A42" s="416" t="s">
        <v>871</v>
      </c>
      <c r="B42" s="416" t="s">
        <v>872</v>
      </c>
    </row>
    <row r="43" spans="1:2" x14ac:dyDescent="0.2">
      <c r="A43" s="416"/>
      <c r="B43" s="416">
        <f>A43*4</f>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baseColWidth="10" defaultColWidth="11" defaultRowHeight="16"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246"/>
  <sheetViews>
    <sheetView workbookViewId="0">
      <selection activeCell="E4" sqref="E4"/>
    </sheetView>
  </sheetViews>
  <sheetFormatPr baseColWidth="10" defaultColWidth="11" defaultRowHeight="16" x14ac:dyDescent="0.2"/>
  <cols>
    <col min="1" max="1" width="11.83203125" customWidth="1"/>
    <col min="3" max="3" width="15.83203125" style="35" customWidth="1"/>
    <col min="4" max="4" width="11.5" customWidth="1"/>
    <col min="5" max="5" width="15.6640625" style="14" customWidth="1"/>
    <col min="6" max="6" width="11.5" customWidth="1"/>
    <col min="7" max="7" width="14" style="94" customWidth="1"/>
    <col min="8" max="8" width="12.1640625" customWidth="1"/>
    <col min="9" max="9" width="13.33203125" style="101" customWidth="1"/>
    <col min="10" max="10" width="13.33203125" style="96" customWidth="1"/>
    <col min="11" max="12" width="13.33203125" style="30" customWidth="1"/>
    <col min="13" max="13" width="15.1640625" customWidth="1"/>
    <col min="14" max="15" width="24.33203125" style="94" customWidth="1"/>
    <col min="16" max="16" width="24.33203125" style="14" customWidth="1"/>
    <col min="17" max="17" width="19.83203125" style="14" customWidth="1"/>
    <col min="18" max="19" width="19" customWidth="1"/>
    <col min="20" max="20" width="18.83203125" customWidth="1"/>
    <col min="21" max="21" width="102.5" customWidth="1"/>
  </cols>
  <sheetData>
    <row r="1" spans="1:21" ht="39" x14ac:dyDescent="0.2">
      <c r="A1" s="13" t="s">
        <v>358</v>
      </c>
    </row>
    <row r="3" spans="1:21" x14ac:dyDescent="0.2">
      <c r="A3" s="31" t="s">
        <v>107</v>
      </c>
      <c r="B3" s="31" t="s">
        <v>108</v>
      </c>
      <c r="C3" s="36" t="s">
        <v>359</v>
      </c>
      <c r="D3" s="31" t="s">
        <v>153</v>
      </c>
      <c r="E3" s="37" t="s">
        <v>360</v>
      </c>
      <c r="F3" s="31" t="s">
        <v>158</v>
      </c>
      <c r="G3" s="32" t="s">
        <v>361</v>
      </c>
      <c r="H3" s="31" t="s">
        <v>161</v>
      </c>
      <c r="I3" s="34" t="s">
        <v>362</v>
      </c>
      <c r="J3" s="48" t="s">
        <v>363</v>
      </c>
      <c r="K3" s="32" t="s">
        <v>364</v>
      </c>
      <c r="L3" s="32" t="s">
        <v>107</v>
      </c>
      <c r="M3" s="31" t="s">
        <v>365</v>
      </c>
      <c r="N3" s="32" t="s">
        <v>366</v>
      </c>
      <c r="O3" s="31" t="s">
        <v>367</v>
      </c>
      <c r="P3" s="37" t="s">
        <v>158</v>
      </c>
      <c r="Q3" s="37" t="s">
        <v>361</v>
      </c>
      <c r="R3" s="32" t="s">
        <v>368</v>
      </c>
      <c r="S3" s="32" t="s">
        <v>369</v>
      </c>
      <c r="T3" s="32" t="s">
        <v>370</v>
      </c>
      <c r="U3" s="45" t="s">
        <v>371</v>
      </c>
    </row>
    <row r="4" spans="1:21" x14ac:dyDescent="0.2">
      <c r="A4" s="33">
        <v>47300</v>
      </c>
      <c r="B4" s="31" t="s">
        <v>372</v>
      </c>
      <c r="C4" s="36">
        <v>9.9</v>
      </c>
      <c r="D4" s="31">
        <v>10.98</v>
      </c>
      <c r="E4" s="38">
        <f t="shared" ref="E4:E25" si="0">(D4-C4)/C4*100</f>
        <v>10.90909090909091</v>
      </c>
      <c r="F4" s="31">
        <v>11.95</v>
      </c>
      <c r="G4" s="39">
        <f t="shared" ref="G4:G25" si="1">(F4-D4)/D4*100</f>
        <v>8.8342440801457087</v>
      </c>
      <c r="H4" s="31">
        <v>11.87</v>
      </c>
      <c r="I4" s="34">
        <f t="shared" ref="I4:I25" si="2">(F4-H4)/F4*100</f>
        <v>0.66945606694560733</v>
      </c>
      <c r="J4" s="48">
        <f>(H4-C4)/C4*100</f>
        <v>19.898989898989885</v>
      </c>
      <c r="K4" s="31" t="s">
        <v>373</v>
      </c>
      <c r="L4" s="32" t="s">
        <v>374</v>
      </c>
      <c r="M4" s="31">
        <v>11.83</v>
      </c>
      <c r="N4" s="32" t="s">
        <v>375</v>
      </c>
      <c r="O4" s="31" t="s">
        <v>331</v>
      </c>
      <c r="P4" s="37">
        <v>11.83</v>
      </c>
      <c r="Q4" s="38">
        <f>(P4-M4)/P4*100</f>
        <v>0</v>
      </c>
      <c r="R4" s="32" t="s">
        <v>333</v>
      </c>
      <c r="S4" s="32" t="s">
        <v>376</v>
      </c>
      <c r="T4" s="32" t="s">
        <v>333</v>
      </c>
      <c r="U4" s="3"/>
    </row>
    <row r="5" spans="1:21" x14ac:dyDescent="0.2">
      <c r="A5" s="33">
        <v>47300</v>
      </c>
      <c r="B5" s="31" t="s">
        <v>377</v>
      </c>
      <c r="C5" s="36">
        <v>2.74</v>
      </c>
      <c r="D5" s="31">
        <v>2.91</v>
      </c>
      <c r="E5" s="38">
        <f t="shared" si="0"/>
        <v>6.2043795620437923</v>
      </c>
      <c r="F5" s="31">
        <v>3.65</v>
      </c>
      <c r="G5" s="39">
        <f t="shared" si="1"/>
        <v>25.429553264604802</v>
      </c>
      <c r="H5" s="31">
        <v>3.4</v>
      </c>
      <c r="I5" s="34">
        <f t="shared" si="2"/>
        <v>6.8493150684931505</v>
      </c>
      <c r="J5" s="48">
        <f t="shared" ref="J5:J98" si="3">(H5-C5)/C5*100</f>
        <v>24.087591240875899</v>
      </c>
      <c r="K5" s="32" t="s">
        <v>378</v>
      </c>
      <c r="L5" s="32" t="s">
        <v>374</v>
      </c>
      <c r="M5" s="31">
        <v>3.3</v>
      </c>
      <c r="N5" s="32" t="s">
        <v>375</v>
      </c>
      <c r="O5" s="31" t="s">
        <v>331</v>
      </c>
      <c r="P5" s="37">
        <v>3.4</v>
      </c>
      <c r="Q5" s="38">
        <f t="shared" ref="Q5:Q38" si="4">(P5-M5)/P5*100</f>
        <v>2.9411764705882382</v>
      </c>
      <c r="R5" s="31" t="s">
        <v>333</v>
      </c>
      <c r="S5" s="31" t="s">
        <v>379</v>
      </c>
      <c r="T5" s="31" t="s">
        <v>331</v>
      </c>
      <c r="U5" s="3"/>
    </row>
    <row r="6" spans="1:21" x14ac:dyDescent="0.2">
      <c r="A6" s="33">
        <v>47300</v>
      </c>
      <c r="B6" s="31" t="s">
        <v>380</v>
      </c>
      <c r="C6" s="36">
        <v>3.82</v>
      </c>
      <c r="D6" s="31">
        <v>5</v>
      </c>
      <c r="E6" s="38">
        <f t="shared" si="0"/>
        <v>30.890052356020949</v>
      </c>
      <c r="F6" s="31">
        <v>6.78</v>
      </c>
      <c r="G6" s="39">
        <f t="shared" si="1"/>
        <v>35.6</v>
      </c>
      <c r="H6" s="31">
        <v>5.25</v>
      </c>
      <c r="I6" s="34">
        <f t="shared" si="2"/>
        <v>22.56637168141593</v>
      </c>
      <c r="J6" s="48">
        <f t="shared" si="3"/>
        <v>37.434554973821996</v>
      </c>
      <c r="K6" s="31" t="s">
        <v>378</v>
      </c>
      <c r="L6" s="32" t="s">
        <v>374</v>
      </c>
      <c r="M6" s="31">
        <v>5</v>
      </c>
      <c r="N6" s="32" t="s">
        <v>375</v>
      </c>
      <c r="O6" s="31" t="s">
        <v>331</v>
      </c>
      <c r="P6" s="37">
        <v>5.25</v>
      </c>
      <c r="Q6" s="38">
        <f t="shared" si="4"/>
        <v>4.7619047619047619</v>
      </c>
      <c r="R6" s="31" t="s">
        <v>333</v>
      </c>
      <c r="S6" s="31" t="s">
        <v>381</v>
      </c>
      <c r="T6" s="31" t="s">
        <v>331</v>
      </c>
      <c r="U6" s="3"/>
    </row>
    <row r="7" spans="1:21" x14ac:dyDescent="0.2">
      <c r="A7" s="33">
        <v>47300</v>
      </c>
      <c r="B7" s="31" t="s">
        <v>382</v>
      </c>
      <c r="C7" s="36">
        <v>0.97</v>
      </c>
      <c r="D7" s="31">
        <v>0.98</v>
      </c>
      <c r="E7" s="38">
        <f t="shared" si="0"/>
        <v>1.0309278350515474</v>
      </c>
      <c r="F7" s="31">
        <v>1.85</v>
      </c>
      <c r="G7" s="39">
        <f t="shared" si="1"/>
        <v>88.775510204081641</v>
      </c>
      <c r="H7" s="31">
        <v>1.31</v>
      </c>
      <c r="I7" s="34">
        <f t="shared" si="2"/>
        <v>29.189189189189189</v>
      </c>
      <c r="J7" s="48">
        <f t="shared" si="3"/>
        <v>35.051546391752588</v>
      </c>
      <c r="K7" s="31" t="s">
        <v>373</v>
      </c>
      <c r="L7" s="32" t="s">
        <v>374</v>
      </c>
      <c r="M7" s="31">
        <v>1.25</v>
      </c>
      <c r="N7" s="32" t="s">
        <v>375</v>
      </c>
      <c r="O7" s="31" t="s">
        <v>333</v>
      </c>
      <c r="P7" s="37">
        <v>1.6</v>
      </c>
      <c r="Q7" s="38">
        <f t="shared" si="4"/>
        <v>21.875000000000007</v>
      </c>
      <c r="R7" s="31" t="s">
        <v>331</v>
      </c>
      <c r="S7" s="31" t="s">
        <v>21</v>
      </c>
      <c r="T7" s="31" t="s">
        <v>331</v>
      </c>
      <c r="U7" s="3" t="s">
        <v>383</v>
      </c>
    </row>
    <row r="8" spans="1:21" x14ac:dyDescent="0.2">
      <c r="A8" s="33">
        <v>37469</v>
      </c>
      <c r="B8" s="31" t="s">
        <v>384</v>
      </c>
      <c r="C8" s="36">
        <v>2.9</v>
      </c>
      <c r="D8" s="31">
        <v>3.21</v>
      </c>
      <c r="E8" s="38">
        <f t="shared" si="0"/>
        <v>10.689655172413795</v>
      </c>
      <c r="F8" s="31">
        <v>7.9</v>
      </c>
      <c r="G8" s="39">
        <f t="shared" si="1"/>
        <v>146.10591900311528</v>
      </c>
      <c r="H8" s="31">
        <v>6.2</v>
      </c>
      <c r="I8" s="34">
        <f t="shared" si="2"/>
        <v>21.518987341772153</v>
      </c>
      <c r="J8" s="48">
        <f t="shared" si="3"/>
        <v>113.79310344827587</v>
      </c>
      <c r="K8" s="31" t="s">
        <v>385</v>
      </c>
      <c r="L8" s="32" t="s">
        <v>386</v>
      </c>
      <c r="M8" s="31">
        <v>5.65</v>
      </c>
      <c r="N8" s="32" t="s">
        <v>375</v>
      </c>
      <c r="O8" s="31" t="s">
        <v>331</v>
      </c>
      <c r="P8" s="37">
        <v>5.75</v>
      </c>
      <c r="Q8" s="38">
        <f t="shared" si="4"/>
        <v>1.7391304347826024</v>
      </c>
      <c r="R8" s="31" t="s">
        <v>331</v>
      </c>
      <c r="S8" s="31" t="s">
        <v>387</v>
      </c>
      <c r="T8" s="31" t="s">
        <v>331</v>
      </c>
      <c r="U8" s="3"/>
    </row>
    <row r="9" spans="1:21" x14ac:dyDescent="0.2">
      <c r="A9" s="33">
        <v>37469</v>
      </c>
      <c r="B9" s="31" t="s">
        <v>388</v>
      </c>
      <c r="C9" s="36">
        <v>2.96</v>
      </c>
      <c r="D9" s="31">
        <v>3.03</v>
      </c>
      <c r="E9" s="38">
        <f t="shared" si="0"/>
        <v>2.3648648648648596</v>
      </c>
      <c r="F9" s="31">
        <v>4.3899999999999997</v>
      </c>
      <c r="G9" s="39">
        <f t="shared" si="1"/>
        <v>44.884488448844884</v>
      </c>
      <c r="H9" s="31">
        <v>4.3899999999999997</v>
      </c>
      <c r="I9" s="34">
        <f t="shared" si="2"/>
        <v>0</v>
      </c>
      <c r="J9" s="48">
        <f t="shared" si="3"/>
        <v>48.3108108108108</v>
      </c>
      <c r="K9" s="31" t="s">
        <v>373</v>
      </c>
      <c r="L9" s="32" t="s">
        <v>386</v>
      </c>
      <c r="M9" s="31">
        <v>4.3</v>
      </c>
      <c r="N9" s="32" t="s">
        <v>375</v>
      </c>
      <c r="O9" s="31" t="s">
        <v>331</v>
      </c>
      <c r="P9" s="37">
        <v>4.3</v>
      </c>
      <c r="Q9" s="37">
        <f t="shared" si="4"/>
        <v>0</v>
      </c>
      <c r="R9" s="31" t="s">
        <v>333</v>
      </c>
      <c r="S9" s="31" t="s">
        <v>376</v>
      </c>
      <c r="T9" s="31" t="s">
        <v>331</v>
      </c>
      <c r="U9" s="3"/>
    </row>
    <row r="10" spans="1:21" x14ac:dyDescent="0.2">
      <c r="A10" s="33">
        <v>37469</v>
      </c>
      <c r="B10" s="31" t="s">
        <v>389</v>
      </c>
      <c r="C10" s="36">
        <v>1.51</v>
      </c>
      <c r="D10" s="31">
        <v>2.29</v>
      </c>
      <c r="E10" s="38">
        <f t="shared" si="0"/>
        <v>51.655629139072843</v>
      </c>
      <c r="F10" s="31">
        <v>2.84</v>
      </c>
      <c r="G10" s="39">
        <f t="shared" si="1"/>
        <v>24.017467248908289</v>
      </c>
      <c r="H10" s="47">
        <v>2.21</v>
      </c>
      <c r="I10" s="34">
        <f t="shared" si="2"/>
        <v>22.183098591549292</v>
      </c>
      <c r="J10" s="48">
        <f t="shared" si="3"/>
        <v>46.357615894039732</v>
      </c>
      <c r="K10" s="31" t="s">
        <v>390</v>
      </c>
      <c r="L10" s="32" t="s">
        <v>386</v>
      </c>
      <c r="M10" s="31">
        <v>2.2200000000000002</v>
      </c>
      <c r="N10" s="32" t="s">
        <v>375</v>
      </c>
      <c r="O10" s="31" t="s">
        <v>331</v>
      </c>
      <c r="P10" s="37">
        <v>2.2200000000000002</v>
      </c>
      <c r="Q10" s="37">
        <f t="shared" si="4"/>
        <v>0</v>
      </c>
      <c r="R10" s="31" t="s">
        <v>333</v>
      </c>
      <c r="S10" s="31" t="s">
        <v>376</v>
      </c>
      <c r="T10" s="31" t="s">
        <v>331</v>
      </c>
      <c r="U10" s="3"/>
    </row>
    <row r="11" spans="1:21" x14ac:dyDescent="0.2">
      <c r="A11" s="33">
        <v>37469</v>
      </c>
      <c r="B11" s="31" t="s">
        <v>391</v>
      </c>
      <c r="C11" s="36">
        <v>0.56000000000000005</v>
      </c>
      <c r="D11" s="31">
        <v>0.60099999999999998</v>
      </c>
      <c r="E11" s="38">
        <f t="shared" si="0"/>
        <v>7.3214285714285579</v>
      </c>
      <c r="F11" s="31">
        <v>1.19</v>
      </c>
      <c r="G11" s="39">
        <f t="shared" si="1"/>
        <v>98.003327787021632</v>
      </c>
      <c r="H11" s="31">
        <v>0.82</v>
      </c>
      <c r="I11" s="34">
        <f t="shared" si="2"/>
        <v>31.092436974789916</v>
      </c>
      <c r="J11" s="48">
        <f t="shared" si="3"/>
        <v>46.428571428571409</v>
      </c>
      <c r="K11" s="31" t="s">
        <v>385</v>
      </c>
      <c r="L11" s="32" t="s">
        <v>386</v>
      </c>
      <c r="M11" s="31">
        <v>0.81</v>
      </c>
      <c r="N11" s="32" t="s">
        <v>375</v>
      </c>
      <c r="O11" s="31" t="s">
        <v>331</v>
      </c>
      <c r="P11" s="37">
        <v>0.81</v>
      </c>
      <c r="Q11" s="37">
        <f t="shared" si="4"/>
        <v>0</v>
      </c>
      <c r="R11" s="31" t="s">
        <v>333</v>
      </c>
      <c r="S11" s="31" t="s">
        <v>376</v>
      </c>
      <c r="T11" s="31" t="s">
        <v>331</v>
      </c>
      <c r="U11" s="3"/>
    </row>
    <row r="12" spans="1:21" x14ac:dyDescent="0.2">
      <c r="A12" s="33">
        <v>38565</v>
      </c>
      <c r="B12" s="31" t="s">
        <v>392</v>
      </c>
      <c r="C12" s="36">
        <v>40.75</v>
      </c>
      <c r="D12" s="31">
        <v>45.5</v>
      </c>
      <c r="E12" s="38">
        <f t="shared" si="0"/>
        <v>11.656441717791409</v>
      </c>
      <c r="F12" s="31">
        <v>75</v>
      </c>
      <c r="G12" s="39">
        <f t="shared" si="1"/>
        <v>64.835164835164832</v>
      </c>
      <c r="H12" s="31">
        <v>33.5</v>
      </c>
      <c r="I12" s="34">
        <f t="shared" si="2"/>
        <v>55.333333333333336</v>
      </c>
      <c r="J12" s="48">
        <f t="shared" si="3"/>
        <v>-17.791411042944784</v>
      </c>
      <c r="K12" s="31" t="s">
        <v>390</v>
      </c>
      <c r="L12" s="32" t="s">
        <v>393</v>
      </c>
      <c r="M12" s="31">
        <v>34.01</v>
      </c>
      <c r="N12" s="32" t="s">
        <v>394</v>
      </c>
      <c r="O12" s="31" t="s">
        <v>331</v>
      </c>
      <c r="P12" s="37">
        <v>35.07</v>
      </c>
      <c r="Q12" s="38">
        <f t="shared" si="4"/>
        <v>3.0225263758197953</v>
      </c>
      <c r="R12" s="31" t="s">
        <v>333</v>
      </c>
      <c r="S12" s="31" t="s">
        <v>376</v>
      </c>
      <c r="T12" s="31" t="s">
        <v>331</v>
      </c>
      <c r="U12" s="3" t="s">
        <v>395</v>
      </c>
    </row>
    <row r="13" spans="1:21" x14ac:dyDescent="0.2">
      <c r="A13" s="33">
        <v>38565</v>
      </c>
      <c r="B13" s="31" t="s">
        <v>396</v>
      </c>
      <c r="C13" s="36">
        <v>2.44</v>
      </c>
      <c r="D13" s="31">
        <v>3.2</v>
      </c>
      <c r="E13" s="38">
        <f t="shared" si="0"/>
        <v>31.147540983606568</v>
      </c>
      <c r="F13" s="31">
        <v>3.42</v>
      </c>
      <c r="G13" s="39">
        <f t="shared" si="1"/>
        <v>6.874999999999992</v>
      </c>
      <c r="H13" s="31">
        <v>3.05</v>
      </c>
      <c r="I13" s="34">
        <f t="shared" si="2"/>
        <v>10.818713450292401</v>
      </c>
      <c r="J13" s="48">
        <f t="shared" si="3"/>
        <v>24.999999999999993</v>
      </c>
      <c r="K13" s="31" t="s">
        <v>373</v>
      </c>
      <c r="L13" s="32" t="s">
        <v>393</v>
      </c>
      <c r="M13" s="31">
        <v>2.4900000000000002</v>
      </c>
      <c r="N13" s="32" t="s">
        <v>375</v>
      </c>
      <c r="O13" s="31" t="s">
        <v>331</v>
      </c>
      <c r="P13" s="37">
        <v>2.4900000000000002</v>
      </c>
      <c r="Q13" s="37">
        <f t="shared" si="4"/>
        <v>0</v>
      </c>
      <c r="R13" s="31" t="s">
        <v>333</v>
      </c>
      <c r="S13" s="31" t="s">
        <v>376</v>
      </c>
      <c r="T13" s="31" t="s">
        <v>331</v>
      </c>
      <c r="U13" s="3" t="s">
        <v>395</v>
      </c>
    </row>
    <row r="14" spans="1:21" x14ac:dyDescent="0.2">
      <c r="A14" s="33">
        <v>38565</v>
      </c>
      <c r="B14" s="31" t="s">
        <v>397</v>
      </c>
      <c r="C14" s="36">
        <v>5.3</v>
      </c>
      <c r="D14" s="31">
        <v>5.18</v>
      </c>
      <c r="E14" s="38">
        <f t="shared" si="0"/>
        <v>-2.2641509433962281</v>
      </c>
      <c r="F14" s="31">
        <v>6.48</v>
      </c>
      <c r="G14" s="39">
        <f t="shared" si="1"/>
        <v>25.096525096525113</v>
      </c>
      <c r="H14" s="31">
        <v>5.7</v>
      </c>
      <c r="I14" s="34">
        <f t="shared" si="2"/>
        <v>12.03703703703704</v>
      </c>
      <c r="J14" s="48">
        <f t="shared" si="3"/>
        <v>7.547169811320761</v>
      </c>
      <c r="K14" s="31" t="s">
        <v>373</v>
      </c>
      <c r="L14" s="32" t="s">
        <v>393</v>
      </c>
      <c r="M14" s="31">
        <v>5.44</v>
      </c>
      <c r="N14" s="32" t="s">
        <v>394</v>
      </c>
      <c r="O14" s="31" t="s">
        <v>331</v>
      </c>
      <c r="P14" s="37">
        <v>5.75</v>
      </c>
      <c r="Q14" s="38">
        <f t="shared" si="4"/>
        <v>5.3913043478260798</v>
      </c>
      <c r="R14" s="31" t="s">
        <v>331</v>
      </c>
      <c r="S14" s="31" t="s">
        <v>331</v>
      </c>
      <c r="T14" s="31" t="s">
        <v>331</v>
      </c>
      <c r="U14" s="3"/>
    </row>
    <row r="15" spans="1:21" x14ac:dyDescent="0.2">
      <c r="A15" s="33">
        <v>38565</v>
      </c>
      <c r="B15" s="31" t="s">
        <v>398</v>
      </c>
      <c r="C15" s="36">
        <v>3.89</v>
      </c>
      <c r="D15" s="31">
        <v>4.2</v>
      </c>
      <c r="E15" s="38">
        <f t="shared" si="0"/>
        <v>7.9691516709511578</v>
      </c>
      <c r="F15" s="31">
        <v>6.3</v>
      </c>
      <c r="G15" s="39">
        <f t="shared" si="1"/>
        <v>49.999999999999986</v>
      </c>
      <c r="H15" s="31">
        <v>5.9</v>
      </c>
      <c r="I15" s="34">
        <f t="shared" si="2"/>
        <v>6.3492063492063409</v>
      </c>
      <c r="J15" s="48">
        <f t="shared" si="3"/>
        <v>51.670951156812336</v>
      </c>
      <c r="K15" s="31" t="s">
        <v>378</v>
      </c>
      <c r="L15" s="32" t="s">
        <v>393</v>
      </c>
      <c r="M15" s="31">
        <v>5.82</v>
      </c>
      <c r="N15" s="32" t="s">
        <v>375</v>
      </c>
      <c r="O15" s="31" t="s">
        <v>331</v>
      </c>
      <c r="P15" s="37">
        <v>5.88</v>
      </c>
      <c r="Q15" s="38">
        <f t="shared" si="4"/>
        <v>1.0204081632652995</v>
      </c>
      <c r="R15" s="31" t="s">
        <v>331</v>
      </c>
      <c r="S15" s="31" t="s">
        <v>379</v>
      </c>
      <c r="T15" s="31" t="s">
        <v>333</v>
      </c>
      <c r="U15" s="3"/>
    </row>
    <row r="16" spans="1:21" x14ac:dyDescent="0.2">
      <c r="A16" s="33">
        <v>38565</v>
      </c>
      <c r="B16" s="31" t="s">
        <v>399</v>
      </c>
      <c r="C16" s="36">
        <v>1.58</v>
      </c>
      <c r="D16" s="31">
        <v>1.57</v>
      </c>
      <c r="E16" s="38">
        <f t="shared" si="0"/>
        <v>-0.63291139240506378</v>
      </c>
      <c r="F16" s="31">
        <v>3</v>
      </c>
      <c r="G16" s="39">
        <f t="shared" si="1"/>
        <v>91.082802547770697</v>
      </c>
      <c r="H16" s="31">
        <v>2</v>
      </c>
      <c r="I16" s="34">
        <f t="shared" si="2"/>
        <v>33.333333333333329</v>
      </c>
      <c r="J16" s="48">
        <f t="shared" si="3"/>
        <v>26.582278481012651</v>
      </c>
      <c r="K16" s="31" t="s">
        <v>378</v>
      </c>
      <c r="L16" s="32" t="s">
        <v>393</v>
      </c>
      <c r="M16" s="31">
        <v>2.2000000000000002</v>
      </c>
      <c r="N16" s="32" t="s">
        <v>400</v>
      </c>
      <c r="O16" s="31" t="s">
        <v>333</v>
      </c>
      <c r="P16" s="37">
        <v>2.4500000000000002</v>
      </c>
      <c r="Q16" s="38">
        <f t="shared" si="4"/>
        <v>10.204081632653059</v>
      </c>
      <c r="R16" s="31" t="s">
        <v>331</v>
      </c>
      <c r="S16" s="31" t="s">
        <v>376</v>
      </c>
      <c r="T16" s="31" t="s">
        <v>331</v>
      </c>
      <c r="U16" s="3"/>
    </row>
    <row r="17" spans="1:21" x14ac:dyDescent="0.2">
      <c r="A17" s="33">
        <v>40391</v>
      </c>
      <c r="B17" s="31" t="s">
        <v>401</v>
      </c>
      <c r="C17" s="36">
        <v>3</v>
      </c>
      <c r="D17" s="31">
        <v>3.26</v>
      </c>
      <c r="E17" s="38">
        <f t="shared" si="0"/>
        <v>8.6666666666666607</v>
      </c>
      <c r="F17" s="31">
        <v>4</v>
      </c>
      <c r="G17" s="39">
        <f t="shared" si="1"/>
        <v>22.699386503067494</v>
      </c>
      <c r="H17" s="31">
        <v>4.0599999999999996</v>
      </c>
      <c r="I17" s="34">
        <f t="shared" si="2"/>
        <v>-1.4999999999999902</v>
      </c>
      <c r="J17" s="48">
        <f t="shared" si="3"/>
        <v>35.333333333333321</v>
      </c>
      <c r="K17" s="31" t="s">
        <v>378</v>
      </c>
      <c r="L17" s="32" t="s">
        <v>402</v>
      </c>
      <c r="M17" s="31">
        <v>4.0599999999999996</v>
      </c>
      <c r="N17" s="32" t="s">
        <v>394</v>
      </c>
      <c r="O17" s="31" t="s">
        <v>331</v>
      </c>
      <c r="P17" s="37">
        <v>4.13</v>
      </c>
      <c r="Q17" s="38">
        <f t="shared" si="4"/>
        <v>1.6949152542372952</v>
      </c>
      <c r="R17" s="31" t="s">
        <v>331</v>
      </c>
      <c r="S17" s="31" t="s">
        <v>376</v>
      </c>
      <c r="T17" s="31" t="s">
        <v>331</v>
      </c>
      <c r="U17" s="3"/>
    </row>
    <row r="18" spans="1:21" x14ac:dyDescent="0.2">
      <c r="A18" s="33">
        <v>40756</v>
      </c>
      <c r="B18" s="31" t="s">
        <v>403</v>
      </c>
      <c r="C18" s="36">
        <v>18.059999999999999</v>
      </c>
      <c r="D18" s="31">
        <v>19</v>
      </c>
      <c r="E18" s="38">
        <f t="shared" si="0"/>
        <v>5.2048726467331194</v>
      </c>
      <c r="F18" s="31">
        <v>22.76</v>
      </c>
      <c r="G18" s="39">
        <f t="shared" si="1"/>
        <v>19.789473684210535</v>
      </c>
      <c r="H18" s="31">
        <v>21.36</v>
      </c>
      <c r="I18" s="34">
        <f t="shared" si="2"/>
        <v>6.1511423550087967</v>
      </c>
      <c r="J18" s="48">
        <f t="shared" si="3"/>
        <v>18.272425249169441</v>
      </c>
      <c r="K18" s="31" t="s">
        <v>373</v>
      </c>
      <c r="L18" s="32" t="s">
        <v>402</v>
      </c>
      <c r="M18" s="31">
        <v>4.0599999999999996</v>
      </c>
      <c r="N18" s="32" t="s">
        <v>375</v>
      </c>
      <c r="O18" s="31" t="s">
        <v>333</v>
      </c>
      <c r="P18" s="37">
        <v>22.58</v>
      </c>
      <c r="Q18" s="38">
        <f t="shared" si="4"/>
        <v>82.019486271036328</v>
      </c>
      <c r="R18" s="31" t="s">
        <v>331</v>
      </c>
      <c r="S18" s="31" t="s">
        <v>404</v>
      </c>
      <c r="T18" s="31" t="s">
        <v>331</v>
      </c>
      <c r="U18" s="3"/>
    </row>
    <row r="19" spans="1:21" x14ac:dyDescent="0.2">
      <c r="A19" s="33">
        <v>40756</v>
      </c>
      <c r="B19" s="31" t="s">
        <v>405</v>
      </c>
      <c r="C19" s="36">
        <v>3.37</v>
      </c>
      <c r="D19" s="31">
        <v>3.55</v>
      </c>
      <c r="E19" s="38">
        <f t="shared" si="0"/>
        <v>5.3412462908011786</v>
      </c>
      <c r="F19" s="31">
        <v>4.1900000000000004</v>
      </c>
      <c r="G19" s="39">
        <f t="shared" si="1"/>
        <v>18.028169014084526</v>
      </c>
      <c r="H19" s="31">
        <v>3.95</v>
      </c>
      <c r="I19" s="34">
        <f t="shared" si="2"/>
        <v>5.7279236276849685</v>
      </c>
      <c r="J19" s="48">
        <f t="shared" si="3"/>
        <v>17.210682492581604</v>
      </c>
      <c r="K19" s="31" t="s">
        <v>378</v>
      </c>
      <c r="L19" s="32" t="s">
        <v>402</v>
      </c>
      <c r="M19" s="31">
        <v>3.96</v>
      </c>
      <c r="N19" s="32" t="s">
        <v>375</v>
      </c>
      <c r="O19" s="31" t="s">
        <v>331</v>
      </c>
      <c r="P19" s="37">
        <v>4.1500000000000004</v>
      </c>
      <c r="Q19" s="38">
        <f t="shared" si="4"/>
        <v>4.5783132530120572</v>
      </c>
      <c r="R19" s="31" t="s">
        <v>331</v>
      </c>
      <c r="S19" s="31" t="s">
        <v>406</v>
      </c>
      <c r="T19" s="31"/>
      <c r="U19" s="3"/>
    </row>
    <row r="20" spans="1:21" x14ac:dyDescent="0.2">
      <c r="A20" s="33">
        <v>41122</v>
      </c>
      <c r="B20" s="31" t="s">
        <v>407</v>
      </c>
      <c r="C20" s="36">
        <v>1.41</v>
      </c>
      <c r="D20" s="31">
        <v>1.44</v>
      </c>
      <c r="E20" s="38">
        <f t="shared" si="0"/>
        <v>2.1276595744680873</v>
      </c>
      <c r="F20" s="31">
        <v>1.83</v>
      </c>
      <c r="G20" s="39">
        <f t="shared" si="1"/>
        <v>27.083333333333343</v>
      </c>
      <c r="H20" s="31">
        <v>1.8</v>
      </c>
      <c r="I20" s="34">
        <f t="shared" si="2"/>
        <v>1.6393442622950833</v>
      </c>
      <c r="J20" s="48">
        <f t="shared" si="3"/>
        <v>27.659574468085118</v>
      </c>
      <c r="K20" s="31" t="s">
        <v>378</v>
      </c>
      <c r="L20" s="32" t="s">
        <v>408</v>
      </c>
      <c r="M20" s="31">
        <v>1.8</v>
      </c>
      <c r="N20" s="32" t="s">
        <v>409</v>
      </c>
      <c r="O20" s="31" t="s">
        <v>331</v>
      </c>
      <c r="P20" s="37">
        <v>1.8</v>
      </c>
      <c r="Q20" s="38">
        <f t="shared" si="4"/>
        <v>0</v>
      </c>
      <c r="R20" s="31" t="s">
        <v>333</v>
      </c>
      <c r="S20" s="31" t="s">
        <v>406</v>
      </c>
      <c r="T20" s="31"/>
      <c r="U20" s="3"/>
    </row>
    <row r="21" spans="1:21" x14ac:dyDescent="0.2">
      <c r="A21" s="33">
        <v>41122</v>
      </c>
      <c r="B21" s="31" t="s">
        <v>410</v>
      </c>
      <c r="C21" s="36">
        <v>6.24</v>
      </c>
      <c r="D21" s="31">
        <v>6.35</v>
      </c>
      <c r="E21" s="38">
        <f t="shared" si="0"/>
        <v>1.7628205128205039</v>
      </c>
      <c r="F21" s="31">
        <v>9.08</v>
      </c>
      <c r="G21" s="39">
        <f t="shared" si="1"/>
        <v>42.992125984251977</v>
      </c>
      <c r="H21" s="31">
        <v>7.7</v>
      </c>
      <c r="I21" s="34">
        <f t="shared" si="2"/>
        <v>15.198237885462554</v>
      </c>
      <c r="J21" s="48">
        <f t="shared" si="3"/>
        <v>23.397435897435894</v>
      </c>
      <c r="K21" s="32" t="s">
        <v>378</v>
      </c>
      <c r="L21" s="32" t="s">
        <v>408</v>
      </c>
      <c r="M21" s="31">
        <v>7.8</v>
      </c>
      <c r="N21" s="32" t="s">
        <v>375</v>
      </c>
      <c r="O21" s="32" t="s">
        <v>331</v>
      </c>
      <c r="P21" s="37">
        <v>7.88</v>
      </c>
      <c r="Q21" s="38">
        <f t="shared" si="4"/>
        <v>1.0152284263959401</v>
      </c>
      <c r="R21" s="31" t="s">
        <v>333</v>
      </c>
      <c r="S21" s="31" t="s">
        <v>411</v>
      </c>
      <c r="T21" s="31"/>
      <c r="U21" s="3"/>
    </row>
    <row r="22" spans="1:21" x14ac:dyDescent="0.2">
      <c r="A22" s="33">
        <v>41122</v>
      </c>
      <c r="B22" s="31" t="s">
        <v>412</v>
      </c>
      <c r="C22" s="36">
        <v>5.83</v>
      </c>
      <c r="D22" s="31">
        <v>5.78</v>
      </c>
      <c r="E22" s="38">
        <f t="shared" si="0"/>
        <v>-0.85763293310462818</v>
      </c>
      <c r="F22" s="31">
        <v>8.14</v>
      </c>
      <c r="G22" s="39">
        <f t="shared" si="1"/>
        <v>40.830449826989621</v>
      </c>
      <c r="H22" s="31">
        <v>7.16</v>
      </c>
      <c r="I22" s="34">
        <f t="shared" si="2"/>
        <v>12.039312039312042</v>
      </c>
      <c r="J22" s="48">
        <f t="shared" si="3"/>
        <v>22.813036020583191</v>
      </c>
      <c r="K22" s="32" t="s">
        <v>390</v>
      </c>
      <c r="L22" s="32" t="s">
        <v>408</v>
      </c>
      <c r="M22" s="31">
        <v>7.15</v>
      </c>
      <c r="N22" s="32" t="s">
        <v>375</v>
      </c>
      <c r="O22" s="32" t="s">
        <v>333</v>
      </c>
      <c r="P22" s="37">
        <v>7.74</v>
      </c>
      <c r="Q22" s="38">
        <f t="shared" si="4"/>
        <v>7.6227390180878523</v>
      </c>
      <c r="R22" s="31" t="s">
        <v>331</v>
      </c>
      <c r="S22" s="31" t="s">
        <v>21</v>
      </c>
      <c r="T22" s="31"/>
      <c r="U22" s="3"/>
    </row>
    <row r="23" spans="1:21" x14ac:dyDescent="0.2">
      <c r="A23" s="33">
        <v>41122</v>
      </c>
      <c r="B23" s="31" t="s">
        <v>413</v>
      </c>
      <c r="C23" s="36">
        <v>2.4500000000000002</v>
      </c>
      <c r="D23" s="31">
        <v>2.86</v>
      </c>
      <c r="E23" s="38">
        <f t="shared" si="0"/>
        <v>16.734693877551006</v>
      </c>
      <c r="F23" s="31">
        <v>4.1900000000000004</v>
      </c>
      <c r="G23" s="39">
        <f t="shared" si="1"/>
        <v>46.503496503496521</v>
      </c>
      <c r="H23" s="31">
        <v>4.7</v>
      </c>
      <c r="I23" s="34">
        <f t="shared" si="2"/>
        <v>-12.171837708830543</v>
      </c>
      <c r="J23" s="48">
        <f t="shared" si="3"/>
        <v>91.836734693877546</v>
      </c>
      <c r="K23" s="32" t="s">
        <v>373</v>
      </c>
      <c r="L23" s="32" t="s">
        <v>414</v>
      </c>
      <c r="M23" s="31">
        <v>4.4800000000000004</v>
      </c>
      <c r="N23" s="32" t="s">
        <v>375</v>
      </c>
      <c r="O23" s="32" t="s">
        <v>331</v>
      </c>
      <c r="P23" s="37">
        <v>5.29</v>
      </c>
      <c r="Q23" s="38">
        <f t="shared" si="4"/>
        <v>15.311909262759919</v>
      </c>
      <c r="R23" s="31" t="s">
        <v>333</v>
      </c>
      <c r="S23" s="31" t="s">
        <v>406</v>
      </c>
      <c r="T23" s="31" t="s">
        <v>331</v>
      </c>
      <c r="U23" s="3"/>
    </row>
    <row r="24" spans="1:21" x14ac:dyDescent="0.2">
      <c r="A24" s="33">
        <v>41122</v>
      </c>
      <c r="B24" s="31" t="s">
        <v>415</v>
      </c>
      <c r="C24" s="36">
        <v>3.02</v>
      </c>
      <c r="D24" s="31">
        <v>3.23</v>
      </c>
      <c r="E24" s="38">
        <f t="shared" si="0"/>
        <v>6.9536423841059598</v>
      </c>
      <c r="F24" s="31">
        <v>3.78</v>
      </c>
      <c r="G24" s="39">
        <f t="shared" si="1"/>
        <v>17.027863777089777</v>
      </c>
      <c r="H24" s="31">
        <v>3.73</v>
      </c>
      <c r="I24" s="34">
        <f t="shared" si="2"/>
        <v>1.3227513227513181</v>
      </c>
      <c r="J24" s="48">
        <f t="shared" si="3"/>
        <v>23.509933774834437</v>
      </c>
      <c r="K24" s="32" t="s">
        <v>385</v>
      </c>
      <c r="L24" s="32" t="s">
        <v>414</v>
      </c>
      <c r="M24" s="31">
        <v>3.51</v>
      </c>
      <c r="N24" s="32" t="s">
        <v>375</v>
      </c>
      <c r="O24" s="32" t="s">
        <v>331</v>
      </c>
      <c r="P24" s="37">
        <v>3.51</v>
      </c>
      <c r="Q24" s="38">
        <f t="shared" si="4"/>
        <v>0</v>
      </c>
      <c r="R24" s="31" t="s">
        <v>333</v>
      </c>
      <c r="S24" s="31" t="s">
        <v>406</v>
      </c>
      <c r="T24" s="31" t="s">
        <v>331</v>
      </c>
      <c r="U24" s="3"/>
    </row>
    <row r="25" spans="1:21" x14ac:dyDescent="0.2">
      <c r="A25" s="33">
        <v>41122</v>
      </c>
      <c r="B25" s="31" t="s">
        <v>416</v>
      </c>
      <c r="C25" s="36">
        <v>4.4800000000000004</v>
      </c>
      <c r="D25" s="31">
        <v>5.78</v>
      </c>
      <c r="E25" s="38">
        <f t="shared" si="0"/>
        <v>29.017857142857135</v>
      </c>
      <c r="F25" s="31">
        <v>5.78</v>
      </c>
      <c r="G25" s="39">
        <f t="shared" si="1"/>
        <v>0</v>
      </c>
      <c r="H25" s="31">
        <v>5.4</v>
      </c>
      <c r="I25" s="34">
        <f t="shared" si="2"/>
        <v>6.5743944636678178</v>
      </c>
      <c r="J25" s="48">
        <f t="shared" si="3"/>
        <v>20.535714285714281</v>
      </c>
      <c r="K25" s="32" t="s">
        <v>373</v>
      </c>
      <c r="L25" s="32" t="s">
        <v>414</v>
      </c>
      <c r="M25" s="31">
        <v>5.5</v>
      </c>
      <c r="N25" s="32" t="s">
        <v>394</v>
      </c>
      <c r="O25" s="32" t="s">
        <v>331</v>
      </c>
      <c r="P25" s="37">
        <v>5.82</v>
      </c>
      <c r="Q25" s="38">
        <f t="shared" si="4"/>
        <v>5.4982817869415852</v>
      </c>
      <c r="R25" s="31" t="s">
        <v>333</v>
      </c>
      <c r="S25" s="31" t="s">
        <v>404</v>
      </c>
      <c r="T25" s="31" t="s">
        <v>331</v>
      </c>
      <c r="U25" s="3"/>
    </row>
    <row r="26" spans="1:21" x14ac:dyDescent="0.2">
      <c r="A26" s="33">
        <v>41122</v>
      </c>
      <c r="B26" s="31" t="s">
        <v>417</v>
      </c>
      <c r="C26" s="36">
        <v>3.4</v>
      </c>
      <c r="D26" s="31">
        <v>4</v>
      </c>
      <c r="E26" s="38">
        <f t="shared" ref="E26:E115" si="5">(D26-C26)/C26*100</f>
        <v>17.647058823529417</v>
      </c>
      <c r="F26" s="31">
        <v>5.7</v>
      </c>
      <c r="G26" s="39">
        <f t="shared" ref="G26:G113" si="6">(F26-D26)/D26*100</f>
        <v>42.500000000000007</v>
      </c>
      <c r="H26" s="31">
        <v>3.9</v>
      </c>
      <c r="I26" s="34">
        <f t="shared" ref="I26:I62" si="7">(F26-H26)/F26*100</f>
        <v>31.578947368421055</v>
      </c>
      <c r="J26" s="48">
        <f t="shared" si="3"/>
        <v>14.705882352941178</v>
      </c>
      <c r="K26" s="32" t="s">
        <v>390</v>
      </c>
      <c r="L26" s="32" t="s">
        <v>414</v>
      </c>
      <c r="M26" s="31">
        <v>4</v>
      </c>
      <c r="N26" s="32" t="s">
        <v>400</v>
      </c>
      <c r="O26" s="32" t="s">
        <v>331</v>
      </c>
      <c r="P26" s="37">
        <v>4.05</v>
      </c>
      <c r="Q26" s="38">
        <f t="shared" si="4"/>
        <v>1.2345679012345634</v>
      </c>
      <c r="R26" s="31" t="s">
        <v>333</v>
      </c>
      <c r="S26" s="31" t="s">
        <v>406</v>
      </c>
      <c r="T26" s="31" t="s">
        <v>418</v>
      </c>
      <c r="U26" s="3"/>
    </row>
    <row r="27" spans="1:21" x14ac:dyDescent="0.2">
      <c r="A27" s="33">
        <v>41122</v>
      </c>
      <c r="B27" s="31" t="s">
        <v>419</v>
      </c>
      <c r="C27" s="36">
        <v>2.88</v>
      </c>
      <c r="D27" s="31">
        <v>2.89</v>
      </c>
      <c r="E27" s="38">
        <f t="shared" si="5"/>
        <v>0.34722222222223026</v>
      </c>
      <c r="F27" s="31">
        <v>3.24</v>
      </c>
      <c r="G27" s="39">
        <f t="shared" si="6"/>
        <v>12.110726643598618</v>
      </c>
      <c r="H27" s="31">
        <v>3.23</v>
      </c>
      <c r="I27" s="34">
        <f t="shared" si="7"/>
        <v>0.30864197530864906</v>
      </c>
      <c r="J27" s="48">
        <f t="shared" si="3"/>
        <v>12.152777777777782</v>
      </c>
      <c r="K27" s="32" t="s">
        <v>373</v>
      </c>
      <c r="L27" s="32" t="s">
        <v>414</v>
      </c>
      <c r="M27" s="31">
        <v>3.24</v>
      </c>
      <c r="N27" s="32" t="s">
        <v>400</v>
      </c>
      <c r="O27" s="32" t="s">
        <v>333</v>
      </c>
      <c r="P27" s="37">
        <v>3.45</v>
      </c>
      <c r="Q27" s="38">
        <f t="shared" si="4"/>
        <v>6.086956521739129</v>
      </c>
      <c r="R27" s="31" t="s">
        <v>331</v>
      </c>
      <c r="S27" s="31" t="s">
        <v>21</v>
      </c>
      <c r="T27" s="31" t="s">
        <v>333</v>
      </c>
      <c r="U27" s="3"/>
    </row>
    <row r="28" spans="1:21" x14ac:dyDescent="0.2">
      <c r="A28" s="33">
        <v>42217</v>
      </c>
      <c r="B28" s="31" t="s">
        <v>420</v>
      </c>
      <c r="C28" s="36">
        <v>4.09</v>
      </c>
      <c r="D28" s="31">
        <v>4.75</v>
      </c>
      <c r="E28" s="38">
        <f t="shared" si="5"/>
        <v>16.136919315403428</v>
      </c>
      <c r="F28" s="31">
        <v>6.08</v>
      </c>
      <c r="G28" s="39">
        <f t="shared" si="6"/>
        <v>28.000000000000004</v>
      </c>
      <c r="H28" s="31">
        <v>5.4</v>
      </c>
      <c r="I28" s="34">
        <f t="shared" si="7"/>
        <v>11.184210526315784</v>
      </c>
      <c r="J28" s="48">
        <f t="shared" si="3"/>
        <v>32.029339853300748</v>
      </c>
      <c r="K28" s="32"/>
      <c r="L28" s="32" t="s">
        <v>421</v>
      </c>
      <c r="M28" s="31">
        <v>5.4</v>
      </c>
      <c r="N28" s="32" t="s">
        <v>394</v>
      </c>
      <c r="O28" s="32" t="s">
        <v>418</v>
      </c>
      <c r="P28" s="37">
        <v>5.23</v>
      </c>
      <c r="Q28" s="38">
        <f t="shared" si="4"/>
        <v>-3.2504780114722736</v>
      </c>
      <c r="R28" s="31" t="s">
        <v>333</v>
      </c>
      <c r="S28" s="31" t="s">
        <v>387</v>
      </c>
      <c r="T28" s="31" t="s">
        <v>418</v>
      </c>
      <c r="U28" s="3"/>
    </row>
    <row r="29" spans="1:21" x14ac:dyDescent="0.2">
      <c r="A29" s="33">
        <v>42948</v>
      </c>
      <c r="B29" s="31" t="s">
        <v>422</v>
      </c>
      <c r="C29" s="36">
        <v>0.61</v>
      </c>
      <c r="D29" s="31">
        <v>0.62</v>
      </c>
      <c r="E29" s="38">
        <f t="shared" si="5"/>
        <v>1.6393442622950833</v>
      </c>
      <c r="F29" s="31">
        <v>1.2</v>
      </c>
      <c r="G29" s="39">
        <f t="shared" si="6"/>
        <v>93.548387096774192</v>
      </c>
      <c r="H29" s="31">
        <v>0.95</v>
      </c>
      <c r="I29" s="34">
        <f t="shared" si="7"/>
        <v>20.833333333333336</v>
      </c>
      <c r="J29" s="48">
        <f t="shared" si="3"/>
        <v>55.737704918032783</v>
      </c>
      <c r="K29" s="32" t="s">
        <v>378</v>
      </c>
      <c r="L29" s="32" t="s">
        <v>423</v>
      </c>
      <c r="M29" s="31">
        <v>1</v>
      </c>
      <c r="N29" s="32" t="s">
        <v>400</v>
      </c>
      <c r="O29" s="32" t="s">
        <v>331</v>
      </c>
      <c r="P29" s="37">
        <v>1.03</v>
      </c>
      <c r="Q29" s="38">
        <f t="shared" si="4"/>
        <v>2.9126213592233037</v>
      </c>
      <c r="R29" s="31" t="s">
        <v>333</v>
      </c>
      <c r="S29" s="31" t="s">
        <v>387</v>
      </c>
      <c r="T29" s="31" t="s">
        <v>418</v>
      </c>
      <c r="U29" s="3"/>
    </row>
    <row r="30" spans="1:21" x14ac:dyDescent="0.2">
      <c r="A30" s="33">
        <v>42948</v>
      </c>
      <c r="B30" s="31" t="s">
        <v>424</v>
      </c>
      <c r="C30" s="36">
        <v>0.86</v>
      </c>
      <c r="D30" s="31">
        <v>0.87</v>
      </c>
      <c r="E30" s="38">
        <f t="shared" si="5"/>
        <v>1.1627906976744196</v>
      </c>
      <c r="F30" s="31">
        <v>1.36</v>
      </c>
      <c r="G30" s="39">
        <f t="shared" si="6"/>
        <v>56.321839080459782</v>
      </c>
      <c r="H30" s="31">
        <v>1.26</v>
      </c>
      <c r="I30" s="34">
        <f t="shared" si="7"/>
        <v>7.3529411764705941</v>
      </c>
      <c r="J30" s="48">
        <f t="shared" si="3"/>
        <v>46.511627906976749</v>
      </c>
      <c r="K30" s="32" t="s">
        <v>378</v>
      </c>
      <c r="L30" s="32" t="s">
        <v>423</v>
      </c>
      <c r="M30" s="31">
        <v>1.21</v>
      </c>
      <c r="N30" s="32" t="s">
        <v>425</v>
      </c>
      <c r="O30" s="32" t="s">
        <v>331</v>
      </c>
      <c r="P30" s="37">
        <v>1.31</v>
      </c>
      <c r="Q30" s="38">
        <f t="shared" si="4"/>
        <v>7.6335877862595494</v>
      </c>
      <c r="R30" s="31" t="s">
        <v>333</v>
      </c>
      <c r="S30" s="31" t="s">
        <v>333</v>
      </c>
      <c r="T30" s="31" t="s">
        <v>418</v>
      </c>
      <c r="U30" s="3"/>
    </row>
    <row r="31" spans="1:21" x14ac:dyDescent="0.2">
      <c r="A31" s="33">
        <v>42948</v>
      </c>
      <c r="B31" s="31" t="s">
        <v>426</v>
      </c>
      <c r="C31" s="36">
        <v>2.64</v>
      </c>
      <c r="D31" s="31">
        <v>3.6</v>
      </c>
      <c r="E31" s="38">
        <f t="shared" si="5"/>
        <v>36.36363636363636</v>
      </c>
      <c r="F31" s="31">
        <v>5.4</v>
      </c>
      <c r="G31" s="39">
        <f t="shared" si="6"/>
        <v>50.000000000000014</v>
      </c>
      <c r="H31" s="31">
        <v>3.02</v>
      </c>
      <c r="I31" s="34">
        <f t="shared" si="7"/>
        <v>44.074074074074076</v>
      </c>
      <c r="J31" s="48">
        <f t="shared" si="3"/>
        <v>14.393939393939389</v>
      </c>
      <c r="K31" s="32" t="s">
        <v>427</v>
      </c>
      <c r="L31" s="32" t="s">
        <v>423</v>
      </c>
      <c r="M31" s="31">
        <v>3.02</v>
      </c>
      <c r="N31" s="32" t="s">
        <v>409</v>
      </c>
      <c r="O31" s="32" t="s">
        <v>331</v>
      </c>
      <c r="P31" s="37">
        <v>3.25</v>
      </c>
      <c r="Q31" s="38">
        <f t="shared" si="4"/>
        <v>7.0769230769230766</v>
      </c>
      <c r="R31" s="31" t="s">
        <v>331</v>
      </c>
      <c r="S31" s="31" t="s">
        <v>376</v>
      </c>
      <c r="T31" s="31" t="s">
        <v>418</v>
      </c>
      <c r="U31" s="3"/>
    </row>
    <row r="32" spans="1:21" x14ac:dyDescent="0.2">
      <c r="A32" s="57">
        <v>42948</v>
      </c>
      <c r="B32" s="58" t="s">
        <v>428</v>
      </c>
      <c r="C32" s="59">
        <v>6.18</v>
      </c>
      <c r="D32" s="58">
        <v>6.87</v>
      </c>
      <c r="E32" s="72">
        <f t="shared" si="5"/>
        <v>11.165048543689327</v>
      </c>
      <c r="F32" s="58">
        <v>7.12</v>
      </c>
      <c r="G32" s="73">
        <f t="shared" si="6"/>
        <v>3.6390101892285296</v>
      </c>
      <c r="H32" s="58">
        <v>6.97</v>
      </c>
      <c r="I32" s="102">
        <f t="shared" si="7"/>
        <v>2.1067415730337125</v>
      </c>
      <c r="J32" s="97">
        <f t="shared" si="3"/>
        <v>12.7831715210356</v>
      </c>
      <c r="K32" s="60" t="s">
        <v>378</v>
      </c>
      <c r="L32" s="60" t="s">
        <v>423</v>
      </c>
      <c r="M32" s="58">
        <v>7</v>
      </c>
      <c r="N32" s="60" t="s">
        <v>394</v>
      </c>
      <c r="O32" s="32" t="s">
        <v>333</v>
      </c>
      <c r="P32" s="37">
        <v>7.65</v>
      </c>
      <c r="Q32" s="38">
        <f t="shared" si="4"/>
        <v>8.4967320261437962</v>
      </c>
      <c r="R32" s="31" t="s">
        <v>331</v>
      </c>
      <c r="S32" s="31" t="s">
        <v>429</v>
      </c>
      <c r="T32" s="31" t="s">
        <v>418</v>
      </c>
      <c r="U32" s="3"/>
    </row>
    <row r="33" spans="1:21" x14ac:dyDescent="0.2">
      <c r="A33" s="57">
        <v>42948</v>
      </c>
      <c r="B33" s="61" t="s">
        <v>430</v>
      </c>
      <c r="C33" s="59">
        <v>1.44</v>
      </c>
      <c r="D33" s="61">
        <v>1.45</v>
      </c>
      <c r="E33" s="72">
        <f t="shared" si="5"/>
        <v>0.69444444444444509</v>
      </c>
      <c r="F33" s="61">
        <v>1.63</v>
      </c>
      <c r="G33" s="73">
        <f t="shared" si="6"/>
        <v>12.413793103448272</v>
      </c>
      <c r="H33" s="61">
        <v>1.68</v>
      </c>
      <c r="I33" s="102">
        <f t="shared" si="7"/>
        <v>-3.0674846625766898</v>
      </c>
      <c r="J33" s="97">
        <f t="shared" si="3"/>
        <v>16.666666666666664</v>
      </c>
      <c r="K33" s="60" t="s">
        <v>373</v>
      </c>
      <c r="L33" s="60" t="s">
        <v>423</v>
      </c>
      <c r="M33" s="61">
        <v>1.62</v>
      </c>
      <c r="N33" s="60" t="s">
        <v>375</v>
      </c>
      <c r="O33" s="32" t="s">
        <v>331</v>
      </c>
      <c r="P33" s="37">
        <v>1.65</v>
      </c>
      <c r="Q33" s="38">
        <f t="shared" si="4"/>
        <v>1.8181818181818064</v>
      </c>
      <c r="R33" s="54" t="s">
        <v>333</v>
      </c>
      <c r="S33" s="54" t="s">
        <v>387</v>
      </c>
      <c r="T33" s="3" t="s">
        <v>418</v>
      </c>
      <c r="U33" s="3"/>
    </row>
    <row r="34" spans="1:21" x14ac:dyDescent="0.2">
      <c r="A34" s="57">
        <v>43678</v>
      </c>
      <c r="B34" s="58" t="s">
        <v>417</v>
      </c>
      <c r="C34" s="59">
        <v>3.77</v>
      </c>
      <c r="D34" s="58">
        <v>3.81</v>
      </c>
      <c r="E34" s="72">
        <f t="shared" si="5"/>
        <v>1.0610079575596827</v>
      </c>
      <c r="F34" s="58">
        <v>5.65</v>
      </c>
      <c r="G34" s="73">
        <f t="shared" si="6"/>
        <v>48.29396325459318</v>
      </c>
      <c r="H34" s="58">
        <v>4.3499999999999996</v>
      </c>
      <c r="I34" s="102">
        <f t="shared" si="7"/>
        <v>23.008849557522133</v>
      </c>
      <c r="J34" s="97">
        <f t="shared" si="3"/>
        <v>15.384615384615374</v>
      </c>
      <c r="K34" s="60" t="s">
        <v>373</v>
      </c>
      <c r="L34" s="60" t="s">
        <v>431</v>
      </c>
      <c r="M34" s="58">
        <v>4.21</v>
      </c>
      <c r="N34" s="60" t="s">
        <v>375</v>
      </c>
      <c r="O34" s="32" t="s">
        <v>331</v>
      </c>
      <c r="P34" s="37">
        <v>4.7300000000000004</v>
      </c>
      <c r="Q34" s="38">
        <f t="shared" si="4"/>
        <v>10.993657505285421</v>
      </c>
      <c r="R34" s="31" t="s">
        <v>331</v>
      </c>
      <c r="S34" s="31" t="s">
        <v>331</v>
      </c>
      <c r="T34" s="3"/>
      <c r="U34" s="3"/>
    </row>
    <row r="35" spans="1:21" x14ac:dyDescent="0.2">
      <c r="A35" s="57">
        <v>43678</v>
      </c>
      <c r="B35" s="58" t="s">
        <v>428</v>
      </c>
      <c r="C35" s="59">
        <v>6.97</v>
      </c>
      <c r="D35" s="58">
        <v>7</v>
      </c>
      <c r="E35" s="72">
        <f t="shared" si="5"/>
        <v>0.43041606886657463</v>
      </c>
      <c r="F35" s="58">
        <v>7.65</v>
      </c>
      <c r="G35" s="73">
        <f t="shared" si="6"/>
        <v>9.28571428571429</v>
      </c>
      <c r="H35" s="58">
        <v>7.64</v>
      </c>
      <c r="I35" s="102">
        <f t="shared" si="7"/>
        <v>0.13071895424837482</v>
      </c>
      <c r="J35" s="97">
        <f t="shared" si="3"/>
        <v>9.6126255380200849</v>
      </c>
      <c r="K35" s="60" t="s">
        <v>378</v>
      </c>
      <c r="L35" s="60" t="s">
        <v>431</v>
      </c>
      <c r="M35" s="58">
        <v>7.64</v>
      </c>
      <c r="N35" s="60" t="s">
        <v>409</v>
      </c>
      <c r="O35" s="32" t="s">
        <v>331</v>
      </c>
      <c r="P35" s="37">
        <v>7.77</v>
      </c>
      <c r="Q35" s="38">
        <f t="shared" si="4"/>
        <v>1.6731016731016717</v>
      </c>
      <c r="R35" s="31" t="s">
        <v>333</v>
      </c>
      <c r="S35" s="31" t="s">
        <v>406</v>
      </c>
      <c r="T35" s="31"/>
      <c r="U35" s="3"/>
    </row>
    <row r="36" spans="1:21" x14ac:dyDescent="0.2">
      <c r="A36" s="57">
        <v>44044</v>
      </c>
      <c r="B36" s="58" t="s">
        <v>432</v>
      </c>
      <c r="C36" s="59">
        <v>2.34</v>
      </c>
      <c r="D36" s="58">
        <v>2.4500000000000002</v>
      </c>
      <c r="E36" s="72">
        <f t="shared" si="5"/>
        <v>4.7008547008547144</v>
      </c>
      <c r="F36" s="58">
        <v>3.45</v>
      </c>
      <c r="G36" s="73">
        <f t="shared" si="6"/>
        <v>40.816326530612237</v>
      </c>
      <c r="H36" s="58">
        <v>3.29</v>
      </c>
      <c r="I36" s="102">
        <f t="shared" si="7"/>
        <v>4.6376811594202945</v>
      </c>
      <c r="J36" s="97">
        <f t="shared" si="3"/>
        <v>40.59829059829061</v>
      </c>
      <c r="K36" s="60" t="s">
        <v>433</v>
      </c>
      <c r="L36" s="60" t="s">
        <v>434</v>
      </c>
      <c r="M36" s="58">
        <v>3.19</v>
      </c>
      <c r="N36" s="60" t="s">
        <v>425</v>
      </c>
      <c r="O36" s="32" t="s">
        <v>345</v>
      </c>
      <c r="P36" s="37">
        <v>3.57</v>
      </c>
      <c r="Q36" s="38">
        <f t="shared" si="4"/>
        <v>10.64425770308123</v>
      </c>
      <c r="R36" s="31" t="s">
        <v>345</v>
      </c>
      <c r="S36" s="31" t="s">
        <v>435</v>
      </c>
      <c r="T36" s="31"/>
      <c r="U36" s="3"/>
    </row>
    <row r="37" spans="1:21" x14ac:dyDescent="0.2">
      <c r="A37" s="57">
        <v>44044</v>
      </c>
      <c r="B37" s="58" t="s">
        <v>436</v>
      </c>
      <c r="C37" s="59">
        <v>2.65</v>
      </c>
      <c r="D37" s="58">
        <v>2.72</v>
      </c>
      <c r="E37" s="72">
        <f t="shared" si="5"/>
        <v>2.6415094339622751</v>
      </c>
      <c r="F37" s="58">
        <v>4.42</v>
      </c>
      <c r="G37" s="73">
        <f t="shared" si="6"/>
        <v>62.499999999999986</v>
      </c>
      <c r="H37" s="58">
        <v>2.93</v>
      </c>
      <c r="I37" s="102">
        <f t="shared" si="7"/>
        <v>33.710407239818998</v>
      </c>
      <c r="J37" s="97">
        <f t="shared" si="3"/>
        <v>10.566037735849067</v>
      </c>
      <c r="K37" s="60" t="s">
        <v>437</v>
      </c>
      <c r="L37" s="60" t="s">
        <v>434</v>
      </c>
      <c r="M37" s="58">
        <v>2.9</v>
      </c>
      <c r="N37" s="60" t="s">
        <v>425</v>
      </c>
      <c r="O37" s="32" t="s">
        <v>418</v>
      </c>
      <c r="P37" s="37">
        <v>3.04</v>
      </c>
      <c r="Q37" s="38">
        <f t="shared" si="4"/>
        <v>4.6052631578947407</v>
      </c>
      <c r="R37" s="31" t="s">
        <v>345</v>
      </c>
      <c r="S37" s="31" t="s">
        <v>438</v>
      </c>
      <c r="T37" s="31"/>
      <c r="U37" s="3"/>
    </row>
    <row r="38" spans="1:21" x14ac:dyDescent="0.2">
      <c r="A38" s="57">
        <v>44774</v>
      </c>
      <c r="B38" s="58" t="s">
        <v>439</v>
      </c>
      <c r="C38" s="59">
        <v>0.64</v>
      </c>
      <c r="D38" s="58">
        <v>0.64</v>
      </c>
      <c r="E38" s="72">
        <f t="shared" si="5"/>
        <v>0</v>
      </c>
      <c r="F38" s="58">
        <v>1.1100000000000001</v>
      </c>
      <c r="G38" s="73">
        <f t="shared" si="6"/>
        <v>73.437500000000014</v>
      </c>
      <c r="H38" s="58">
        <v>1.2</v>
      </c>
      <c r="I38" s="102">
        <f t="shared" si="7"/>
        <v>-8.1081081081080946</v>
      </c>
      <c r="J38" s="97">
        <f t="shared" si="3"/>
        <v>87.499999999999986</v>
      </c>
      <c r="K38" s="60" t="s">
        <v>433</v>
      </c>
      <c r="L38" s="60" t="s">
        <v>440</v>
      </c>
      <c r="M38" s="58">
        <v>1.1399999999999999</v>
      </c>
      <c r="N38" s="60" t="s">
        <v>400</v>
      </c>
      <c r="O38" s="32" t="s">
        <v>345</v>
      </c>
      <c r="P38" s="37">
        <v>1.4</v>
      </c>
      <c r="Q38" s="38">
        <f t="shared" si="4"/>
        <v>18.571428571428573</v>
      </c>
      <c r="R38" s="31" t="s">
        <v>441</v>
      </c>
      <c r="S38" s="31" t="s">
        <v>441</v>
      </c>
      <c r="T38" s="31"/>
      <c r="U38" s="3"/>
    </row>
    <row r="39" spans="1:21" x14ac:dyDescent="0.2">
      <c r="A39" s="57">
        <v>44774</v>
      </c>
      <c r="B39" s="58" t="s">
        <v>442</v>
      </c>
      <c r="C39" s="59">
        <v>0.7</v>
      </c>
      <c r="D39" s="58">
        <v>1.2</v>
      </c>
      <c r="E39" s="72">
        <f t="shared" si="5"/>
        <v>71.428571428571431</v>
      </c>
      <c r="F39" s="58">
        <v>1.9</v>
      </c>
      <c r="G39" s="73">
        <f t="shared" si="6"/>
        <v>58.333333333333336</v>
      </c>
      <c r="H39" s="58">
        <v>1.2</v>
      </c>
      <c r="I39" s="102">
        <f t="shared" si="7"/>
        <v>36.84210526315789</v>
      </c>
      <c r="J39" s="97">
        <f t="shared" si="3"/>
        <v>71.428571428571431</v>
      </c>
      <c r="K39" s="60" t="s">
        <v>437</v>
      </c>
      <c r="L39" s="60" t="s">
        <v>440</v>
      </c>
      <c r="M39" s="58">
        <v>1.1499999999999999</v>
      </c>
      <c r="N39" s="60" t="s">
        <v>425</v>
      </c>
      <c r="O39" s="32" t="s">
        <v>418</v>
      </c>
      <c r="P39" s="37">
        <v>1.17</v>
      </c>
      <c r="Q39" s="38">
        <f t="shared" ref="Q39:Q63" si="8">(P39-M39)/P39*100</f>
        <v>1.7094017094017109</v>
      </c>
      <c r="R39" s="31" t="s">
        <v>418</v>
      </c>
      <c r="S39" s="31" t="s">
        <v>441</v>
      </c>
      <c r="T39" s="31"/>
      <c r="U39" s="3"/>
    </row>
    <row r="40" spans="1:21" x14ac:dyDescent="0.2">
      <c r="A40" s="57">
        <v>44774</v>
      </c>
      <c r="B40" s="58" t="s">
        <v>443</v>
      </c>
      <c r="C40" s="59">
        <v>1.9</v>
      </c>
      <c r="D40" s="58">
        <v>2</v>
      </c>
      <c r="E40" s="72">
        <f t="shared" si="5"/>
        <v>5.2631578947368478</v>
      </c>
      <c r="F40" s="58">
        <v>3.63</v>
      </c>
      <c r="G40" s="73">
        <f t="shared" si="6"/>
        <v>81.5</v>
      </c>
      <c r="H40" s="58">
        <v>2.9</v>
      </c>
      <c r="I40" s="102">
        <f t="shared" si="7"/>
        <v>20.110192837465565</v>
      </c>
      <c r="J40" s="97">
        <f t="shared" si="3"/>
        <v>52.631578947368418</v>
      </c>
      <c r="K40" s="60" t="s">
        <v>427</v>
      </c>
      <c r="L40" s="60" t="s">
        <v>440</v>
      </c>
      <c r="M40" s="58">
        <v>2.66</v>
      </c>
      <c r="N40" s="60" t="s">
        <v>425</v>
      </c>
      <c r="O40" s="32" t="s">
        <v>418</v>
      </c>
      <c r="P40" s="37">
        <v>2.79</v>
      </c>
      <c r="Q40" s="38">
        <f t="shared" si="8"/>
        <v>4.6594982078853011</v>
      </c>
      <c r="R40" s="31" t="s">
        <v>418</v>
      </c>
      <c r="S40" s="31" t="s">
        <v>441</v>
      </c>
      <c r="T40" s="31"/>
      <c r="U40" s="3"/>
    </row>
    <row r="41" spans="1:21" x14ac:dyDescent="0.2">
      <c r="A41" s="57">
        <v>44774</v>
      </c>
      <c r="B41" s="58" t="s">
        <v>444</v>
      </c>
      <c r="C41" s="59">
        <v>1.24</v>
      </c>
      <c r="D41" s="58">
        <v>1.47</v>
      </c>
      <c r="E41" s="72">
        <f t="shared" si="5"/>
        <v>18.548387096774192</v>
      </c>
      <c r="F41" s="58">
        <v>2.02</v>
      </c>
      <c r="G41" s="73">
        <f t="shared" si="6"/>
        <v>37.414965986394563</v>
      </c>
      <c r="H41" s="58">
        <v>1.83</v>
      </c>
      <c r="I41" s="102">
        <f t="shared" si="7"/>
        <v>9.4059405940594036</v>
      </c>
      <c r="J41" s="97">
        <f t="shared" si="3"/>
        <v>47.580645161290327</v>
      </c>
      <c r="K41" s="60" t="s">
        <v>427</v>
      </c>
      <c r="L41" s="60" t="s">
        <v>440</v>
      </c>
      <c r="M41" s="58">
        <v>1.95</v>
      </c>
      <c r="N41" s="60" t="s">
        <v>400</v>
      </c>
      <c r="O41" s="32" t="s">
        <v>418</v>
      </c>
      <c r="P41" s="37">
        <v>1.98</v>
      </c>
      <c r="Q41" s="38">
        <f t="shared" si="8"/>
        <v>1.5151515151515165</v>
      </c>
      <c r="R41" s="31" t="s">
        <v>345</v>
      </c>
      <c r="S41" s="31" t="s">
        <v>445</v>
      </c>
      <c r="T41" s="31"/>
      <c r="U41" s="3"/>
    </row>
    <row r="42" spans="1:21" x14ac:dyDescent="0.2">
      <c r="A42" s="57">
        <v>44774</v>
      </c>
      <c r="B42" s="58" t="s">
        <v>446</v>
      </c>
      <c r="C42" s="59">
        <v>1.29</v>
      </c>
      <c r="D42" s="58">
        <v>1.33</v>
      </c>
      <c r="E42" s="72">
        <f t="shared" si="5"/>
        <v>3.1007751937984525</v>
      </c>
      <c r="F42" s="58">
        <v>2.14</v>
      </c>
      <c r="G42" s="73">
        <f t="shared" si="6"/>
        <v>60.902255639097746</v>
      </c>
      <c r="H42" s="58">
        <v>1.65</v>
      </c>
      <c r="I42" s="102">
        <f t="shared" si="7"/>
        <v>22.89719626168225</v>
      </c>
      <c r="J42" s="97">
        <f t="shared" si="3"/>
        <v>27.906976744186036</v>
      </c>
      <c r="K42" s="60" t="s">
        <v>437</v>
      </c>
      <c r="L42" s="60" t="s">
        <v>440</v>
      </c>
      <c r="M42" s="58">
        <v>1.68</v>
      </c>
      <c r="N42" s="60" t="s">
        <v>425</v>
      </c>
      <c r="O42" s="32" t="s">
        <v>418</v>
      </c>
      <c r="P42" s="37">
        <v>1.7</v>
      </c>
      <c r="Q42" s="38">
        <f t="shared" si="8"/>
        <v>1.176470588235295</v>
      </c>
      <c r="R42" s="31" t="s">
        <v>345</v>
      </c>
      <c r="S42" s="31" t="s">
        <v>447</v>
      </c>
      <c r="T42" s="31"/>
      <c r="U42" s="3"/>
    </row>
    <row r="43" spans="1:21" x14ac:dyDescent="0.2">
      <c r="A43" s="57">
        <v>44774</v>
      </c>
      <c r="B43" s="31" t="s">
        <v>448</v>
      </c>
      <c r="C43" s="36">
        <v>15.64</v>
      </c>
      <c r="D43" s="31">
        <v>18.43</v>
      </c>
      <c r="E43" s="38">
        <f t="shared" si="5"/>
        <v>17.838874680306898</v>
      </c>
      <c r="F43" s="31">
        <v>19.510000000000002</v>
      </c>
      <c r="G43" s="39">
        <f t="shared" si="6"/>
        <v>5.8600108518719578</v>
      </c>
      <c r="H43" s="31">
        <v>18.95</v>
      </c>
      <c r="I43" s="34">
        <f t="shared" si="7"/>
        <v>2.8703229113275359</v>
      </c>
      <c r="J43" s="48">
        <f t="shared" si="3"/>
        <v>21.16368286445012</v>
      </c>
      <c r="K43" s="32" t="s">
        <v>437</v>
      </c>
      <c r="L43" s="60" t="s">
        <v>440</v>
      </c>
      <c r="M43" s="31">
        <v>19</v>
      </c>
      <c r="N43" s="32" t="s">
        <v>400</v>
      </c>
      <c r="O43" s="32" t="s">
        <v>418</v>
      </c>
      <c r="P43" s="37">
        <v>19</v>
      </c>
      <c r="Q43" s="38">
        <f t="shared" si="8"/>
        <v>0</v>
      </c>
      <c r="R43" s="31" t="s">
        <v>345</v>
      </c>
      <c r="S43" s="31" t="s">
        <v>445</v>
      </c>
      <c r="T43" s="31"/>
      <c r="U43" s="3"/>
    </row>
    <row r="44" spans="1:21" x14ac:dyDescent="0.2">
      <c r="A44" s="57">
        <v>44774</v>
      </c>
      <c r="B44" s="31" t="s">
        <v>422</v>
      </c>
      <c r="C44" s="36">
        <v>0.87</v>
      </c>
      <c r="D44" s="31">
        <v>0.88</v>
      </c>
      <c r="E44" s="38">
        <f t="shared" si="5"/>
        <v>1.1494252873563229</v>
      </c>
      <c r="F44" s="31">
        <v>1.1399999999999999</v>
      </c>
      <c r="G44" s="39">
        <f t="shared" si="6"/>
        <v>29.545454545454536</v>
      </c>
      <c r="H44" s="31">
        <v>1.01</v>
      </c>
      <c r="I44" s="34">
        <f t="shared" si="7"/>
        <v>11.403508771929815</v>
      </c>
      <c r="J44" s="48">
        <f t="shared" si="3"/>
        <v>16.09195402298851</v>
      </c>
      <c r="K44" s="32" t="s">
        <v>427</v>
      </c>
      <c r="L44" s="60" t="s">
        <v>440</v>
      </c>
      <c r="M44" s="31">
        <v>1.02</v>
      </c>
      <c r="N44" s="32" t="s">
        <v>449</v>
      </c>
      <c r="O44" s="32" t="s">
        <v>418</v>
      </c>
      <c r="P44" s="37">
        <v>1.06</v>
      </c>
      <c r="Q44" s="38">
        <f t="shared" si="8"/>
        <v>3.7735849056603805</v>
      </c>
      <c r="R44" s="31" t="s">
        <v>345</v>
      </c>
      <c r="S44" s="31" t="s">
        <v>445</v>
      </c>
      <c r="T44" s="31"/>
      <c r="U44" s="3"/>
    </row>
    <row r="45" spans="1:21" x14ac:dyDescent="0.2">
      <c r="A45" s="57">
        <v>45139</v>
      </c>
      <c r="B45" s="31" t="s">
        <v>450</v>
      </c>
      <c r="C45" s="36">
        <v>6.93</v>
      </c>
      <c r="D45" s="31">
        <v>8.0500000000000007</v>
      </c>
      <c r="E45" s="38">
        <f t="shared" si="5"/>
        <v>16.161616161616177</v>
      </c>
      <c r="F45" s="31">
        <v>9.07</v>
      </c>
      <c r="G45" s="39">
        <f t="shared" si="6"/>
        <v>12.670807453416142</v>
      </c>
      <c r="H45" s="31">
        <v>8.2799999999999994</v>
      </c>
      <c r="I45" s="34">
        <f t="shared" si="7"/>
        <v>8.710033076074982</v>
      </c>
      <c r="J45" s="48">
        <f t="shared" si="3"/>
        <v>19.480519480519476</v>
      </c>
      <c r="K45" s="32" t="s">
        <v>437</v>
      </c>
      <c r="L45" s="32" t="s">
        <v>451</v>
      </c>
      <c r="M45" s="31">
        <v>8.4</v>
      </c>
      <c r="N45" s="32" t="s">
        <v>425</v>
      </c>
      <c r="O45" s="32" t="s">
        <v>345</v>
      </c>
      <c r="P45" s="37">
        <v>9.06</v>
      </c>
      <c r="Q45" s="38">
        <f t="shared" si="8"/>
        <v>7.2847682119205306</v>
      </c>
      <c r="R45" s="31" t="s">
        <v>418</v>
      </c>
      <c r="S45" s="31" t="s">
        <v>441</v>
      </c>
      <c r="T45" s="31" t="s">
        <v>418</v>
      </c>
      <c r="U45" s="3"/>
    </row>
    <row r="46" spans="1:21" x14ac:dyDescent="0.2">
      <c r="A46" s="57">
        <v>45139</v>
      </c>
      <c r="B46" s="31" t="s">
        <v>452</v>
      </c>
      <c r="C46" s="36">
        <v>17.309999999999999</v>
      </c>
      <c r="D46" s="36">
        <v>17.3</v>
      </c>
      <c r="E46" s="50">
        <f t="shared" si="5"/>
        <v>-5.7770075101086144E-2</v>
      </c>
      <c r="F46" s="31">
        <v>20.25</v>
      </c>
      <c r="G46" s="39">
        <f t="shared" si="6"/>
        <v>17.052023121387279</v>
      </c>
      <c r="H46" s="31">
        <v>19.8</v>
      </c>
      <c r="I46" s="34">
        <f t="shared" si="7"/>
        <v>2.2222222222222188</v>
      </c>
      <c r="J46" s="48">
        <f t="shared" si="3"/>
        <v>14.384748700173322</v>
      </c>
      <c r="K46" s="32" t="s">
        <v>437</v>
      </c>
      <c r="L46" s="32" t="s">
        <v>451</v>
      </c>
      <c r="M46" s="31">
        <v>20.149999999999999</v>
      </c>
      <c r="N46" s="32" t="s">
        <v>400</v>
      </c>
      <c r="O46" s="32" t="s">
        <v>418</v>
      </c>
      <c r="P46" s="37">
        <v>20.88</v>
      </c>
      <c r="Q46" s="38">
        <f t="shared" si="8"/>
        <v>3.4961685823754816</v>
      </c>
      <c r="R46" s="31" t="s">
        <v>418</v>
      </c>
      <c r="S46" s="31" t="s">
        <v>441</v>
      </c>
      <c r="T46" s="31"/>
      <c r="U46" s="3"/>
    </row>
    <row r="47" spans="1:21" x14ac:dyDescent="0.2">
      <c r="A47" s="64">
        <v>45139</v>
      </c>
      <c r="B47" s="54" t="s">
        <v>453</v>
      </c>
      <c r="C47" s="36">
        <v>11.81</v>
      </c>
      <c r="D47" s="54">
        <v>12.08</v>
      </c>
      <c r="E47" s="38">
        <f t="shared" si="5"/>
        <v>2.2861981371718847</v>
      </c>
      <c r="F47" s="54">
        <v>13.6</v>
      </c>
      <c r="G47" s="39">
        <f t="shared" si="6"/>
        <v>12.58278145695364</v>
      </c>
      <c r="H47" s="54">
        <v>13.15</v>
      </c>
      <c r="I47" s="34">
        <f t="shared" si="7"/>
        <v>3.3088235294117601</v>
      </c>
      <c r="J47" s="48">
        <f t="shared" si="3"/>
        <v>11.346316680778999</v>
      </c>
      <c r="K47" s="32" t="s">
        <v>437</v>
      </c>
      <c r="L47" s="32" t="s">
        <v>451</v>
      </c>
      <c r="M47" s="31">
        <v>13.05</v>
      </c>
      <c r="N47" s="32" t="s">
        <v>425</v>
      </c>
      <c r="O47" s="32" t="s">
        <v>345</v>
      </c>
      <c r="P47" s="37">
        <v>13.84</v>
      </c>
      <c r="Q47" s="38">
        <f t="shared" si="8"/>
        <v>5.7080924855491268</v>
      </c>
      <c r="R47" s="31" t="s">
        <v>418</v>
      </c>
      <c r="S47" s="31" t="s">
        <v>441</v>
      </c>
      <c r="T47" s="31" t="s">
        <v>418</v>
      </c>
      <c r="U47" s="3"/>
    </row>
    <row r="48" spans="1:21" x14ac:dyDescent="0.2">
      <c r="A48" s="64">
        <v>45139</v>
      </c>
      <c r="B48" s="31" t="s">
        <v>454</v>
      </c>
      <c r="C48" s="36">
        <v>18.100000000000001</v>
      </c>
      <c r="D48" s="31">
        <v>18.3</v>
      </c>
      <c r="E48" s="38">
        <f t="shared" si="5"/>
        <v>1.1049723756906038</v>
      </c>
      <c r="F48" s="31">
        <v>18.3</v>
      </c>
      <c r="G48" s="39">
        <f t="shared" si="6"/>
        <v>0</v>
      </c>
      <c r="H48" s="31">
        <v>23.9</v>
      </c>
      <c r="I48" s="34">
        <f t="shared" si="7"/>
        <v>-30.601092896174855</v>
      </c>
      <c r="J48" s="48">
        <f t="shared" si="3"/>
        <v>32.044198895027606</v>
      </c>
      <c r="K48" s="32" t="s">
        <v>437</v>
      </c>
      <c r="L48" s="32" t="s">
        <v>451</v>
      </c>
      <c r="M48" s="31">
        <v>24.22</v>
      </c>
      <c r="N48" s="32" t="s">
        <v>400</v>
      </c>
      <c r="O48" s="32" t="s">
        <v>418</v>
      </c>
      <c r="P48" s="37">
        <v>24.9</v>
      </c>
      <c r="Q48" s="38">
        <f t="shared" si="8"/>
        <v>2.7309236947791153</v>
      </c>
      <c r="R48" s="31" t="s">
        <v>418</v>
      </c>
      <c r="S48" s="31" t="s">
        <v>441</v>
      </c>
      <c r="T48" s="31"/>
      <c r="U48" s="3"/>
    </row>
    <row r="49" spans="1:21" x14ac:dyDescent="0.2">
      <c r="A49" s="64">
        <v>45505</v>
      </c>
      <c r="B49" s="31" t="s">
        <v>455</v>
      </c>
      <c r="C49" s="36">
        <v>14.46</v>
      </c>
      <c r="D49" s="31">
        <v>15.29</v>
      </c>
      <c r="E49" s="38">
        <f t="shared" si="5"/>
        <v>5.7399723374826985</v>
      </c>
      <c r="F49" s="31">
        <v>18.66</v>
      </c>
      <c r="G49" s="39">
        <f t="shared" si="6"/>
        <v>22.040549378678882</v>
      </c>
      <c r="H49" s="31">
        <v>17.71</v>
      </c>
      <c r="I49" s="34">
        <f t="shared" si="7"/>
        <v>5.0911039657020325</v>
      </c>
      <c r="J49" s="48">
        <f t="shared" si="3"/>
        <v>22.475795297372059</v>
      </c>
      <c r="K49" s="32" t="s">
        <v>437</v>
      </c>
      <c r="L49" s="32" t="s">
        <v>456</v>
      </c>
      <c r="M49" s="31">
        <v>18.079999999999998</v>
      </c>
      <c r="N49" s="32" t="s">
        <v>400</v>
      </c>
      <c r="O49" s="32" t="s">
        <v>418</v>
      </c>
      <c r="P49" s="37">
        <v>18.89</v>
      </c>
      <c r="Q49" s="38">
        <f t="shared" si="8"/>
        <v>4.2879830598200224</v>
      </c>
      <c r="R49" s="31" t="s">
        <v>345</v>
      </c>
      <c r="S49" s="31" t="s">
        <v>457</v>
      </c>
      <c r="T49" s="31"/>
      <c r="U49" s="3"/>
    </row>
    <row r="50" spans="1:21" x14ac:dyDescent="0.2">
      <c r="A50" s="64">
        <v>45505</v>
      </c>
      <c r="B50" s="31" t="s">
        <v>458</v>
      </c>
      <c r="C50" s="36">
        <v>1.71</v>
      </c>
      <c r="D50" s="31">
        <v>1.82</v>
      </c>
      <c r="E50" s="38">
        <f t="shared" si="5"/>
        <v>6.4327485380117011</v>
      </c>
      <c r="F50" s="31">
        <v>2.4700000000000002</v>
      </c>
      <c r="G50" s="39">
        <f t="shared" si="6"/>
        <v>35.714285714285722</v>
      </c>
      <c r="H50" s="31">
        <v>1.96</v>
      </c>
      <c r="I50" s="34">
        <f t="shared" si="7"/>
        <v>20.647773279352236</v>
      </c>
      <c r="J50" s="48">
        <f t="shared" si="3"/>
        <v>14.619883040935672</v>
      </c>
      <c r="K50" s="32" t="s">
        <v>437</v>
      </c>
      <c r="L50" s="65" t="s">
        <v>459</v>
      </c>
      <c r="M50" s="31">
        <v>1.97</v>
      </c>
      <c r="N50" s="32" t="s">
        <v>400</v>
      </c>
      <c r="O50" s="32" t="s">
        <v>418</v>
      </c>
      <c r="P50" s="37">
        <v>2.19</v>
      </c>
      <c r="Q50" s="38">
        <f t="shared" si="8"/>
        <v>10.045662100456621</v>
      </c>
      <c r="R50" s="31" t="s">
        <v>441</v>
      </c>
      <c r="S50" s="31" t="s">
        <v>441</v>
      </c>
      <c r="T50" s="31"/>
      <c r="U50" s="3"/>
    </row>
    <row r="51" spans="1:21" x14ac:dyDescent="0.2">
      <c r="A51" s="64">
        <v>45505</v>
      </c>
      <c r="B51" s="31" t="s">
        <v>460</v>
      </c>
      <c r="C51" s="36">
        <v>11.75</v>
      </c>
      <c r="D51" s="31">
        <v>11.76</v>
      </c>
      <c r="E51" s="38">
        <f t="shared" si="5"/>
        <v>8.5106382978721598E-2</v>
      </c>
      <c r="F51" s="31">
        <v>15.24</v>
      </c>
      <c r="G51" s="39">
        <f t="shared" si="6"/>
        <v>29.591836734693882</v>
      </c>
      <c r="H51" s="31">
        <v>14</v>
      </c>
      <c r="I51" s="34">
        <f t="shared" si="7"/>
        <v>8.1364829396325469</v>
      </c>
      <c r="J51" s="48">
        <f t="shared" si="3"/>
        <v>19.148936170212767</v>
      </c>
      <c r="K51" s="32" t="s">
        <v>433</v>
      </c>
      <c r="L51" s="65" t="s">
        <v>459</v>
      </c>
      <c r="M51" s="31">
        <v>14.5</v>
      </c>
      <c r="N51" s="32" t="s">
        <v>425</v>
      </c>
      <c r="O51" s="32" t="s">
        <v>418</v>
      </c>
      <c r="P51" s="37">
        <v>15.38</v>
      </c>
      <c r="Q51" s="38">
        <f t="shared" si="8"/>
        <v>5.7217165149544913</v>
      </c>
      <c r="R51" s="31" t="s">
        <v>418</v>
      </c>
      <c r="S51" s="31" t="s">
        <v>404</v>
      </c>
      <c r="T51" s="31"/>
      <c r="U51" s="3"/>
    </row>
    <row r="52" spans="1:21" x14ac:dyDescent="0.2">
      <c r="A52" s="64">
        <v>45870</v>
      </c>
      <c r="B52" s="31" t="s">
        <v>461</v>
      </c>
      <c r="C52" s="36">
        <v>15.48</v>
      </c>
      <c r="D52" s="31">
        <v>15.75</v>
      </c>
      <c r="E52" s="38">
        <f t="shared" si="5"/>
        <v>1.744186046511625</v>
      </c>
      <c r="F52" s="31">
        <v>18.489999999999998</v>
      </c>
      <c r="G52" s="39">
        <f t="shared" si="6"/>
        <v>17.396825396825385</v>
      </c>
      <c r="H52" s="31">
        <v>17.87</v>
      </c>
      <c r="I52" s="34">
        <f t="shared" si="7"/>
        <v>3.3531638723634258</v>
      </c>
      <c r="J52" s="48">
        <f t="shared" si="3"/>
        <v>15.439276485788117</v>
      </c>
      <c r="K52" s="32"/>
      <c r="L52" s="65" t="s">
        <v>459</v>
      </c>
      <c r="M52" s="31">
        <v>18.28</v>
      </c>
      <c r="N52" s="32" t="s">
        <v>400</v>
      </c>
      <c r="O52" s="32" t="s">
        <v>418</v>
      </c>
      <c r="P52" s="37">
        <v>19.170000000000002</v>
      </c>
      <c r="Q52" s="38">
        <f t="shared" si="8"/>
        <v>4.6426708398539409</v>
      </c>
      <c r="R52" s="31" t="s">
        <v>418</v>
      </c>
      <c r="S52" s="31" t="s">
        <v>441</v>
      </c>
      <c r="T52" s="31"/>
      <c r="U52" s="3"/>
    </row>
    <row r="53" spans="1:21" x14ac:dyDescent="0.2">
      <c r="A53" s="64">
        <v>45870</v>
      </c>
      <c r="B53" s="31" t="s">
        <v>462</v>
      </c>
      <c r="C53" s="36">
        <v>6.09</v>
      </c>
      <c r="D53" s="31">
        <v>6.13</v>
      </c>
      <c r="E53" s="38">
        <f t="shared" si="5"/>
        <v>0.65681444991789872</v>
      </c>
      <c r="F53" s="31">
        <v>7.47</v>
      </c>
      <c r="G53" s="39">
        <f t="shared" si="6"/>
        <v>21.859706362153343</v>
      </c>
      <c r="H53" s="31">
        <v>7.01</v>
      </c>
      <c r="I53" s="34">
        <f t="shared" si="7"/>
        <v>6.1579651941097717</v>
      </c>
      <c r="J53" s="48">
        <f t="shared" si="3"/>
        <v>15.106732348111656</v>
      </c>
      <c r="K53" s="32" t="s">
        <v>437</v>
      </c>
      <c r="L53" s="65" t="s">
        <v>459</v>
      </c>
      <c r="M53" s="31">
        <v>6.89</v>
      </c>
      <c r="N53" s="32" t="s">
        <v>425</v>
      </c>
      <c r="O53" s="32" t="s">
        <v>418</v>
      </c>
      <c r="P53" s="37">
        <v>7.01</v>
      </c>
      <c r="Q53" s="38">
        <f t="shared" si="8"/>
        <v>1.7118402282453653</v>
      </c>
      <c r="R53" s="31" t="s">
        <v>418</v>
      </c>
      <c r="S53" s="31" t="s">
        <v>463</v>
      </c>
      <c r="T53" s="31"/>
      <c r="U53" s="3"/>
    </row>
    <row r="54" spans="1:21" x14ac:dyDescent="0.2">
      <c r="A54" s="64">
        <v>45870</v>
      </c>
      <c r="B54" s="31" t="s">
        <v>464</v>
      </c>
      <c r="C54" s="36">
        <v>4.45</v>
      </c>
      <c r="D54" s="31">
        <v>5.32</v>
      </c>
      <c r="E54" s="38">
        <f t="shared" si="5"/>
        <v>19.55056179775281</v>
      </c>
      <c r="F54" s="31">
        <v>5.79</v>
      </c>
      <c r="G54" s="39">
        <f t="shared" si="6"/>
        <v>8.8345864661654083</v>
      </c>
      <c r="H54" s="31">
        <v>5.07</v>
      </c>
      <c r="I54" s="34">
        <f t="shared" si="7"/>
        <v>12.435233160621758</v>
      </c>
      <c r="J54" s="48">
        <f t="shared" si="3"/>
        <v>13.932584269662923</v>
      </c>
      <c r="K54" s="32"/>
      <c r="L54" s="65" t="s">
        <v>459</v>
      </c>
      <c r="M54" s="31">
        <v>4.8899999999999997</v>
      </c>
      <c r="N54" s="32" t="s">
        <v>425</v>
      </c>
      <c r="O54" s="32" t="s">
        <v>418</v>
      </c>
      <c r="P54" s="37">
        <v>4.8</v>
      </c>
      <c r="Q54" s="38">
        <f t="shared" si="8"/>
        <v>-1.8749999999999971</v>
      </c>
      <c r="R54" s="31" t="s">
        <v>418</v>
      </c>
      <c r="S54" s="31" t="s">
        <v>465</v>
      </c>
      <c r="T54" s="31"/>
      <c r="U54" s="3"/>
    </row>
    <row r="55" spans="1:21" x14ac:dyDescent="0.2">
      <c r="A55" s="64">
        <v>45870</v>
      </c>
      <c r="B55" s="31" t="s">
        <v>442</v>
      </c>
      <c r="C55" s="36">
        <v>1.1599999999999999</v>
      </c>
      <c r="D55" s="31">
        <v>1.1599999999999999</v>
      </c>
      <c r="E55" s="38">
        <f t="shared" si="5"/>
        <v>0</v>
      </c>
      <c r="F55" s="31">
        <v>1.57</v>
      </c>
      <c r="G55" s="39">
        <f t="shared" si="6"/>
        <v>35.344827586206911</v>
      </c>
      <c r="H55" s="31">
        <v>1.32</v>
      </c>
      <c r="I55" s="34">
        <f t="shared" si="7"/>
        <v>15.923566878980891</v>
      </c>
      <c r="J55" s="48">
        <f t="shared" si="3"/>
        <v>13.793103448275875</v>
      </c>
      <c r="K55" s="32"/>
      <c r="L55" s="65" t="s">
        <v>459</v>
      </c>
      <c r="M55" s="31">
        <v>1.39</v>
      </c>
      <c r="N55" s="32" t="s">
        <v>400</v>
      </c>
      <c r="O55" s="32" t="s">
        <v>345</v>
      </c>
      <c r="P55" s="37">
        <v>1.65</v>
      </c>
      <c r="Q55" s="38">
        <f t="shared" si="8"/>
        <v>15.75757575757576</v>
      </c>
      <c r="R55" s="31" t="s">
        <v>418</v>
      </c>
      <c r="S55" s="31" t="s">
        <v>441</v>
      </c>
      <c r="T55" s="31"/>
      <c r="U55" s="3"/>
    </row>
    <row r="56" spans="1:21" x14ac:dyDescent="0.2">
      <c r="A56" s="64">
        <v>45870</v>
      </c>
      <c r="B56" s="31" t="s">
        <v>466</v>
      </c>
      <c r="C56" s="36">
        <v>1.27</v>
      </c>
      <c r="D56" s="31">
        <v>1.28</v>
      </c>
      <c r="E56" s="38">
        <f t="shared" si="5"/>
        <v>0.78740157480315032</v>
      </c>
      <c r="F56" s="31">
        <v>1.46</v>
      </c>
      <c r="G56" s="39">
        <f t="shared" si="6"/>
        <v>14.062499999999995</v>
      </c>
      <c r="H56" s="31">
        <v>1.44</v>
      </c>
      <c r="I56" s="34">
        <f t="shared" si="7"/>
        <v>1.3698630136986314</v>
      </c>
      <c r="J56" s="48">
        <f t="shared" si="3"/>
        <v>13.385826771653536</v>
      </c>
      <c r="K56" s="32" t="s">
        <v>433</v>
      </c>
      <c r="L56" s="65" t="s">
        <v>459</v>
      </c>
      <c r="M56" s="31">
        <v>1.45</v>
      </c>
      <c r="N56" s="32" t="s">
        <v>400</v>
      </c>
      <c r="O56" s="32" t="s">
        <v>418</v>
      </c>
      <c r="P56" s="37">
        <v>1.49</v>
      </c>
      <c r="Q56" s="38">
        <f t="shared" si="8"/>
        <v>2.6845637583892641</v>
      </c>
      <c r="R56" s="31" t="s">
        <v>345</v>
      </c>
      <c r="S56" s="31" t="s">
        <v>438</v>
      </c>
      <c r="T56" s="31"/>
      <c r="U56" s="3"/>
    </row>
    <row r="57" spans="1:21" x14ac:dyDescent="0.2">
      <c r="A57" s="33">
        <v>46235</v>
      </c>
      <c r="B57" s="31" t="s">
        <v>196</v>
      </c>
      <c r="C57" s="36">
        <v>1.29</v>
      </c>
      <c r="D57" s="31">
        <v>1.35</v>
      </c>
      <c r="E57" s="38">
        <f t="shared" si="5"/>
        <v>4.6511627906976782</v>
      </c>
      <c r="F57" s="31">
        <v>1.72</v>
      </c>
      <c r="G57" s="39">
        <f t="shared" si="6"/>
        <v>27.407407407407398</v>
      </c>
      <c r="H57" s="31">
        <v>1.57</v>
      </c>
      <c r="I57" s="34">
        <f t="shared" si="7"/>
        <v>8.7209302325581337</v>
      </c>
      <c r="J57" s="48">
        <f t="shared" si="3"/>
        <v>21.70542635658915</v>
      </c>
      <c r="K57" s="32" t="s">
        <v>433</v>
      </c>
      <c r="L57" s="65" t="s">
        <v>467</v>
      </c>
      <c r="M57" s="31">
        <v>1.63</v>
      </c>
      <c r="N57" s="32" t="s">
        <v>400</v>
      </c>
      <c r="O57" s="32" t="s">
        <v>345</v>
      </c>
      <c r="P57" s="37">
        <v>1.99</v>
      </c>
      <c r="Q57" s="38">
        <f t="shared" si="8"/>
        <v>18.090452261306538</v>
      </c>
      <c r="R57" s="31" t="s">
        <v>418</v>
      </c>
      <c r="S57" s="31" t="s">
        <v>463</v>
      </c>
      <c r="T57" s="31"/>
      <c r="U57" s="3"/>
    </row>
    <row r="58" spans="1:21" x14ac:dyDescent="0.2">
      <c r="A58" s="33">
        <v>47331</v>
      </c>
      <c r="B58" s="31" t="s">
        <v>468</v>
      </c>
      <c r="C58" s="36">
        <v>0.46</v>
      </c>
      <c r="D58" s="31">
        <v>0.54</v>
      </c>
      <c r="E58" s="38">
        <f t="shared" si="5"/>
        <v>17.39130434782609</v>
      </c>
      <c r="F58" s="31">
        <v>0.63</v>
      </c>
      <c r="G58" s="39">
        <f t="shared" si="6"/>
        <v>16.666666666666661</v>
      </c>
      <c r="H58" s="31">
        <v>0.57999999999999996</v>
      </c>
      <c r="I58" s="34">
        <f t="shared" si="7"/>
        <v>7.936507936507943</v>
      </c>
      <c r="J58" s="48">
        <f t="shared" si="3"/>
        <v>26.086956521739118</v>
      </c>
      <c r="K58" s="32" t="s">
        <v>427</v>
      </c>
      <c r="L58" s="65" t="s">
        <v>469</v>
      </c>
      <c r="M58" s="31">
        <v>0.55000000000000004</v>
      </c>
      <c r="N58" s="32" t="s">
        <v>425</v>
      </c>
      <c r="O58" s="32" t="s">
        <v>418</v>
      </c>
      <c r="P58" s="37">
        <v>0.56000000000000005</v>
      </c>
      <c r="Q58" s="38">
        <f t="shared" si="8"/>
        <v>1.7857142857142869</v>
      </c>
      <c r="R58" s="31" t="s">
        <v>345</v>
      </c>
      <c r="S58" s="31" t="s">
        <v>457</v>
      </c>
      <c r="T58" s="31"/>
      <c r="U58" s="3"/>
    </row>
    <row r="59" spans="1:21" x14ac:dyDescent="0.2">
      <c r="A59" s="33">
        <v>47331</v>
      </c>
      <c r="B59" s="31" t="s">
        <v>470</v>
      </c>
      <c r="C59" s="36">
        <v>5.2</v>
      </c>
      <c r="D59" s="31">
        <v>5.26</v>
      </c>
      <c r="E59" s="38">
        <f t="shared" si="5"/>
        <v>1.1538461538461462</v>
      </c>
      <c r="F59" s="31">
        <v>7.24</v>
      </c>
      <c r="G59" s="39">
        <f t="shared" si="6"/>
        <v>37.642585551330811</v>
      </c>
      <c r="H59" s="31">
        <v>6.49</v>
      </c>
      <c r="I59" s="34">
        <f t="shared" si="7"/>
        <v>10.359116022099448</v>
      </c>
      <c r="J59" s="48">
        <f t="shared" si="3"/>
        <v>24.807692307692307</v>
      </c>
      <c r="K59" s="32" t="s">
        <v>437</v>
      </c>
      <c r="L59" s="65" t="s">
        <v>469</v>
      </c>
      <c r="M59" s="31">
        <v>6.12</v>
      </c>
      <c r="N59" s="32" t="s">
        <v>471</v>
      </c>
      <c r="O59" s="32" t="s">
        <v>345</v>
      </c>
      <c r="P59" s="37">
        <v>6.84</v>
      </c>
      <c r="Q59" s="38">
        <f t="shared" si="8"/>
        <v>10.526315789473681</v>
      </c>
      <c r="R59" s="31" t="s">
        <v>418</v>
      </c>
      <c r="S59" s="31" t="s">
        <v>441</v>
      </c>
      <c r="T59" s="31"/>
      <c r="U59" s="3"/>
    </row>
    <row r="60" spans="1:21" x14ac:dyDescent="0.2">
      <c r="A60" s="33">
        <v>47331</v>
      </c>
      <c r="B60" s="31" t="s">
        <v>398</v>
      </c>
      <c r="C60" s="36">
        <v>8.25</v>
      </c>
      <c r="D60" s="31">
        <v>8.4600000000000009</v>
      </c>
      <c r="E60" s="38">
        <f t="shared" si="5"/>
        <v>2.5454545454545561</v>
      </c>
      <c r="F60" s="31">
        <v>9.81</v>
      </c>
      <c r="G60" s="39">
        <f t="shared" si="6"/>
        <v>15.957446808510634</v>
      </c>
      <c r="H60" s="31">
        <v>9.6999999999999993</v>
      </c>
      <c r="I60" s="34">
        <f t="shared" si="7"/>
        <v>1.1213047910295739</v>
      </c>
      <c r="J60" s="48">
        <f t="shared" si="3"/>
        <v>17.575757575757567</v>
      </c>
      <c r="K60" s="32"/>
      <c r="L60" s="65" t="s">
        <v>469</v>
      </c>
      <c r="M60" s="31">
        <v>9.6999999999999993</v>
      </c>
      <c r="N60" s="32" t="s">
        <v>449</v>
      </c>
      <c r="O60" s="32" t="s">
        <v>418</v>
      </c>
      <c r="P60" s="37">
        <v>10.1</v>
      </c>
      <c r="Q60" s="38">
        <f t="shared" si="8"/>
        <v>3.9603960396039639</v>
      </c>
      <c r="R60" s="31" t="s">
        <v>345</v>
      </c>
      <c r="S60" s="31" t="s">
        <v>457</v>
      </c>
      <c r="T60" s="31" t="s">
        <v>418</v>
      </c>
      <c r="U60" s="3"/>
    </row>
    <row r="61" spans="1:21" x14ac:dyDescent="0.2">
      <c r="A61" s="33">
        <v>11171</v>
      </c>
      <c r="B61" s="31" t="s">
        <v>472</v>
      </c>
      <c r="C61" s="36">
        <v>2.64</v>
      </c>
      <c r="D61" s="31">
        <v>3.26</v>
      </c>
      <c r="E61" s="38">
        <f t="shared" si="5"/>
        <v>23.484848484848474</v>
      </c>
      <c r="F61" s="31">
        <v>4.0599999999999996</v>
      </c>
      <c r="G61" s="39">
        <f t="shared" si="6"/>
        <v>24.539877300613494</v>
      </c>
      <c r="H61" s="31">
        <v>3.64</v>
      </c>
      <c r="I61" s="34">
        <f t="shared" si="7"/>
        <v>10.344827586206886</v>
      </c>
      <c r="J61" s="48">
        <f t="shared" si="3"/>
        <v>37.878787878787875</v>
      </c>
      <c r="K61" s="32" t="s">
        <v>373</v>
      </c>
      <c r="L61" s="65" t="s">
        <v>473</v>
      </c>
      <c r="M61" s="31">
        <v>3.76</v>
      </c>
      <c r="N61" s="32" t="s">
        <v>425</v>
      </c>
      <c r="O61" s="32" t="s">
        <v>418</v>
      </c>
      <c r="P61" s="37">
        <v>3.83</v>
      </c>
      <c r="Q61" s="38">
        <f t="shared" si="8"/>
        <v>1.8276762402088846</v>
      </c>
      <c r="R61" s="31" t="s">
        <v>345</v>
      </c>
      <c r="S61" s="31" t="s">
        <v>438</v>
      </c>
      <c r="T61" s="31"/>
      <c r="U61" s="3"/>
    </row>
    <row r="62" spans="1:21" x14ac:dyDescent="0.2">
      <c r="A62" s="33">
        <v>11171</v>
      </c>
      <c r="B62" s="31" t="s">
        <v>474</v>
      </c>
      <c r="C62" s="36">
        <v>7.12</v>
      </c>
      <c r="D62" s="31">
        <v>7.55</v>
      </c>
      <c r="E62" s="38">
        <f t="shared" si="5"/>
        <v>6.0393258426966252</v>
      </c>
      <c r="F62" s="31">
        <v>9.86</v>
      </c>
      <c r="G62" s="39">
        <f t="shared" si="6"/>
        <v>30.596026490066219</v>
      </c>
      <c r="H62" s="31">
        <v>9.74</v>
      </c>
      <c r="I62" s="34">
        <f t="shared" si="7"/>
        <v>1.2170385395537446</v>
      </c>
      <c r="J62" s="48">
        <f t="shared" si="3"/>
        <v>36.797752808988768</v>
      </c>
      <c r="K62" s="32" t="s">
        <v>433</v>
      </c>
      <c r="L62" s="65" t="s">
        <v>473</v>
      </c>
      <c r="M62" s="31">
        <v>9.32</v>
      </c>
      <c r="N62" s="32" t="s">
        <v>425</v>
      </c>
      <c r="O62" s="32" t="s">
        <v>418</v>
      </c>
      <c r="P62" s="37">
        <v>10.24</v>
      </c>
      <c r="Q62" s="38">
        <f t="shared" si="8"/>
        <v>8.9843749999999982</v>
      </c>
      <c r="R62" s="31" t="s">
        <v>345</v>
      </c>
      <c r="S62" s="31" t="s">
        <v>475</v>
      </c>
      <c r="T62" s="31"/>
      <c r="U62" s="3"/>
    </row>
    <row r="63" spans="1:21" x14ac:dyDescent="0.2">
      <c r="A63" s="33">
        <v>11171</v>
      </c>
      <c r="B63" s="31" t="s">
        <v>476</v>
      </c>
      <c r="C63" s="36">
        <v>1.45</v>
      </c>
      <c r="D63" s="31">
        <v>1.45</v>
      </c>
      <c r="E63" s="38">
        <f t="shared" si="5"/>
        <v>0</v>
      </c>
      <c r="F63" s="31">
        <v>1.88</v>
      </c>
      <c r="G63" s="39">
        <f t="shared" si="6"/>
        <v>29.655172413793103</v>
      </c>
      <c r="H63" s="31">
        <v>1.63</v>
      </c>
      <c r="I63" s="34">
        <f t="shared" ref="I63:I173" si="9">(F63-H63)/F63*100</f>
        <v>13.297872340425531</v>
      </c>
      <c r="J63" s="48">
        <f t="shared" si="3"/>
        <v>12.413793103448272</v>
      </c>
      <c r="K63" s="32"/>
      <c r="L63" s="65" t="s">
        <v>473</v>
      </c>
      <c r="M63" s="31">
        <v>1.54</v>
      </c>
      <c r="N63" s="32" t="s">
        <v>400</v>
      </c>
      <c r="O63" s="32" t="s">
        <v>418</v>
      </c>
      <c r="P63" s="37">
        <v>1.57</v>
      </c>
      <c r="Q63" s="72">
        <f t="shared" si="8"/>
        <v>1.9108280254777086</v>
      </c>
      <c r="R63" s="31" t="s">
        <v>418</v>
      </c>
      <c r="S63" s="31" t="s">
        <v>441</v>
      </c>
      <c r="T63" s="31"/>
      <c r="U63" s="3"/>
    </row>
    <row r="64" spans="1:21" x14ac:dyDescent="0.2">
      <c r="A64" s="33">
        <v>11171</v>
      </c>
      <c r="B64" s="31" t="s">
        <v>477</v>
      </c>
      <c r="C64" s="36">
        <v>21.37</v>
      </c>
      <c r="D64" s="31">
        <v>22.55</v>
      </c>
      <c r="E64" s="38">
        <f t="shared" si="5"/>
        <v>5.5217594759007937</v>
      </c>
      <c r="F64" s="31">
        <v>25.2</v>
      </c>
      <c r="G64" s="39">
        <f t="shared" si="6"/>
        <v>11.751662971175159</v>
      </c>
      <c r="H64" s="31">
        <v>23.89</v>
      </c>
      <c r="I64" s="34">
        <f t="shared" si="9"/>
        <v>5.1984126984126942</v>
      </c>
      <c r="J64" s="48">
        <f t="shared" si="3"/>
        <v>11.792232101076273</v>
      </c>
      <c r="K64" s="32" t="s">
        <v>437</v>
      </c>
      <c r="L64" s="65" t="s">
        <v>473</v>
      </c>
      <c r="M64" s="31">
        <v>23.73</v>
      </c>
      <c r="N64" s="32" t="s">
        <v>375</v>
      </c>
      <c r="O64" s="32" t="s">
        <v>418</v>
      </c>
      <c r="P64" s="37">
        <v>24.5</v>
      </c>
      <c r="Q64" s="72">
        <f t="shared" ref="Q64:Q133" si="10">(P64-M64)/P64*100</f>
        <v>3.142857142857141</v>
      </c>
      <c r="R64" s="31" t="s">
        <v>345</v>
      </c>
      <c r="S64" s="31" t="s">
        <v>438</v>
      </c>
      <c r="T64" s="31"/>
      <c r="U64" s="3"/>
    </row>
    <row r="65" spans="1:21" x14ac:dyDescent="0.2">
      <c r="A65" s="33">
        <v>11171</v>
      </c>
      <c r="B65" s="31" t="s">
        <v>478</v>
      </c>
      <c r="C65" s="36">
        <v>16.05</v>
      </c>
      <c r="D65" s="31">
        <v>16.03</v>
      </c>
      <c r="E65" s="38">
        <f t="shared" si="5"/>
        <v>-0.12461059190030886</v>
      </c>
      <c r="F65" s="31">
        <v>18.420000000000002</v>
      </c>
      <c r="G65" s="39">
        <f t="shared" si="6"/>
        <v>14.909544603867749</v>
      </c>
      <c r="H65" s="31">
        <v>17.8</v>
      </c>
      <c r="I65" s="34">
        <f t="shared" si="9"/>
        <v>3.3659066232356185</v>
      </c>
      <c r="J65" s="48">
        <f t="shared" si="3"/>
        <v>10.903426791277258</v>
      </c>
      <c r="K65" s="32"/>
      <c r="L65" s="65" t="s">
        <v>473</v>
      </c>
      <c r="M65" s="31">
        <v>17.600000000000001</v>
      </c>
      <c r="N65" s="32" t="s">
        <v>425</v>
      </c>
      <c r="O65" s="32" t="s">
        <v>418</v>
      </c>
      <c r="P65" s="37">
        <v>18.13</v>
      </c>
      <c r="Q65" s="72">
        <f t="shared" si="10"/>
        <v>2.9233314947600531</v>
      </c>
      <c r="R65" s="31" t="s">
        <v>418</v>
      </c>
      <c r="S65" s="31" t="s">
        <v>441</v>
      </c>
      <c r="T65" s="31"/>
      <c r="U65" s="3"/>
    </row>
    <row r="66" spans="1:21" x14ac:dyDescent="0.2">
      <c r="A66" s="33">
        <v>11171</v>
      </c>
      <c r="B66" s="31" t="s">
        <v>479</v>
      </c>
      <c r="C66" s="36">
        <v>1.31</v>
      </c>
      <c r="D66" s="31">
        <v>1.3</v>
      </c>
      <c r="E66" s="38">
        <f t="shared" si="5"/>
        <v>-0.76335877862595491</v>
      </c>
      <c r="F66" s="31">
        <v>1.68</v>
      </c>
      <c r="G66" s="39">
        <f t="shared" si="6"/>
        <v>29.230769230769223</v>
      </c>
      <c r="H66" s="31">
        <v>1.35</v>
      </c>
      <c r="I66" s="34">
        <f t="shared" si="9"/>
        <v>19.642857142857135</v>
      </c>
      <c r="J66" s="48">
        <f t="shared" si="3"/>
        <v>3.0534351145038197</v>
      </c>
      <c r="K66" s="32"/>
      <c r="L66" s="65" t="s">
        <v>473</v>
      </c>
      <c r="M66" s="31">
        <v>1.39</v>
      </c>
      <c r="N66" s="32" t="s">
        <v>400</v>
      </c>
      <c r="O66" s="32" t="s">
        <v>345</v>
      </c>
      <c r="P66" s="37">
        <v>1.47</v>
      </c>
      <c r="Q66" s="72">
        <f t="shared" si="10"/>
        <v>5.4421768707483036</v>
      </c>
      <c r="R66" s="31" t="s">
        <v>418</v>
      </c>
      <c r="S66" s="31" t="s">
        <v>441</v>
      </c>
      <c r="T66" s="31"/>
      <c r="U66" s="3"/>
    </row>
    <row r="67" spans="1:21" x14ac:dyDescent="0.2">
      <c r="A67" s="33">
        <v>11536</v>
      </c>
      <c r="B67" s="31" t="s">
        <v>480</v>
      </c>
      <c r="C67" s="36">
        <v>8.32</v>
      </c>
      <c r="D67" s="31">
        <v>8.17</v>
      </c>
      <c r="E67" s="50">
        <f t="shared" si="5"/>
        <v>-1.8028846153846196</v>
      </c>
      <c r="F67" s="31">
        <v>12.7</v>
      </c>
      <c r="G67" s="39">
        <f t="shared" si="6"/>
        <v>55.446756425948585</v>
      </c>
      <c r="H67" s="31">
        <v>13.2</v>
      </c>
      <c r="I67" s="34">
        <f t="shared" si="9"/>
        <v>-3.9370078740157481</v>
      </c>
      <c r="J67" s="48">
        <f t="shared" si="3"/>
        <v>58.653846153846146</v>
      </c>
      <c r="K67" s="32" t="s">
        <v>433</v>
      </c>
      <c r="L67" s="33">
        <v>37135</v>
      </c>
      <c r="M67" s="31">
        <v>13.2</v>
      </c>
      <c r="N67" s="32" t="s">
        <v>400</v>
      </c>
      <c r="O67" s="32" t="s">
        <v>418</v>
      </c>
      <c r="P67" s="37">
        <v>13.84</v>
      </c>
      <c r="Q67" s="72">
        <f t="shared" si="10"/>
        <v>4.6242774566474028</v>
      </c>
      <c r="R67" s="31" t="s">
        <v>345</v>
      </c>
      <c r="S67" s="31" t="s">
        <v>445</v>
      </c>
      <c r="T67" s="31" t="s">
        <v>481</v>
      </c>
      <c r="U67" s="3"/>
    </row>
    <row r="68" spans="1:21" x14ac:dyDescent="0.2">
      <c r="A68" s="33">
        <v>11536</v>
      </c>
      <c r="B68" s="31" t="s">
        <v>482</v>
      </c>
      <c r="C68" s="36">
        <v>4.05</v>
      </c>
      <c r="D68" s="31">
        <v>4.0199999999999996</v>
      </c>
      <c r="E68" s="38">
        <f t="shared" si="5"/>
        <v>-0.74074074074074692</v>
      </c>
      <c r="F68" s="31">
        <v>6.21</v>
      </c>
      <c r="G68" s="39">
        <f t="shared" si="6"/>
        <v>54.477611940298523</v>
      </c>
      <c r="H68" s="31">
        <v>5.76</v>
      </c>
      <c r="I68" s="34">
        <f t="shared" si="9"/>
        <v>7.2463768115942058</v>
      </c>
      <c r="J68" s="48">
        <f t="shared" si="3"/>
        <v>42.222222222222221</v>
      </c>
      <c r="K68" s="32" t="s">
        <v>433</v>
      </c>
      <c r="L68" s="33">
        <v>37135</v>
      </c>
      <c r="M68" s="31">
        <v>5.54</v>
      </c>
      <c r="N68" s="32" t="s">
        <v>375</v>
      </c>
      <c r="O68" s="32" t="s">
        <v>418</v>
      </c>
      <c r="P68" s="37">
        <v>5.64</v>
      </c>
      <c r="Q68" s="72">
        <f t="shared" si="10"/>
        <v>1.7730496453900648</v>
      </c>
      <c r="R68" s="31" t="s">
        <v>345</v>
      </c>
      <c r="S68" s="31" t="s">
        <v>445</v>
      </c>
      <c r="T68" s="31"/>
      <c r="U68" s="3"/>
    </row>
    <row r="69" spans="1:21" x14ac:dyDescent="0.2">
      <c r="A69" s="33">
        <v>11536</v>
      </c>
      <c r="B69" s="31" t="s">
        <v>483</v>
      </c>
      <c r="C69" s="36">
        <v>0.92</v>
      </c>
      <c r="D69" s="31">
        <v>0.91</v>
      </c>
      <c r="E69" s="37">
        <f t="shared" si="5"/>
        <v>-1.0869565217391313</v>
      </c>
      <c r="F69" s="31">
        <v>1.6</v>
      </c>
      <c r="G69" s="39">
        <f t="shared" si="6"/>
        <v>75.824175824175839</v>
      </c>
      <c r="H69" s="31">
        <v>1.1200000000000001</v>
      </c>
      <c r="I69" s="34">
        <f t="shared" si="9"/>
        <v>30</v>
      </c>
      <c r="J69" s="48">
        <f t="shared" si="3"/>
        <v>21.739130434782613</v>
      </c>
      <c r="K69" s="32" t="s">
        <v>437</v>
      </c>
      <c r="L69" s="33">
        <v>37135</v>
      </c>
      <c r="M69" s="31">
        <v>1.1000000000000001</v>
      </c>
      <c r="N69" s="32" t="s">
        <v>425</v>
      </c>
      <c r="O69" s="32" t="s">
        <v>418</v>
      </c>
      <c r="P69" s="37">
        <v>1.2</v>
      </c>
      <c r="Q69" s="72">
        <f t="shared" si="10"/>
        <v>8.3333333333333233</v>
      </c>
      <c r="R69" s="31" t="s">
        <v>418</v>
      </c>
      <c r="S69" s="31" t="s">
        <v>441</v>
      </c>
      <c r="T69" s="31"/>
      <c r="U69" s="3"/>
    </row>
    <row r="70" spans="1:21" x14ac:dyDescent="0.2">
      <c r="A70" s="33">
        <v>11536</v>
      </c>
      <c r="B70" s="31" t="s">
        <v>484</v>
      </c>
      <c r="C70" s="36">
        <v>5.17</v>
      </c>
      <c r="D70" s="31">
        <v>5.12</v>
      </c>
      <c r="E70" s="37">
        <f t="shared" si="5"/>
        <v>-0.96711798839458074</v>
      </c>
      <c r="F70" s="31">
        <v>6.48</v>
      </c>
      <c r="G70" s="39">
        <f t="shared" si="6"/>
        <v>26.562500000000007</v>
      </c>
      <c r="H70" s="31">
        <v>6.14</v>
      </c>
      <c r="I70" s="34">
        <f t="shared" si="9"/>
        <v>5.2469135802469253</v>
      </c>
      <c r="J70" s="48">
        <f t="shared" si="3"/>
        <v>18.76208897485493</v>
      </c>
      <c r="K70" s="32" t="s">
        <v>427</v>
      </c>
      <c r="L70" s="33">
        <v>37135</v>
      </c>
      <c r="M70" s="31">
        <v>6.25</v>
      </c>
      <c r="N70" s="32" t="s">
        <v>400</v>
      </c>
      <c r="O70" s="32" t="s">
        <v>418</v>
      </c>
      <c r="P70" s="37">
        <v>6.77</v>
      </c>
      <c r="Q70" s="72">
        <f t="shared" si="10"/>
        <v>7.6809453471196401</v>
      </c>
      <c r="R70" s="31" t="s">
        <v>441</v>
      </c>
      <c r="S70" s="31"/>
      <c r="T70" s="31"/>
      <c r="U70" s="3"/>
    </row>
    <row r="71" spans="1:21" x14ac:dyDescent="0.2">
      <c r="A71" s="33">
        <v>11536</v>
      </c>
      <c r="B71" s="31" t="s">
        <v>485</v>
      </c>
      <c r="C71" s="36">
        <v>11.3</v>
      </c>
      <c r="D71" s="31">
        <v>12.12</v>
      </c>
      <c r="E71" s="37">
        <f t="shared" si="5"/>
        <v>7.2566371681415793</v>
      </c>
      <c r="F71" s="31">
        <v>13.09</v>
      </c>
      <c r="G71" s="39">
        <f t="shared" si="6"/>
        <v>8.0033003300330083</v>
      </c>
      <c r="H71" s="31">
        <v>12.68</v>
      </c>
      <c r="I71" s="34">
        <f t="shared" si="9"/>
        <v>3.1321619556913682</v>
      </c>
      <c r="J71" s="48">
        <f t="shared" si="3"/>
        <v>12.212389380530963</v>
      </c>
      <c r="K71" s="32" t="s">
        <v>437</v>
      </c>
      <c r="L71" s="33">
        <v>37135</v>
      </c>
      <c r="M71" s="31">
        <v>12.75</v>
      </c>
      <c r="N71" s="32" t="s">
        <v>400</v>
      </c>
      <c r="O71" s="32" t="s">
        <v>418</v>
      </c>
      <c r="P71" s="37">
        <v>12.75</v>
      </c>
      <c r="Q71" s="72">
        <f t="shared" si="10"/>
        <v>0</v>
      </c>
      <c r="R71" s="31" t="s">
        <v>418</v>
      </c>
      <c r="S71" s="31" t="s">
        <v>441</v>
      </c>
      <c r="T71" s="31"/>
      <c r="U71" s="3"/>
    </row>
    <row r="72" spans="1:21" x14ac:dyDescent="0.2">
      <c r="A72" s="33">
        <v>37135</v>
      </c>
      <c r="B72" s="31" t="s">
        <v>486</v>
      </c>
      <c r="C72" s="36">
        <v>0.54</v>
      </c>
      <c r="D72" s="31">
        <v>0.54</v>
      </c>
      <c r="E72" s="38">
        <f t="shared" si="5"/>
        <v>0</v>
      </c>
      <c r="F72" s="31">
        <v>0.93</v>
      </c>
      <c r="G72" s="39">
        <f t="shared" si="6"/>
        <v>72.222222222222214</v>
      </c>
      <c r="H72" s="31">
        <v>0.8</v>
      </c>
      <c r="I72" s="34">
        <f t="shared" si="9"/>
        <v>13.978494623655912</v>
      </c>
      <c r="J72" s="48">
        <f t="shared" si="3"/>
        <v>48.148148148148145</v>
      </c>
      <c r="K72" s="32" t="s">
        <v>437</v>
      </c>
      <c r="L72" s="33">
        <v>37500</v>
      </c>
      <c r="M72" s="31">
        <v>0.74</v>
      </c>
      <c r="N72" s="32" t="s">
        <v>375</v>
      </c>
      <c r="O72" s="32" t="s">
        <v>418</v>
      </c>
      <c r="P72" s="37">
        <v>0.82</v>
      </c>
      <c r="Q72" s="72">
        <f t="shared" si="10"/>
        <v>9.756097560975606</v>
      </c>
      <c r="R72" s="31" t="s">
        <v>345</v>
      </c>
      <c r="S72" s="31" t="s">
        <v>447</v>
      </c>
      <c r="T72" s="31"/>
      <c r="U72" s="3"/>
    </row>
    <row r="73" spans="1:21" x14ac:dyDescent="0.2">
      <c r="A73" s="33">
        <v>37135</v>
      </c>
      <c r="B73" s="31" t="s">
        <v>487</v>
      </c>
      <c r="C73" s="36">
        <v>2.37</v>
      </c>
      <c r="D73" s="31">
        <v>2.39</v>
      </c>
      <c r="E73" s="38">
        <f t="shared" si="5"/>
        <v>0.84388185654008518</v>
      </c>
      <c r="F73" s="31">
        <v>3.2</v>
      </c>
      <c r="G73" s="39">
        <f t="shared" si="6"/>
        <v>33.89121338912134</v>
      </c>
      <c r="H73" s="31">
        <v>2.76</v>
      </c>
      <c r="I73" s="34">
        <f t="shared" si="9"/>
        <v>13.750000000000012</v>
      </c>
      <c r="J73" s="48">
        <f t="shared" si="3"/>
        <v>16.45569620253163</v>
      </c>
      <c r="K73" s="32" t="s">
        <v>437</v>
      </c>
      <c r="L73" s="33">
        <v>37500</v>
      </c>
      <c r="M73" s="31">
        <v>2.64</v>
      </c>
      <c r="N73" s="32" t="s">
        <v>425</v>
      </c>
      <c r="O73" s="32" t="s">
        <v>345</v>
      </c>
      <c r="P73" s="37">
        <v>3.64</v>
      </c>
      <c r="Q73" s="72">
        <f t="shared" si="10"/>
        <v>27.472527472527471</v>
      </c>
      <c r="R73" s="31" t="s">
        <v>345</v>
      </c>
      <c r="S73" s="31" t="s">
        <v>447</v>
      </c>
      <c r="T73" s="31"/>
      <c r="U73" s="3"/>
    </row>
    <row r="74" spans="1:21" x14ac:dyDescent="0.2">
      <c r="A74" s="33">
        <v>37135</v>
      </c>
      <c r="B74" s="54" t="s">
        <v>488</v>
      </c>
      <c r="C74" s="89">
        <v>1.3</v>
      </c>
      <c r="D74" s="54">
        <v>1.55</v>
      </c>
      <c r="E74" s="38">
        <f t="shared" si="5"/>
        <v>19.23076923076923</v>
      </c>
      <c r="F74" s="54">
        <v>1.84</v>
      </c>
      <c r="G74" s="39">
        <f t="shared" si="6"/>
        <v>18.70967741935484</v>
      </c>
      <c r="H74" s="54">
        <v>1.49</v>
      </c>
      <c r="I74" s="103">
        <f t="shared" si="9"/>
        <v>19.021739130434785</v>
      </c>
      <c r="J74" s="98">
        <f t="shared" si="3"/>
        <v>14.615384615384611</v>
      </c>
      <c r="K74" s="65" t="s">
        <v>427</v>
      </c>
      <c r="L74" s="33">
        <v>37500</v>
      </c>
      <c r="M74" s="54">
        <v>1.43</v>
      </c>
      <c r="N74" s="32" t="s">
        <v>375</v>
      </c>
      <c r="O74" s="32" t="s">
        <v>418</v>
      </c>
      <c r="P74" s="37">
        <v>1.47</v>
      </c>
      <c r="Q74" s="72">
        <f t="shared" si="10"/>
        <v>2.7210884353741518</v>
      </c>
      <c r="R74" s="31" t="s">
        <v>345</v>
      </c>
      <c r="S74" s="31" t="s">
        <v>445</v>
      </c>
      <c r="T74" s="31"/>
      <c r="U74" s="3"/>
    </row>
    <row r="75" spans="1:21" x14ac:dyDescent="0.2">
      <c r="A75" s="33">
        <v>37500</v>
      </c>
      <c r="B75" s="54" t="s">
        <v>489</v>
      </c>
      <c r="C75" s="36">
        <v>1.35</v>
      </c>
      <c r="D75" s="54">
        <v>1.37</v>
      </c>
      <c r="E75" s="38">
        <f t="shared" si="5"/>
        <v>1.4814814814814827</v>
      </c>
      <c r="F75" s="54">
        <v>1.87</v>
      </c>
      <c r="G75" s="39">
        <f t="shared" si="6"/>
        <v>36.496350364963504</v>
      </c>
      <c r="H75" s="54">
        <v>1.61</v>
      </c>
      <c r="I75" s="34">
        <f t="shared" si="9"/>
        <v>13.903743315508022</v>
      </c>
      <c r="J75" s="48">
        <f t="shared" si="3"/>
        <v>19.25925925925926</v>
      </c>
      <c r="K75" s="32" t="s">
        <v>437</v>
      </c>
      <c r="L75" s="33">
        <v>39326</v>
      </c>
      <c r="M75" s="31">
        <v>1.55</v>
      </c>
      <c r="N75" s="32" t="s">
        <v>471</v>
      </c>
      <c r="O75" s="32" t="s">
        <v>418</v>
      </c>
      <c r="P75" s="37">
        <v>1.62</v>
      </c>
      <c r="Q75" s="72">
        <f t="shared" si="10"/>
        <v>4.3209876543209909</v>
      </c>
      <c r="R75" s="31" t="s">
        <v>418</v>
      </c>
      <c r="S75" s="31" t="s">
        <v>445</v>
      </c>
      <c r="T75" s="31"/>
      <c r="U75" s="3"/>
    </row>
    <row r="76" spans="1:21" x14ac:dyDescent="0.2">
      <c r="A76" s="33">
        <v>37500</v>
      </c>
      <c r="B76" s="31" t="s">
        <v>470</v>
      </c>
      <c r="C76" s="36">
        <v>6.76</v>
      </c>
      <c r="D76" s="31">
        <v>6.81</v>
      </c>
      <c r="E76" s="38">
        <f t="shared" si="5"/>
        <v>0.73964497041419852</v>
      </c>
      <c r="F76" s="31">
        <v>8.8800000000000008</v>
      </c>
      <c r="G76" s="39">
        <f t="shared" si="6"/>
        <v>30.396475770925129</v>
      </c>
      <c r="H76" s="31">
        <v>7.98</v>
      </c>
      <c r="I76" s="34">
        <f t="shared" si="9"/>
        <v>10.135135135135139</v>
      </c>
      <c r="J76" s="48">
        <f t="shared" si="3"/>
        <v>18.047337278106518</v>
      </c>
      <c r="K76" s="32" t="s">
        <v>433</v>
      </c>
      <c r="L76" s="33">
        <v>39326</v>
      </c>
      <c r="M76" s="31">
        <v>7.95</v>
      </c>
      <c r="N76" s="32" t="s">
        <v>375</v>
      </c>
      <c r="O76" s="32" t="s">
        <v>345</v>
      </c>
      <c r="P76" s="37">
        <v>8.6</v>
      </c>
      <c r="Q76" s="72">
        <f t="shared" si="10"/>
        <v>7.5581395348837148</v>
      </c>
      <c r="R76" s="31" t="s">
        <v>345</v>
      </c>
      <c r="S76" s="31" t="s">
        <v>429</v>
      </c>
      <c r="T76" s="31"/>
      <c r="U76" s="3"/>
    </row>
    <row r="77" spans="1:21" x14ac:dyDescent="0.2">
      <c r="A77" s="33">
        <v>39692</v>
      </c>
      <c r="B77" s="31" t="s">
        <v>490</v>
      </c>
      <c r="C77" s="36">
        <v>1.25</v>
      </c>
      <c r="D77" s="31">
        <v>1.25</v>
      </c>
      <c r="E77" s="38">
        <f t="shared" si="5"/>
        <v>0</v>
      </c>
      <c r="F77" s="31">
        <v>1.8</v>
      </c>
      <c r="G77" s="39">
        <f t="shared" si="6"/>
        <v>44.000000000000007</v>
      </c>
      <c r="H77" s="31">
        <v>1.8</v>
      </c>
      <c r="I77" s="34">
        <f t="shared" si="9"/>
        <v>0</v>
      </c>
      <c r="J77" s="48">
        <f t="shared" si="3"/>
        <v>44.000000000000007</v>
      </c>
      <c r="K77" s="32" t="s">
        <v>433</v>
      </c>
      <c r="L77" s="33">
        <v>39692</v>
      </c>
      <c r="M77" s="31">
        <v>1.72</v>
      </c>
      <c r="N77" s="32" t="s">
        <v>425</v>
      </c>
      <c r="O77" s="32" t="s">
        <v>418</v>
      </c>
      <c r="P77" s="37">
        <v>2.15</v>
      </c>
      <c r="Q77" s="72">
        <f t="shared" si="10"/>
        <v>20</v>
      </c>
      <c r="R77" s="31" t="s">
        <v>345</v>
      </c>
      <c r="S77" s="31" t="s">
        <v>457</v>
      </c>
      <c r="T77" s="31"/>
      <c r="U77" s="3"/>
    </row>
    <row r="78" spans="1:21" x14ac:dyDescent="0.2">
      <c r="A78" s="33">
        <v>39692</v>
      </c>
      <c r="B78" s="31" t="s">
        <v>491</v>
      </c>
      <c r="C78" s="36">
        <v>14.07</v>
      </c>
      <c r="D78" s="31">
        <v>19.5</v>
      </c>
      <c r="E78" s="38">
        <f t="shared" si="5"/>
        <v>38.592750533049035</v>
      </c>
      <c r="F78" s="31">
        <v>23.45</v>
      </c>
      <c r="G78" s="39">
        <f t="shared" si="6"/>
        <v>20.256410256410255</v>
      </c>
      <c r="H78" s="31">
        <v>19.62</v>
      </c>
      <c r="I78" s="34">
        <f t="shared" si="9"/>
        <v>16.332622601279311</v>
      </c>
      <c r="J78" s="48">
        <f t="shared" si="3"/>
        <v>39.445628997867807</v>
      </c>
      <c r="K78" s="32" t="s">
        <v>427</v>
      </c>
      <c r="L78" s="33">
        <v>39692</v>
      </c>
      <c r="M78" s="31">
        <v>19.82</v>
      </c>
      <c r="N78" s="32" t="s">
        <v>375</v>
      </c>
      <c r="O78" s="32" t="s">
        <v>345</v>
      </c>
      <c r="P78" s="37">
        <v>19.940000000000001</v>
      </c>
      <c r="Q78" s="72">
        <f t="shared" si="10"/>
        <v>0.60180541624875128</v>
      </c>
      <c r="R78" s="31" t="s">
        <v>345</v>
      </c>
      <c r="S78" s="31" t="s">
        <v>445</v>
      </c>
      <c r="T78" s="31"/>
      <c r="U78" s="3"/>
    </row>
    <row r="79" spans="1:21" x14ac:dyDescent="0.2">
      <c r="A79" s="33">
        <v>39692</v>
      </c>
      <c r="B79" s="31" t="s">
        <v>492</v>
      </c>
      <c r="C79" s="36">
        <v>8.7899999999999991</v>
      </c>
      <c r="D79" s="31">
        <v>8.8699999999999992</v>
      </c>
      <c r="E79" s="38">
        <f t="shared" si="5"/>
        <v>0.91012514220705432</v>
      </c>
      <c r="F79" s="31">
        <v>10.74</v>
      </c>
      <c r="G79" s="39">
        <f t="shared" si="6"/>
        <v>21.08229988726044</v>
      </c>
      <c r="H79" s="31">
        <v>10.17</v>
      </c>
      <c r="I79" s="34">
        <f t="shared" si="9"/>
        <v>5.307262569832405</v>
      </c>
      <c r="J79" s="48">
        <f t="shared" si="3"/>
        <v>15.699658703071684</v>
      </c>
      <c r="K79" s="32" t="s">
        <v>427</v>
      </c>
      <c r="L79" s="33">
        <v>40057</v>
      </c>
      <c r="M79" s="31">
        <v>10.199999999999999</v>
      </c>
      <c r="N79" s="32" t="s">
        <v>471</v>
      </c>
      <c r="O79" s="32" t="s">
        <v>418</v>
      </c>
      <c r="P79" s="37">
        <v>10.55</v>
      </c>
      <c r="Q79" s="72">
        <f t="shared" si="10"/>
        <v>3.3175355450237101</v>
      </c>
      <c r="R79" s="31" t="s">
        <v>345</v>
      </c>
      <c r="S79" s="31" t="s">
        <v>457</v>
      </c>
      <c r="T79" s="31"/>
      <c r="U79" s="3"/>
    </row>
    <row r="80" spans="1:21" x14ac:dyDescent="0.2">
      <c r="A80" s="33">
        <v>39692</v>
      </c>
      <c r="B80" s="31" t="s">
        <v>493</v>
      </c>
      <c r="C80" s="36">
        <v>4.21</v>
      </c>
      <c r="D80" s="31">
        <v>4.2300000000000004</v>
      </c>
      <c r="E80" s="38">
        <f t="shared" si="5"/>
        <v>0.47505938242281381</v>
      </c>
      <c r="F80" s="31">
        <v>4.78</v>
      </c>
      <c r="G80" s="39">
        <f t="shared" si="6"/>
        <v>13.002364066193847</v>
      </c>
      <c r="H80" s="31">
        <v>4.7</v>
      </c>
      <c r="I80" s="34">
        <f t="shared" si="9"/>
        <v>1.673640167364018</v>
      </c>
      <c r="J80" s="48">
        <f t="shared" si="3"/>
        <v>11.638954869358676</v>
      </c>
      <c r="K80" s="32" t="s">
        <v>433</v>
      </c>
      <c r="L80" s="33">
        <v>40057</v>
      </c>
      <c r="M80" s="87">
        <v>4.7300000000000004</v>
      </c>
      <c r="N80" s="32" t="s">
        <v>400</v>
      </c>
      <c r="O80" s="32" t="s">
        <v>418</v>
      </c>
      <c r="P80" s="37">
        <v>4.84</v>
      </c>
      <c r="Q80" s="72">
        <f t="shared" si="10"/>
        <v>2.2727272727272609</v>
      </c>
      <c r="R80" s="31" t="s">
        <v>345</v>
      </c>
      <c r="S80" s="31" t="s">
        <v>447</v>
      </c>
      <c r="T80" s="31"/>
      <c r="U80" s="3"/>
    </row>
    <row r="81" spans="1:21" x14ac:dyDescent="0.2">
      <c r="A81" s="33">
        <v>39692</v>
      </c>
      <c r="B81" s="31" t="s">
        <v>494</v>
      </c>
      <c r="C81" s="36">
        <v>0.63</v>
      </c>
      <c r="D81" s="31">
        <v>0.66</v>
      </c>
      <c r="E81" s="38">
        <f t="shared" si="5"/>
        <v>4.7619047619047654</v>
      </c>
      <c r="F81" s="31">
        <v>1.1200000000000001</v>
      </c>
      <c r="G81" s="39">
        <f t="shared" si="6"/>
        <v>69.696969696969703</v>
      </c>
      <c r="H81" s="31">
        <v>0.8</v>
      </c>
      <c r="I81" s="34">
        <f t="shared" si="9"/>
        <v>28.571428571428577</v>
      </c>
      <c r="J81" s="48">
        <f t="shared" si="3"/>
        <v>26.984126984126988</v>
      </c>
      <c r="K81" s="32" t="s">
        <v>427</v>
      </c>
      <c r="L81" s="33">
        <v>40057</v>
      </c>
      <c r="M81" s="87">
        <v>0.75</v>
      </c>
      <c r="N81" s="32" t="s">
        <v>471</v>
      </c>
      <c r="O81" s="32" t="s">
        <v>418</v>
      </c>
      <c r="P81" s="37">
        <v>0.79</v>
      </c>
      <c r="Q81" s="72">
        <f t="shared" si="10"/>
        <v>5.0632911392405102</v>
      </c>
      <c r="R81" s="31" t="s">
        <v>418</v>
      </c>
      <c r="S81" s="31" t="s">
        <v>441</v>
      </c>
      <c r="T81" s="31"/>
      <c r="U81" s="3"/>
    </row>
    <row r="82" spans="1:21" x14ac:dyDescent="0.2">
      <c r="A82" s="33">
        <v>39692</v>
      </c>
      <c r="B82" s="31" t="s">
        <v>495</v>
      </c>
      <c r="C82" s="36">
        <v>2.39</v>
      </c>
      <c r="D82" s="31">
        <v>2.41</v>
      </c>
      <c r="E82" s="38">
        <f t="shared" si="5"/>
        <v>0.836820083682009</v>
      </c>
      <c r="F82" s="31">
        <v>3.47</v>
      </c>
      <c r="G82" s="39">
        <f t="shared" si="6"/>
        <v>43.983402489626556</v>
      </c>
      <c r="H82" s="31">
        <v>2.78</v>
      </c>
      <c r="I82" s="34">
        <f t="shared" si="9"/>
        <v>19.884726224783872</v>
      </c>
      <c r="J82" s="48">
        <f t="shared" si="3"/>
        <v>16.317991631799149</v>
      </c>
      <c r="K82" s="32">
        <v>2.78</v>
      </c>
      <c r="L82" s="33">
        <v>40057</v>
      </c>
      <c r="M82" s="87">
        <v>2.71</v>
      </c>
      <c r="N82" s="32" t="s">
        <v>375</v>
      </c>
      <c r="O82" s="32" t="s">
        <v>418</v>
      </c>
      <c r="P82" s="37">
        <v>3.2</v>
      </c>
      <c r="Q82" s="72">
        <f t="shared" si="10"/>
        <v>15.312500000000007</v>
      </c>
      <c r="R82" s="31" t="s">
        <v>418</v>
      </c>
      <c r="S82" s="31" t="s">
        <v>441</v>
      </c>
      <c r="T82" s="31"/>
      <c r="U82" s="3"/>
    </row>
    <row r="83" spans="1:21" x14ac:dyDescent="0.2">
      <c r="A83" s="33">
        <v>39692</v>
      </c>
      <c r="B83" s="31" t="s">
        <v>496</v>
      </c>
      <c r="C83" s="36">
        <v>5.63</v>
      </c>
      <c r="D83" s="31">
        <v>5.65</v>
      </c>
      <c r="E83" s="38">
        <f t="shared" si="5"/>
        <v>0.35523978685613611</v>
      </c>
      <c r="F83" s="31">
        <v>6.4</v>
      </c>
      <c r="G83" s="39">
        <f t="shared" si="6"/>
        <v>13.274336283185839</v>
      </c>
      <c r="H83" s="31">
        <v>6.35</v>
      </c>
      <c r="I83" s="34">
        <f t="shared" si="9"/>
        <v>0.7812500000000111</v>
      </c>
      <c r="J83" s="48">
        <f t="shared" si="3"/>
        <v>12.788632326820601</v>
      </c>
      <c r="K83" s="32" t="s">
        <v>433</v>
      </c>
      <c r="L83" s="33">
        <v>40057</v>
      </c>
      <c r="M83" s="31">
        <v>6.21</v>
      </c>
      <c r="N83" s="32" t="s">
        <v>425</v>
      </c>
      <c r="O83" s="32" t="s">
        <v>418</v>
      </c>
      <c r="P83" s="37">
        <v>6.38</v>
      </c>
      <c r="Q83" s="72">
        <f t="shared" si="10"/>
        <v>2.664576802507836</v>
      </c>
      <c r="R83" s="31" t="s">
        <v>345</v>
      </c>
      <c r="S83" s="31" t="s">
        <v>445</v>
      </c>
      <c r="T83" s="31"/>
      <c r="U83" s="3"/>
    </row>
    <row r="84" spans="1:21" x14ac:dyDescent="0.2">
      <c r="A84" s="33">
        <v>39692</v>
      </c>
      <c r="B84" s="31" t="s">
        <v>497</v>
      </c>
      <c r="C84" s="36">
        <v>4.32</v>
      </c>
      <c r="D84" s="31">
        <v>4.5</v>
      </c>
      <c r="E84" s="38">
        <f t="shared" si="5"/>
        <v>4.1666666666666599</v>
      </c>
      <c r="F84" s="31">
        <v>4.82</v>
      </c>
      <c r="G84" s="39">
        <f t="shared" si="6"/>
        <v>7.1111111111111178</v>
      </c>
      <c r="H84" s="31">
        <v>4.76</v>
      </c>
      <c r="I84" s="34">
        <f t="shared" si="9"/>
        <v>1.244813278008309</v>
      </c>
      <c r="J84" s="48">
        <f t="shared" si="3"/>
        <v>10.185185185185173</v>
      </c>
      <c r="K84" s="32" t="s">
        <v>433</v>
      </c>
      <c r="L84" s="33">
        <v>40057</v>
      </c>
      <c r="M84" s="31">
        <v>4.76</v>
      </c>
      <c r="N84" s="32" t="s">
        <v>449</v>
      </c>
      <c r="O84" s="32" t="s">
        <v>418</v>
      </c>
      <c r="P84" s="37">
        <v>4.76</v>
      </c>
      <c r="Q84" s="72">
        <f t="shared" si="10"/>
        <v>0</v>
      </c>
      <c r="R84" s="31" t="s">
        <v>345</v>
      </c>
      <c r="S84" s="31" t="s">
        <v>445</v>
      </c>
      <c r="T84" s="31"/>
      <c r="U84" s="3"/>
    </row>
    <row r="85" spans="1:21" x14ac:dyDescent="0.2">
      <c r="A85" s="33">
        <v>40422</v>
      </c>
      <c r="B85" s="31" t="s">
        <v>498</v>
      </c>
      <c r="C85" s="36">
        <v>2.2000000000000002</v>
      </c>
      <c r="D85" s="31">
        <v>2.3199999999999998</v>
      </c>
      <c r="E85" s="38">
        <f t="shared" si="5"/>
        <v>5.454545454545439</v>
      </c>
      <c r="F85" s="31">
        <v>3.09</v>
      </c>
      <c r="G85" s="39">
        <f t="shared" si="6"/>
        <v>33.189655172413794</v>
      </c>
      <c r="H85" s="31">
        <v>2.4</v>
      </c>
      <c r="I85" s="34">
        <f t="shared" si="9"/>
        <v>22.33009708737864</v>
      </c>
      <c r="J85" s="48">
        <f t="shared" si="3"/>
        <v>9.0909090909090793</v>
      </c>
      <c r="K85" s="32" t="s">
        <v>433</v>
      </c>
      <c r="L85" s="33">
        <v>41153</v>
      </c>
      <c r="M85" s="31">
        <v>2.52</v>
      </c>
      <c r="N85" s="32" t="s">
        <v>400</v>
      </c>
      <c r="O85" s="32" t="s">
        <v>418</v>
      </c>
      <c r="P85" s="37">
        <v>2.67</v>
      </c>
      <c r="Q85" s="93">
        <f t="shared" si="10"/>
        <v>5.6179775280898845</v>
      </c>
      <c r="R85" s="31" t="s">
        <v>418</v>
      </c>
      <c r="S85" s="31" t="s">
        <v>441</v>
      </c>
      <c r="T85" s="31"/>
      <c r="U85" s="3"/>
    </row>
    <row r="86" spans="1:21" x14ac:dyDescent="0.2">
      <c r="A86" s="33">
        <v>40422</v>
      </c>
      <c r="B86" s="31" t="s">
        <v>243</v>
      </c>
      <c r="C86" s="36">
        <v>1.58</v>
      </c>
      <c r="D86" s="31">
        <v>1.71</v>
      </c>
      <c r="E86" s="38">
        <f t="shared" si="5"/>
        <v>8.2278481012658151</v>
      </c>
      <c r="F86" s="31">
        <v>1.87</v>
      </c>
      <c r="G86" s="39">
        <f t="shared" si="6"/>
        <v>9.3567251461988388</v>
      </c>
      <c r="H86" s="31">
        <v>1.87</v>
      </c>
      <c r="I86" s="34">
        <f t="shared" si="9"/>
        <v>0</v>
      </c>
      <c r="J86" s="48">
        <f t="shared" si="3"/>
        <v>18.354430379746837</v>
      </c>
      <c r="K86" s="32" t="s">
        <v>427</v>
      </c>
      <c r="L86" s="33">
        <v>41153</v>
      </c>
      <c r="M86" s="31">
        <v>1.92</v>
      </c>
      <c r="N86" s="32" t="s">
        <v>400</v>
      </c>
      <c r="O86" s="32" t="s">
        <v>418</v>
      </c>
      <c r="P86" s="37">
        <v>1.92</v>
      </c>
      <c r="Q86" s="93">
        <f t="shared" si="10"/>
        <v>0</v>
      </c>
      <c r="R86" s="31" t="s">
        <v>345</v>
      </c>
      <c r="S86" s="31" t="s">
        <v>445</v>
      </c>
      <c r="T86" s="31"/>
      <c r="U86" s="3"/>
    </row>
    <row r="87" spans="1:21" x14ac:dyDescent="0.2">
      <c r="A87" s="33">
        <v>41518</v>
      </c>
      <c r="B87" s="31" t="s">
        <v>499</v>
      </c>
      <c r="C87" s="36">
        <v>1.02</v>
      </c>
      <c r="D87" s="31">
        <v>1.05</v>
      </c>
      <c r="E87" s="38">
        <f t="shared" si="5"/>
        <v>2.9411764705882377</v>
      </c>
      <c r="F87" s="31">
        <v>1.44</v>
      </c>
      <c r="G87" s="39">
        <f t="shared" si="6"/>
        <v>37.142857142857132</v>
      </c>
      <c r="H87" s="31">
        <v>1.32</v>
      </c>
      <c r="I87" s="34">
        <f t="shared" si="9"/>
        <v>8.333333333333325</v>
      </c>
      <c r="J87" s="48">
        <f t="shared" si="3"/>
        <v>29.411764705882359</v>
      </c>
      <c r="K87" s="32" t="s">
        <v>437</v>
      </c>
      <c r="L87" s="33">
        <v>41883</v>
      </c>
      <c r="M87" s="31">
        <v>1.24</v>
      </c>
      <c r="N87" s="32" t="s">
        <v>449</v>
      </c>
      <c r="O87" s="32" t="s">
        <v>418</v>
      </c>
      <c r="P87" s="37">
        <v>1.26</v>
      </c>
      <c r="Q87" s="93">
        <f t="shared" si="10"/>
        <v>1.5873015873015885</v>
      </c>
      <c r="R87" s="31" t="s">
        <v>345</v>
      </c>
      <c r="S87" s="31" t="s">
        <v>457</v>
      </c>
      <c r="T87" s="31"/>
      <c r="U87" s="3"/>
    </row>
    <row r="88" spans="1:21" x14ac:dyDescent="0.2">
      <c r="A88" s="33">
        <v>41518</v>
      </c>
      <c r="B88" s="31" t="s">
        <v>340</v>
      </c>
      <c r="C88" s="36">
        <v>8.52</v>
      </c>
      <c r="D88" s="31">
        <v>8.5</v>
      </c>
      <c r="E88" s="50">
        <f t="shared" si="5"/>
        <v>-0.23474178403755369</v>
      </c>
      <c r="F88" s="31">
        <v>9.2799999999999994</v>
      </c>
      <c r="G88" s="39">
        <f t="shared" si="6"/>
        <v>9.1764705882352864</v>
      </c>
      <c r="H88" s="31">
        <v>9.27</v>
      </c>
      <c r="I88" s="34">
        <f t="shared" si="9"/>
        <v>0.10775862068965288</v>
      </c>
      <c r="J88" s="48">
        <f t="shared" si="3"/>
        <v>8.8028169014084519</v>
      </c>
      <c r="K88" s="32" t="s">
        <v>433</v>
      </c>
      <c r="L88" s="33">
        <v>41883</v>
      </c>
      <c r="M88" s="31">
        <v>9.24</v>
      </c>
      <c r="N88" s="32" t="s">
        <v>425</v>
      </c>
      <c r="O88" s="32" t="s">
        <v>418</v>
      </c>
      <c r="P88" s="37">
        <v>9.3000000000000007</v>
      </c>
      <c r="Q88" s="72">
        <f t="shared" si="10"/>
        <v>0.64516129032258596</v>
      </c>
      <c r="R88" s="31" t="s">
        <v>345</v>
      </c>
      <c r="S88" s="31" t="s">
        <v>447</v>
      </c>
      <c r="T88" s="31"/>
      <c r="U88" s="3"/>
    </row>
    <row r="89" spans="1:21" x14ac:dyDescent="0.2">
      <c r="A89" s="33">
        <v>41883</v>
      </c>
      <c r="B89" s="31" t="s">
        <v>464</v>
      </c>
      <c r="C89" s="36">
        <v>2.78</v>
      </c>
      <c r="D89" s="31">
        <v>2.8</v>
      </c>
      <c r="E89" s="38">
        <f t="shared" si="5"/>
        <v>0.71942446043165542</v>
      </c>
      <c r="F89" s="31">
        <v>4.08</v>
      </c>
      <c r="G89" s="39">
        <f t="shared" si="6"/>
        <v>45.714285714285722</v>
      </c>
      <c r="H89" s="31">
        <v>3.69</v>
      </c>
      <c r="I89" s="34">
        <f t="shared" si="9"/>
        <v>9.558823529411768</v>
      </c>
      <c r="J89" s="48">
        <f t="shared" si="3"/>
        <v>32.733812949640296</v>
      </c>
      <c r="K89" s="32" t="s">
        <v>433</v>
      </c>
      <c r="L89" s="33">
        <v>42248</v>
      </c>
      <c r="M89" s="31">
        <v>3.5</v>
      </c>
      <c r="N89" s="32" t="s">
        <v>425</v>
      </c>
      <c r="O89" s="32" t="s">
        <v>418</v>
      </c>
      <c r="P89" s="37">
        <v>3.68</v>
      </c>
      <c r="Q89" s="72">
        <f t="shared" si="10"/>
        <v>4.8913043478260914</v>
      </c>
      <c r="R89" s="31" t="s">
        <v>345</v>
      </c>
      <c r="S89" s="31" t="s">
        <v>445</v>
      </c>
      <c r="T89" s="31"/>
      <c r="U89" s="3"/>
    </row>
    <row r="90" spans="1:21" x14ac:dyDescent="0.2">
      <c r="A90" s="33">
        <v>41883</v>
      </c>
      <c r="B90" s="31" t="s">
        <v>407</v>
      </c>
      <c r="C90" s="36">
        <v>1.93</v>
      </c>
      <c r="D90" s="31">
        <v>2.5</v>
      </c>
      <c r="E90" s="37">
        <f t="shared" si="5"/>
        <v>29.533678756476689</v>
      </c>
      <c r="F90" s="31">
        <v>2.5</v>
      </c>
      <c r="G90" s="39">
        <f t="shared" si="6"/>
        <v>0</v>
      </c>
      <c r="H90" s="31">
        <v>1.93</v>
      </c>
      <c r="I90" s="34">
        <f t="shared" si="9"/>
        <v>22.800000000000004</v>
      </c>
      <c r="J90" s="48">
        <f t="shared" si="3"/>
        <v>0</v>
      </c>
      <c r="K90" s="32" t="s">
        <v>433</v>
      </c>
      <c r="L90" s="33">
        <v>42248</v>
      </c>
      <c r="M90" s="31">
        <v>2.2200000000000002</v>
      </c>
      <c r="N90" s="32" t="s">
        <v>449</v>
      </c>
      <c r="O90" s="32" t="s">
        <v>418</v>
      </c>
      <c r="P90" s="37">
        <v>2.37</v>
      </c>
      <c r="Q90" s="72">
        <f t="shared" si="10"/>
        <v>6.3291139240506293</v>
      </c>
      <c r="R90" s="31" t="s">
        <v>345</v>
      </c>
      <c r="S90" s="31" t="s">
        <v>447</v>
      </c>
      <c r="T90" s="31"/>
      <c r="U90" s="3"/>
    </row>
    <row r="91" spans="1:21" x14ac:dyDescent="0.2">
      <c r="A91" s="33">
        <v>41883</v>
      </c>
      <c r="B91" s="31" t="s">
        <v>500</v>
      </c>
      <c r="C91" s="36">
        <v>1.25</v>
      </c>
      <c r="D91" s="31">
        <v>1.41</v>
      </c>
      <c r="E91" s="37">
        <f t="shared" si="5"/>
        <v>12.799999999999995</v>
      </c>
      <c r="F91" s="31">
        <v>3.09</v>
      </c>
      <c r="G91" s="39">
        <f t="shared" si="6"/>
        <v>119.14893617021276</v>
      </c>
      <c r="H91" s="31">
        <v>2.75</v>
      </c>
      <c r="I91" s="34">
        <f t="shared" si="9"/>
        <v>11.003236245954689</v>
      </c>
      <c r="J91" s="48">
        <f t="shared" si="3"/>
        <v>120</v>
      </c>
      <c r="K91" s="32" t="s">
        <v>427</v>
      </c>
      <c r="L91" s="33">
        <v>42614</v>
      </c>
      <c r="M91" s="31">
        <v>2.5299999999999998</v>
      </c>
      <c r="N91" s="32" t="s">
        <v>425</v>
      </c>
      <c r="O91" s="32" t="s">
        <v>418</v>
      </c>
      <c r="P91" s="37">
        <v>2.87</v>
      </c>
      <c r="Q91" s="72">
        <f t="shared" si="10"/>
        <v>11.846689895470393</v>
      </c>
      <c r="R91" s="31" t="s">
        <v>345</v>
      </c>
      <c r="S91" s="31" t="s">
        <v>445</v>
      </c>
      <c r="T91" s="31"/>
      <c r="U91" s="3"/>
    </row>
    <row r="92" spans="1:21" x14ac:dyDescent="0.2">
      <c r="A92" s="33">
        <v>41883</v>
      </c>
      <c r="B92" s="31" t="s">
        <v>501</v>
      </c>
      <c r="C92" s="36">
        <v>1.77</v>
      </c>
      <c r="D92" s="31">
        <v>1.77</v>
      </c>
      <c r="E92" s="37">
        <f t="shared" si="5"/>
        <v>0</v>
      </c>
      <c r="F92" s="31">
        <v>2.25</v>
      </c>
      <c r="G92" s="39">
        <f t="shared" si="6"/>
        <v>27.118644067796609</v>
      </c>
      <c r="H92" s="31">
        <v>2.12</v>
      </c>
      <c r="I92" s="34">
        <f t="shared" si="9"/>
        <v>5.7777777777777732</v>
      </c>
      <c r="J92" s="48">
        <f t="shared" si="3"/>
        <v>19.774011299435031</v>
      </c>
      <c r="K92" s="32" t="s">
        <v>437</v>
      </c>
      <c r="L92" s="33">
        <v>42614</v>
      </c>
      <c r="M92" s="31">
        <v>2.08</v>
      </c>
      <c r="N92" s="32" t="s">
        <v>425</v>
      </c>
      <c r="O92" s="32" t="s">
        <v>418</v>
      </c>
      <c r="P92" s="37">
        <v>2.15</v>
      </c>
      <c r="Q92" s="72">
        <f t="shared" si="10"/>
        <v>3.255813953488365</v>
      </c>
      <c r="R92" s="31" t="s">
        <v>345</v>
      </c>
      <c r="S92" s="31" t="s">
        <v>447</v>
      </c>
      <c r="T92" s="31"/>
      <c r="U92" s="3"/>
    </row>
    <row r="93" spans="1:21" x14ac:dyDescent="0.2">
      <c r="A93" s="33">
        <v>41883</v>
      </c>
      <c r="B93" s="31" t="s">
        <v>502</v>
      </c>
      <c r="C93" s="36">
        <v>7.12</v>
      </c>
      <c r="D93" s="31">
        <v>7.1</v>
      </c>
      <c r="E93" s="37">
        <f t="shared" si="5"/>
        <v>-0.2808988764045009</v>
      </c>
      <c r="F93" s="31">
        <v>8.25</v>
      </c>
      <c r="G93" s="39">
        <f t="shared" si="6"/>
        <v>16.197183098591555</v>
      </c>
      <c r="H93" s="31">
        <v>7.92</v>
      </c>
      <c r="I93" s="34">
        <f t="shared" si="9"/>
        <v>4.0000000000000009</v>
      </c>
      <c r="J93" s="48">
        <f t="shared" si="3"/>
        <v>11.235955056179773</v>
      </c>
      <c r="K93" s="32" t="s">
        <v>427</v>
      </c>
      <c r="L93" s="33">
        <v>42614</v>
      </c>
      <c r="M93" s="31">
        <v>5.05</v>
      </c>
      <c r="N93" s="32" t="s">
        <v>400</v>
      </c>
      <c r="O93" s="32" t="s">
        <v>418</v>
      </c>
      <c r="P93" s="37">
        <v>8.15</v>
      </c>
      <c r="Q93" s="72">
        <f t="shared" si="10"/>
        <v>38.036809815950924</v>
      </c>
      <c r="R93" s="31" t="s">
        <v>345</v>
      </c>
      <c r="S93" s="31" t="s">
        <v>447</v>
      </c>
      <c r="T93" s="31"/>
      <c r="U93" s="3"/>
    </row>
    <row r="94" spans="1:21" x14ac:dyDescent="0.2">
      <c r="A94" s="33">
        <v>42248</v>
      </c>
      <c r="B94" s="31" t="s">
        <v>503</v>
      </c>
      <c r="C94" s="36">
        <v>1.02</v>
      </c>
      <c r="D94" s="31">
        <v>1.04</v>
      </c>
      <c r="E94" s="37">
        <f t="shared" si="5"/>
        <v>1.9607843137254919</v>
      </c>
      <c r="F94" s="31">
        <v>1.4</v>
      </c>
      <c r="G94" s="39">
        <f t="shared" si="6"/>
        <v>34.615384615384606</v>
      </c>
      <c r="H94" s="31">
        <v>1.3</v>
      </c>
      <c r="I94" s="34">
        <f t="shared" si="9"/>
        <v>7.1428571428571344</v>
      </c>
      <c r="J94" s="48">
        <f t="shared" si="3"/>
        <v>27.450980392156865</v>
      </c>
      <c r="K94" s="32" t="s">
        <v>433</v>
      </c>
      <c r="L94" s="33">
        <v>42614</v>
      </c>
      <c r="M94" s="31">
        <v>1.25</v>
      </c>
      <c r="N94" s="32" t="s">
        <v>425</v>
      </c>
      <c r="O94" s="32" t="s">
        <v>418</v>
      </c>
      <c r="P94" s="37">
        <v>1.3</v>
      </c>
      <c r="Q94" s="72">
        <f t="shared" si="10"/>
        <v>3.8461538461538494</v>
      </c>
      <c r="R94" s="31" t="s">
        <v>418</v>
      </c>
      <c r="S94" s="31" t="s">
        <v>441</v>
      </c>
      <c r="T94" s="31"/>
      <c r="U94" s="3"/>
    </row>
    <row r="95" spans="1:21" x14ac:dyDescent="0.2">
      <c r="A95" s="33">
        <v>42248</v>
      </c>
      <c r="B95" s="31" t="s">
        <v>250</v>
      </c>
      <c r="C95" s="36">
        <v>1.1299999999999999</v>
      </c>
      <c r="D95" s="31">
        <v>1.18</v>
      </c>
      <c r="E95" s="37">
        <f t="shared" si="5"/>
        <v>4.4247787610619511</v>
      </c>
      <c r="F95" s="31">
        <v>1.79</v>
      </c>
      <c r="G95" s="39">
        <f t="shared" si="6"/>
        <v>51.694915254237294</v>
      </c>
      <c r="H95" s="31">
        <v>1.4</v>
      </c>
      <c r="I95" s="34">
        <f t="shared" si="9"/>
        <v>21.787709497206713</v>
      </c>
      <c r="J95" s="48">
        <f t="shared" si="3"/>
        <v>23.893805309734518</v>
      </c>
      <c r="K95" s="32" t="s">
        <v>427</v>
      </c>
      <c r="L95" s="33">
        <v>42614</v>
      </c>
      <c r="M95" s="31">
        <v>1.38</v>
      </c>
      <c r="N95" s="32" t="s">
        <v>400</v>
      </c>
      <c r="O95" s="32" t="s">
        <v>418</v>
      </c>
      <c r="P95" s="37">
        <v>1.41</v>
      </c>
      <c r="Q95" s="72">
        <f t="shared" si="10"/>
        <v>2.1276595744680873</v>
      </c>
      <c r="R95" s="31" t="s">
        <v>345</v>
      </c>
      <c r="S95" s="31" t="s">
        <v>447</v>
      </c>
      <c r="T95" s="31"/>
      <c r="U95" s="3"/>
    </row>
    <row r="96" spans="1:21" x14ac:dyDescent="0.2">
      <c r="A96" s="33">
        <v>42248</v>
      </c>
      <c r="B96" s="31" t="s">
        <v>504</v>
      </c>
      <c r="C96" s="36">
        <v>13</v>
      </c>
      <c r="D96" s="31">
        <v>13.05</v>
      </c>
      <c r="E96" s="37">
        <f t="shared" si="5"/>
        <v>0.38461538461539008</v>
      </c>
      <c r="F96" s="31">
        <v>15.39</v>
      </c>
      <c r="G96" s="39">
        <f t="shared" si="6"/>
        <v>17.931034482758619</v>
      </c>
      <c r="H96" s="31">
        <v>15.4</v>
      </c>
      <c r="I96" s="34">
        <f t="shared" si="9"/>
        <v>-6.4977257959712709E-2</v>
      </c>
      <c r="J96" s="48">
        <f t="shared" si="3"/>
        <v>18.461538461538467</v>
      </c>
      <c r="K96" s="32" t="s">
        <v>433</v>
      </c>
      <c r="L96" s="33">
        <v>42614</v>
      </c>
      <c r="M96" s="31">
        <v>15</v>
      </c>
      <c r="N96" s="32" t="s">
        <v>425</v>
      </c>
      <c r="O96" s="32" t="s">
        <v>418</v>
      </c>
      <c r="P96" s="37">
        <v>15.1</v>
      </c>
      <c r="Q96" s="72">
        <f t="shared" si="10"/>
        <v>0.66225165562913668</v>
      </c>
      <c r="R96" s="31" t="s">
        <v>418</v>
      </c>
      <c r="S96" s="31" t="s">
        <v>441</v>
      </c>
      <c r="T96" s="31"/>
      <c r="U96" s="3"/>
    </row>
    <row r="97" spans="1:21" x14ac:dyDescent="0.2">
      <c r="A97" s="33">
        <v>42248</v>
      </c>
      <c r="B97" s="31" t="s">
        <v>505</v>
      </c>
      <c r="C97" s="36">
        <v>0.94</v>
      </c>
      <c r="D97" s="31">
        <v>0.96</v>
      </c>
      <c r="E97" s="37">
        <f t="shared" si="5"/>
        <v>2.1276595744680873</v>
      </c>
      <c r="F97" s="31">
        <v>1.05</v>
      </c>
      <c r="G97" s="39">
        <f t="shared" si="6"/>
        <v>9.3750000000000089</v>
      </c>
      <c r="H97" s="31">
        <v>1.1200000000000001</v>
      </c>
      <c r="I97" s="34">
        <f t="shared" si="9"/>
        <v>-6.6666666666666723</v>
      </c>
      <c r="J97" s="48">
        <f t="shared" si="3"/>
        <v>19.148936170212785</v>
      </c>
      <c r="K97" s="32" t="s">
        <v>433</v>
      </c>
      <c r="L97" s="33">
        <v>42614</v>
      </c>
      <c r="M97" s="31">
        <v>1.03</v>
      </c>
      <c r="N97" s="32" t="s">
        <v>400</v>
      </c>
      <c r="O97" s="32" t="s">
        <v>418</v>
      </c>
      <c r="P97" s="37">
        <v>1.046</v>
      </c>
      <c r="Q97" s="72">
        <f t="shared" si="10"/>
        <v>1.529636711281072</v>
      </c>
      <c r="R97" s="31" t="s">
        <v>441</v>
      </c>
      <c r="S97" s="31" t="s">
        <v>441</v>
      </c>
      <c r="T97" s="31"/>
      <c r="U97" s="3"/>
    </row>
    <row r="98" spans="1:21" x14ac:dyDescent="0.2">
      <c r="A98" s="33">
        <v>42248</v>
      </c>
      <c r="B98" s="31" t="s">
        <v>506</v>
      </c>
      <c r="C98" s="36">
        <v>20.85</v>
      </c>
      <c r="D98" s="31">
        <v>20.98</v>
      </c>
      <c r="E98" s="37">
        <f t="shared" si="5"/>
        <v>0.62350119904076262</v>
      </c>
      <c r="F98" s="31">
        <v>21.79</v>
      </c>
      <c r="G98" s="39">
        <f t="shared" si="6"/>
        <v>3.8608198284080011</v>
      </c>
      <c r="H98" s="31">
        <v>23.94</v>
      </c>
      <c r="I98" s="34">
        <f t="shared" si="9"/>
        <v>-9.8669114272602201</v>
      </c>
      <c r="J98" s="48">
        <f t="shared" si="3"/>
        <v>14.820143884892085</v>
      </c>
      <c r="K98" s="32" t="s">
        <v>437</v>
      </c>
      <c r="L98" s="33">
        <v>42614</v>
      </c>
      <c r="M98" s="31">
        <v>23.99</v>
      </c>
      <c r="N98" s="32" t="s">
        <v>400</v>
      </c>
      <c r="O98" s="32" t="s">
        <v>418</v>
      </c>
      <c r="P98" s="37">
        <v>24.45</v>
      </c>
      <c r="Q98" s="72">
        <f t="shared" si="10"/>
        <v>1.8813905930470383</v>
      </c>
      <c r="R98" s="31" t="s">
        <v>345</v>
      </c>
      <c r="S98" s="31" t="s">
        <v>447</v>
      </c>
      <c r="T98" s="31"/>
      <c r="U98" s="3"/>
    </row>
    <row r="99" spans="1:21" x14ac:dyDescent="0.2">
      <c r="A99" s="33">
        <v>42248</v>
      </c>
      <c r="B99" s="31" t="s">
        <v>507</v>
      </c>
      <c r="C99" s="36">
        <v>13.81</v>
      </c>
      <c r="D99" s="31">
        <v>13.89</v>
      </c>
      <c r="E99" s="37">
        <f t="shared" si="5"/>
        <v>0.57929036929761091</v>
      </c>
      <c r="F99" s="31">
        <v>14.32</v>
      </c>
      <c r="G99" s="39">
        <f t="shared" si="6"/>
        <v>3.0957523398128126</v>
      </c>
      <c r="H99" s="31">
        <v>15.52</v>
      </c>
      <c r="I99" s="34">
        <f t="shared" si="9"/>
        <v>-8.3798882681564191</v>
      </c>
      <c r="J99" s="48">
        <f t="shared" ref="J99:J173" si="11">(H99-C99)/C99*100</f>
        <v>12.382331643736416</v>
      </c>
      <c r="K99" s="32" t="s">
        <v>433</v>
      </c>
      <c r="L99" s="33">
        <v>42614</v>
      </c>
      <c r="M99" s="31">
        <v>14.15</v>
      </c>
      <c r="N99" s="32" t="s">
        <v>425</v>
      </c>
      <c r="O99" s="32" t="s">
        <v>418</v>
      </c>
      <c r="P99" s="37">
        <v>14.17</v>
      </c>
      <c r="Q99" s="72">
        <f t="shared" si="10"/>
        <v>0.14114326040931244</v>
      </c>
      <c r="R99" s="31" t="s">
        <v>345</v>
      </c>
      <c r="S99" s="31" t="s">
        <v>447</v>
      </c>
      <c r="T99" s="31"/>
      <c r="U99" s="3"/>
    </row>
    <row r="100" spans="1:21" x14ac:dyDescent="0.2">
      <c r="A100" s="33">
        <v>42248</v>
      </c>
      <c r="B100" s="31" t="s">
        <v>508</v>
      </c>
      <c r="C100" s="36">
        <v>5.3</v>
      </c>
      <c r="D100" s="31">
        <v>5.31</v>
      </c>
      <c r="E100" s="37">
        <f t="shared" si="5"/>
        <v>0.18867924528301486</v>
      </c>
      <c r="F100" s="31">
        <v>5.97</v>
      </c>
      <c r="G100" s="39">
        <f t="shared" si="6"/>
        <v>12.42937853107345</v>
      </c>
      <c r="H100" s="31">
        <v>5.91</v>
      </c>
      <c r="I100" s="34">
        <f t="shared" si="9"/>
        <v>1.0050251256281342</v>
      </c>
      <c r="J100" s="48">
        <f t="shared" si="11"/>
        <v>11.509433962264156</v>
      </c>
      <c r="K100" s="32" t="s">
        <v>437</v>
      </c>
      <c r="L100" s="33">
        <v>42614</v>
      </c>
      <c r="M100" s="31">
        <v>5.9</v>
      </c>
      <c r="N100" s="32" t="s">
        <v>400</v>
      </c>
      <c r="O100" s="32" t="s">
        <v>418</v>
      </c>
      <c r="P100" s="37">
        <v>5.9</v>
      </c>
      <c r="Q100" s="72">
        <f t="shared" si="10"/>
        <v>0</v>
      </c>
      <c r="R100" s="31" t="s">
        <v>345</v>
      </c>
      <c r="S100" s="31" t="s">
        <v>447</v>
      </c>
      <c r="T100" s="31"/>
      <c r="U100" s="3"/>
    </row>
    <row r="101" spans="1:21" x14ac:dyDescent="0.2">
      <c r="A101" s="33">
        <v>42248</v>
      </c>
      <c r="B101" s="31" t="s">
        <v>509</v>
      </c>
      <c r="C101" s="36">
        <v>5.25</v>
      </c>
      <c r="D101" s="31">
        <v>5.27</v>
      </c>
      <c r="E101" s="37">
        <f t="shared" si="5"/>
        <v>0.38095238095237283</v>
      </c>
      <c r="F101" s="31">
        <v>5.77</v>
      </c>
      <c r="G101" s="39">
        <f t="shared" si="6"/>
        <v>9.4876660341555983</v>
      </c>
      <c r="H101" s="31">
        <v>5.85</v>
      </c>
      <c r="I101" s="34">
        <f t="shared" si="9"/>
        <v>-1.3864818024263446</v>
      </c>
      <c r="J101" s="48">
        <f t="shared" si="11"/>
        <v>11.428571428571422</v>
      </c>
      <c r="K101" s="32" t="s">
        <v>433</v>
      </c>
      <c r="L101" s="33">
        <v>42614</v>
      </c>
      <c r="M101" s="31">
        <v>5.67</v>
      </c>
      <c r="N101" s="32" t="s">
        <v>400</v>
      </c>
      <c r="O101" s="32" t="s">
        <v>418</v>
      </c>
      <c r="P101" s="37">
        <v>5.73</v>
      </c>
      <c r="Q101" s="72">
        <f t="shared" si="10"/>
        <v>1.0471204188481762</v>
      </c>
      <c r="R101" s="31" t="s">
        <v>418</v>
      </c>
      <c r="S101" s="31" t="s">
        <v>441</v>
      </c>
      <c r="T101" s="31"/>
      <c r="U101" s="3"/>
    </row>
    <row r="102" spans="1:21" x14ac:dyDescent="0.2">
      <c r="A102" s="33">
        <v>42614</v>
      </c>
      <c r="B102" s="31" t="s">
        <v>510</v>
      </c>
      <c r="C102" s="36">
        <v>0.78</v>
      </c>
      <c r="D102" s="31">
        <v>0.8</v>
      </c>
      <c r="E102" s="37">
        <f t="shared" si="5"/>
        <v>2.5641025641025665</v>
      </c>
      <c r="F102" s="31">
        <v>0.93</v>
      </c>
      <c r="G102" s="39">
        <f t="shared" si="6"/>
        <v>16.25</v>
      </c>
      <c r="H102" s="31">
        <v>0.88</v>
      </c>
      <c r="I102" s="34">
        <f t="shared" si="9"/>
        <v>5.3763440860215095</v>
      </c>
      <c r="J102" s="48">
        <f t="shared" si="11"/>
        <v>12.820512820512816</v>
      </c>
      <c r="K102" s="32" t="s">
        <v>427</v>
      </c>
      <c r="L102" s="33">
        <v>42979</v>
      </c>
      <c r="M102" s="31">
        <v>10.61</v>
      </c>
      <c r="N102" s="32" t="s">
        <v>400</v>
      </c>
      <c r="O102" s="32" t="s">
        <v>418</v>
      </c>
      <c r="P102" s="37">
        <v>11.04</v>
      </c>
      <c r="Q102" s="72">
        <f t="shared" si="10"/>
        <v>3.894927536231882</v>
      </c>
      <c r="R102" s="31" t="s">
        <v>418</v>
      </c>
      <c r="S102" s="31" t="s">
        <v>463</v>
      </c>
      <c r="T102" s="31"/>
      <c r="U102" s="3"/>
    </row>
    <row r="103" spans="1:21" x14ac:dyDescent="0.2">
      <c r="A103" s="33">
        <v>42614</v>
      </c>
      <c r="B103" s="31" t="s">
        <v>511</v>
      </c>
      <c r="C103" s="36">
        <v>8.82</v>
      </c>
      <c r="D103" s="31">
        <v>10.039999999999999</v>
      </c>
      <c r="E103" s="37">
        <f t="shared" si="5"/>
        <v>13.832199546485246</v>
      </c>
      <c r="F103" s="31">
        <v>10.98</v>
      </c>
      <c r="G103" s="39">
        <f t="shared" si="6"/>
        <v>9.3625498007968275</v>
      </c>
      <c r="H103" s="31">
        <v>10.61</v>
      </c>
      <c r="I103" s="34">
        <f t="shared" si="9"/>
        <v>3.3697632058287885</v>
      </c>
      <c r="J103" s="48">
        <f t="shared" si="11"/>
        <v>20.294784580498856</v>
      </c>
      <c r="K103" s="32" t="s">
        <v>433</v>
      </c>
      <c r="L103" s="33">
        <v>42979</v>
      </c>
      <c r="M103" s="31">
        <v>17</v>
      </c>
      <c r="N103" s="32" t="s">
        <v>400</v>
      </c>
      <c r="O103" s="32" t="s">
        <v>418</v>
      </c>
      <c r="P103" s="37">
        <v>17.04</v>
      </c>
      <c r="Q103" s="72">
        <f t="shared" si="10"/>
        <v>0.23474178403755369</v>
      </c>
      <c r="R103" s="31" t="s">
        <v>345</v>
      </c>
      <c r="S103" s="31" t="s">
        <v>447</v>
      </c>
      <c r="T103" s="31"/>
      <c r="U103" s="3"/>
    </row>
    <row r="104" spans="1:21" x14ac:dyDescent="0.2">
      <c r="A104" s="33">
        <v>42614</v>
      </c>
      <c r="B104" s="31" t="s">
        <v>512</v>
      </c>
      <c r="C104" s="36">
        <v>14.08</v>
      </c>
      <c r="D104" s="31">
        <v>14.14</v>
      </c>
      <c r="E104" s="37">
        <f t="shared" si="5"/>
        <v>0.42613636363636714</v>
      </c>
      <c r="F104" s="31">
        <v>17</v>
      </c>
      <c r="G104" s="39">
        <f t="shared" si="6"/>
        <v>20.226308345120223</v>
      </c>
      <c r="H104" s="31">
        <v>16.760000000000002</v>
      </c>
      <c r="I104" s="34">
        <f t="shared" si="9"/>
        <v>1.4117647058823437</v>
      </c>
      <c r="J104" s="48">
        <f t="shared" si="11"/>
        <v>19.034090909090921</v>
      </c>
      <c r="K104" s="32" t="s">
        <v>433</v>
      </c>
      <c r="L104" s="33">
        <v>42979</v>
      </c>
      <c r="M104" s="31">
        <v>17</v>
      </c>
      <c r="N104" s="32" t="s">
        <v>400</v>
      </c>
      <c r="O104" s="32" t="s">
        <v>418</v>
      </c>
      <c r="P104" s="37">
        <v>17.04</v>
      </c>
      <c r="Q104" s="72">
        <f t="shared" si="10"/>
        <v>0.23474178403755369</v>
      </c>
      <c r="R104" s="31" t="s">
        <v>345</v>
      </c>
      <c r="S104" s="31" t="s">
        <v>447</v>
      </c>
      <c r="T104" s="31"/>
      <c r="U104" s="3"/>
    </row>
    <row r="105" spans="1:21" x14ac:dyDescent="0.2">
      <c r="A105" s="33">
        <v>42614</v>
      </c>
      <c r="B105" s="31" t="s">
        <v>513</v>
      </c>
      <c r="C105" s="36">
        <v>0.87</v>
      </c>
      <c r="D105" s="31">
        <v>1.02</v>
      </c>
      <c r="E105" s="37">
        <f t="shared" si="5"/>
        <v>17.241379310344833</v>
      </c>
      <c r="F105" s="31">
        <v>1.05</v>
      </c>
      <c r="G105" s="39">
        <f t="shared" si="6"/>
        <v>2.9411764705882377</v>
      </c>
      <c r="H105" s="31">
        <v>1.02</v>
      </c>
      <c r="I105" s="34">
        <f t="shared" si="9"/>
        <v>2.8571428571428594</v>
      </c>
      <c r="J105" s="48">
        <f t="shared" si="11"/>
        <v>17.241379310344833</v>
      </c>
      <c r="K105" s="32" t="s">
        <v>433</v>
      </c>
      <c r="L105" s="33">
        <v>42979</v>
      </c>
      <c r="M105" s="31">
        <v>1.04</v>
      </c>
      <c r="N105" s="32" t="s">
        <v>400</v>
      </c>
      <c r="O105" s="32" t="s">
        <v>418</v>
      </c>
      <c r="P105" s="37">
        <v>1.04</v>
      </c>
      <c r="Q105" s="72">
        <f t="shared" si="10"/>
        <v>0</v>
      </c>
      <c r="R105" s="31" t="s">
        <v>345</v>
      </c>
      <c r="S105" s="31" t="s">
        <v>447</v>
      </c>
      <c r="T105" s="31"/>
      <c r="U105" s="3"/>
    </row>
    <row r="106" spans="1:21" x14ac:dyDescent="0.2">
      <c r="A106" s="33">
        <v>42614</v>
      </c>
      <c r="B106" s="31" t="s">
        <v>514</v>
      </c>
      <c r="C106" s="36">
        <v>10.62</v>
      </c>
      <c r="D106" s="31">
        <v>10.56</v>
      </c>
      <c r="E106" s="37">
        <f t="shared" si="5"/>
        <v>-0.5649717514124174</v>
      </c>
      <c r="F106" s="31">
        <v>13.27</v>
      </c>
      <c r="G106" s="39">
        <f t="shared" si="6"/>
        <v>25.662878787878778</v>
      </c>
      <c r="H106" s="31">
        <v>12.37</v>
      </c>
      <c r="I106" s="34">
        <f t="shared" si="9"/>
        <v>6.782215523737757</v>
      </c>
      <c r="J106" s="48">
        <f t="shared" si="11"/>
        <v>16.47834274952919</v>
      </c>
      <c r="K106" s="32" t="s">
        <v>437</v>
      </c>
      <c r="L106" s="33">
        <v>42979</v>
      </c>
      <c r="M106" s="31">
        <v>12</v>
      </c>
      <c r="N106" s="32" t="s">
        <v>425</v>
      </c>
      <c r="O106" s="32" t="s">
        <v>418</v>
      </c>
      <c r="P106" s="37">
        <v>12.19</v>
      </c>
      <c r="Q106" s="72">
        <f t="shared" si="10"/>
        <v>1.5586546349466737</v>
      </c>
      <c r="R106" s="31" t="s">
        <v>345</v>
      </c>
      <c r="S106" s="31" t="s">
        <v>447</v>
      </c>
      <c r="T106" s="31"/>
      <c r="U106" s="3"/>
    </row>
    <row r="107" spans="1:21" x14ac:dyDescent="0.2">
      <c r="A107" s="33">
        <v>42614</v>
      </c>
      <c r="B107" s="31" t="s">
        <v>515</v>
      </c>
      <c r="C107" s="36">
        <v>8.61</v>
      </c>
      <c r="D107" s="31">
        <v>8.75</v>
      </c>
      <c r="E107" s="37">
        <f t="shared" si="5"/>
        <v>1.6260162601626085</v>
      </c>
      <c r="F107" s="31">
        <v>9.83</v>
      </c>
      <c r="G107" s="39">
        <f t="shared" si="6"/>
        <v>12.342857142857145</v>
      </c>
      <c r="H107" s="31">
        <v>9.67</v>
      </c>
      <c r="I107" s="34">
        <f t="shared" si="9"/>
        <v>1.6276703967446606</v>
      </c>
      <c r="J107" s="48">
        <f t="shared" si="11"/>
        <v>12.311265969802562</v>
      </c>
      <c r="K107" s="32" t="s">
        <v>427</v>
      </c>
      <c r="L107" s="33">
        <v>42979</v>
      </c>
      <c r="M107" s="31">
        <v>9.89</v>
      </c>
      <c r="N107" s="32" t="s">
        <v>400</v>
      </c>
      <c r="O107" s="32" t="s">
        <v>418</v>
      </c>
      <c r="P107" s="37">
        <v>9.89</v>
      </c>
      <c r="Q107" s="72">
        <f t="shared" si="10"/>
        <v>0</v>
      </c>
      <c r="R107" s="31" t="s">
        <v>345</v>
      </c>
      <c r="S107" s="31" t="s">
        <v>445</v>
      </c>
      <c r="T107" s="31"/>
      <c r="U107" s="3"/>
    </row>
    <row r="108" spans="1:21" x14ac:dyDescent="0.2">
      <c r="A108" s="33">
        <v>42614</v>
      </c>
      <c r="B108" s="31" t="s">
        <v>516</v>
      </c>
      <c r="C108" s="36">
        <v>1.76</v>
      </c>
      <c r="D108" s="31">
        <v>1.74</v>
      </c>
      <c r="E108" s="37">
        <f t="shared" si="5"/>
        <v>-1.1363636363636374</v>
      </c>
      <c r="F108" s="31">
        <v>3.14</v>
      </c>
      <c r="G108" s="39">
        <f t="shared" si="6"/>
        <v>80.459770114942543</v>
      </c>
      <c r="H108" s="31">
        <v>1.95</v>
      </c>
      <c r="I108" s="34">
        <f t="shared" si="9"/>
        <v>37.898089171974526</v>
      </c>
      <c r="J108" s="48">
        <f t="shared" si="11"/>
        <v>10.795454545454543</v>
      </c>
      <c r="K108" s="32" t="s">
        <v>427</v>
      </c>
      <c r="L108" s="33">
        <v>42979</v>
      </c>
      <c r="M108" s="31">
        <v>1.95</v>
      </c>
      <c r="N108" s="32" t="s">
        <v>449</v>
      </c>
      <c r="O108" s="32" t="s">
        <v>418</v>
      </c>
      <c r="P108" s="37">
        <v>2.1</v>
      </c>
      <c r="Q108" s="72">
        <f t="shared" si="10"/>
        <v>7.1428571428571495</v>
      </c>
      <c r="R108" s="31" t="s">
        <v>418</v>
      </c>
      <c r="S108" s="31" t="s">
        <v>441</v>
      </c>
      <c r="T108" s="31"/>
      <c r="U108" s="3"/>
    </row>
    <row r="109" spans="1:21" x14ac:dyDescent="0.2">
      <c r="A109" s="33">
        <v>44075</v>
      </c>
      <c r="B109" s="31" t="s">
        <v>407</v>
      </c>
      <c r="C109" s="36">
        <v>2.35</v>
      </c>
      <c r="D109" s="31">
        <v>2.2999999999999998</v>
      </c>
      <c r="E109" s="37">
        <f t="shared" si="5"/>
        <v>-2.1276595744680966</v>
      </c>
      <c r="F109" s="31">
        <v>2.77</v>
      </c>
      <c r="G109" s="39">
        <f t="shared" si="6"/>
        <v>20.434782608695663</v>
      </c>
      <c r="H109" s="31">
        <v>2.78</v>
      </c>
      <c r="I109" s="34">
        <f t="shared" si="9"/>
        <v>-0.36101083032490205</v>
      </c>
      <c r="J109" s="48">
        <f t="shared" si="11"/>
        <v>18.297872340425521</v>
      </c>
      <c r="K109" s="32" t="s">
        <v>437</v>
      </c>
      <c r="L109" s="33">
        <v>44440</v>
      </c>
      <c r="M109" s="31">
        <v>2.8</v>
      </c>
      <c r="N109" s="32" t="s">
        <v>400</v>
      </c>
      <c r="O109" s="32" t="s">
        <v>345</v>
      </c>
      <c r="P109" s="37">
        <v>3.08</v>
      </c>
      <c r="Q109" s="72">
        <f t="shared" si="10"/>
        <v>9.0909090909090988</v>
      </c>
      <c r="R109" s="31" t="s">
        <v>418</v>
      </c>
      <c r="S109" s="31" t="s">
        <v>441</v>
      </c>
      <c r="T109" s="31"/>
      <c r="U109" s="3"/>
    </row>
    <row r="110" spans="1:21" x14ac:dyDescent="0.2">
      <c r="A110" s="33">
        <v>44075</v>
      </c>
      <c r="B110" s="31" t="s">
        <v>517</v>
      </c>
      <c r="C110" s="36">
        <v>9.11</v>
      </c>
      <c r="D110" s="31">
        <v>9.17</v>
      </c>
      <c r="E110" s="37">
        <f t="shared" si="5"/>
        <v>0.65861690450055432</v>
      </c>
      <c r="F110" s="31">
        <v>11.74</v>
      </c>
      <c r="G110" s="39">
        <f t="shared" si="6"/>
        <v>28.026172300981468</v>
      </c>
      <c r="H110" s="31">
        <v>11.25</v>
      </c>
      <c r="I110" s="34">
        <f t="shared" si="9"/>
        <v>4.1737649063032389</v>
      </c>
      <c r="J110" s="48">
        <f t="shared" si="11"/>
        <v>23.490669593852918</v>
      </c>
      <c r="K110" s="32" t="s">
        <v>433</v>
      </c>
      <c r="L110" s="33">
        <v>44440</v>
      </c>
      <c r="M110" s="31">
        <v>11.22</v>
      </c>
      <c r="N110" s="32">
        <v>11.22</v>
      </c>
      <c r="O110" s="32" t="s">
        <v>418</v>
      </c>
      <c r="P110" s="37">
        <v>11.59</v>
      </c>
      <c r="Q110" s="72">
        <f t="shared" si="10"/>
        <v>3.192407247627258</v>
      </c>
      <c r="R110" s="31" t="s">
        <v>418</v>
      </c>
      <c r="S110" s="31" t="s">
        <v>441</v>
      </c>
      <c r="T110" s="31"/>
      <c r="U110" s="3"/>
    </row>
    <row r="111" spans="1:21" x14ac:dyDescent="0.2">
      <c r="A111" s="33">
        <v>44075</v>
      </c>
      <c r="B111" s="31" t="s">
        <v>518</v>
      </c>
      <c r="C111" s="36">
        <v>3.9</v>
      </c>
      <c r="D111" s="31">
        <v>3.91</v>
      </c>
      <c r="E111" s="37">
        <f t="shared" si="5"/>
        <v>0.25641025641026233</v>
      </c>
      <c r="F111" s="31">
        <v>4.5999999999999996</v>
      </c>
      <c r="G111" s="39">
        <f t="shared" si="6"/>
        <v>17.647058823529399</v>
      </c>
      <c r="H111" s="31">
        <v>4.4000000000000004</v>
      </c>
      <c r="I111" s="34">
        <f t="shared" si="9"/>
        <v>4.3478260869565064</v>
      </c>
      <c r="J111" s="48">
        <f t="shared" si="11"/>
        <v>12.820512820512834</v>
      </c>
      <c r="K111" s="32" t="s">
        <v>437</v>
      </c>
      <c r="L111" s="33">
        <v>44440</v>
      </c>
      <c r="M111" s="31">
        <v>4.51</v>
      </c>
      <c r="N111" s="32" t="s">
        <v>425</v>
      </c>
      <c r="O111" s="32" t="s">
        <v>345</v>
      </c>
      <c r="P111" s="37">
        <v>4.8499999999999996</v>
      </c>
      <c r="Q111" s="72">
        <f t="shared" si="10"/>
        <v>7.0103092783505128</v>
      </c>
      <c r="R111" s="31" t="s">
        <v>418</v>
      </c>
      <c r="S111" s="31" t="s">
        <v>441</v>
      </c>
      <c r="T111" s="31"/>
      <c r="U111" s="3"/>
    </row>
    <row r="112" spans="1:21" x14ac:dyDescent="0.2">
      <c r="A112" s="33">
        <v>44075</v>
      </c>
      <c r="B112" s="31" t="s">
        <v>519</v>
      </c>
      <c r="C112" s="36">
        <v>2.16</v>
      </c>
      <c r="D112" s="31">
        <v>2.2000000000000002</v>
      </c>
      <c r="E112" s="37">
        <f t="shared" si="5"/>
        <v>1.8518518518518534</v>
      </c>
      <c r="F112" s="31">
        <v>2.37</v>
      </c>
      <c r="G112" s="39">
        <f t="shared" si="6"/>
        <v>7.7272727272727231</v>
      </c>
      <c r="H112" s="31">
        <v>2.4</v>
      </c>
      <c r="I112" s="34">
        <f t="shared" si="9"/>
        <v>-1.2658227848101182</v>
      </c>
      <c r="J112" s="48">
        <f t="shared" si="11"/>
        <v>11.1111111111111</v>
      </c>
      <c r="K112" s="32" t="s">
        <v>433</v>
      </c>
      <c r="L112" s="33">
        <v>44440</v>
      </c>
      <c r="M112" s="31">
        <v>2.48</v>
      </c>
      <c r="N112" s="32" t="s">
        <v>400</v>
      </c>
      <c r="O112" s="32" t="s">
        <v>418</v>
      </c>
      <c r="P112" s="37">
        <v>2.87</v>
      </c>
      <c r="Q112" s="72">
        <f t="shared" si="10"/>
        <v>13.588850174216033</v>
      </c>
      <c r="R112" s="31" t="s">
        <v>345</v>
      </c>
      <c r="S112" s="31" t="s">
        <v>457</v>
      </c>
      <c r="T112" s="31"/>
      <c r="U112" s="3"/>
    </row>
    <row r="113" spans="1:21" x14ac:dyDescent="0.2">
      <c r="A113" s="33">
        <v>44440</v>
      </c>
      <c r="B113" s="31" t="s">
        <v>520</v>
      </c>
      <c r="C113" s="36">
        <v>2.9</v>
      </c>
      <c r="D113" s="31">
        <v>2.99</v>
      </c>
      <c r="E113" s="37">
        <f t="shared" si="5"/>
        <v>3.1034482758620792</v>
      </c>
      <c r="F113" s="37">
        <v>4.32</v>
      </c>
      <c r="G113" s="39">
        <f t="shared" si="6"/>
        <v>44.481605351170565</v>
      </c>
      <c r="H113" s="31">
        <v>3.86</v>
      </c>
      <c r="I113" s="34">
        <f t="shared" si="9"/>
        <v>10.648148148148156</v>
      </c>
      <c r="J113" s="48">
        <f t="shared" si="11"/>
        <v>33.103448275862071</v>
      </c>
      <c r="K113" s="32" t="s">
        <v>433</v>
      </c>
      <c r="L113" s="33">
        <v>44805</v>
      </c>
      <c r="M113" s="31">
        <v>3.8</v>
      </c>
      <c r="N113" s="32" t="s">
        <v>449</v>
      </c>
      <c r="O113" s="32" t="s">
        <v>418</v>
      </c>
      <c r="P113" s="37">
        <v>3.87</v>
      </c>
      <c r="Q113" s="72">
        <f t="shared" si="10"/>
        <v>1.8087855297157693</v>
      </c>
      <c r="R113" s="31" t="s">
        <v>521</v>
      </c>
      <c r="S113" s="31" t="s">
        <v>445</v>
      </c>
      <c r="T113" s="31"/>
      <c r="U113" s="3"/>
    </row>
    <row r="114" spans="1:21" x14ac:dyDescent="0.2">
      <c r="A114" s="33">
        <v>44440</v>
      </c>
      <c r="B114" s="31" t="s">
        <v>522</v>
      </c>
      <c r="C114" s="36">
        <v>3.06</v>
      </c>
      <c r="D114" s="31">
        <v>3.07</v>
      </c>
      <c r="E114" s="37">
        <f t="shared" si="5"/>
        <v>0.32679738562090804</v>
      </c>
      <c r="F114" s="31">
        <v>3.77</v>
      </c>
      <c r="G114" s="39">
        <f t="shared" ref="G114:G173" si="12">(F114-D114)/D114*100</f>
        <v>22.801302931596098</v>
      </c>
      <c r="H114" s="31">
        <v>3.54</v>
      </c>
      <c r="I114" s="34">
        <f t="shared" si="9"/>
        <v>6.1007957559681696</v>
      </c>
      <c r="J114" s="48">
        <f t="shared" si="11"/>
        <v>15.686274509803921</v>
      </c>
      <c r="K114" s="32" t="s">
        <v>437</v>
      </c>
      <c r="L114" s="33">
        <v>44805</v>
      </c>
      <c r="M114" s="31">
        <v>3.54</v>
      </c>
      <c r="N114" s="32" t="s">
        <v>400</v>
      </c>
      <c r="O114" s="32" t="s">
        <v>418</v>
      </c>
      <c r="P114" s="37">
        <v>3.52</v>
      </c>
      <c r="Q114" s="72">
        <f t="shared" si="10"/>
        <v>-0.56818181818181868</v>
      </c>
      <c r="R114" s="31" t="s">
        <v>345</v>
      </c>
      <c r="S114" s="31" t="s">
        <v>445</v>
      </c>
      <c r="T114" s="31"/>
      <c r="U114" s="3"/>
    </row>
    <row r="115" spans="1:21" x14ac:dyDescent="0.2">
      <c r="A115" s="33">
        <v>44805</v>
      </c>
      <c r="B115" s="31" t="s">
        <v>523</v>
      </c>
      <c r="C115" s="31">
        <v>1.86</v>
      </c>
      <c r="D115" s="31">
        <v>1.85</v>
      </c>
      <c r="E115" s="37">
        <f t="shared" si="5"/>
        <v>-0.53763440860215106</v>
      </c>
      <c r="F115" s="31">
        <v>2.29</v>
      </c>
      <c r="G115" s="39">
        <f t="shared" si="12"/>
        <v>23.783783783783779</v>
      </c>
      <c r="H115" s="31">
        <v>2.29</v>
      </c>
      <c r="I115" s="34">
        <f t="shared" si="9"/>
        <v>0</v>
      </c>
      <c r="J115" s="48">
        <f t="shared" si="11"/>
        <v>23.118279569892469</v>
      </c>
      <c r="K115" s="32" t="s">
        <v>437</v>
      </c>
      <c r="L115" s="33">
        <v>45170</v>
      </c>
      <c r="M115" s="31">
        <v>2</v>
      </c>
      <c r="N115" s="32" t="s">
        <v>425</v>
      </c>
      <c r="O115" s="32" t="s">
        <v>345</v>
      </c>
      <c r="P115" s="37">
        <v>2.2400000000000002</v>
      </c>
      <c r="Q115" s="72">
        <f t="shared" si="10"/>
        <v>10.714285714285724</v>
      </c>
      <c r="R115" s="31" t="s">
        <v>524</v>
      </c>
      <c r="S115" s="31" t="s">
        <v>441</v>
      </c>
      <c r="T115" s="31"/>
      <c r="U115" s="3"/>
    </row>
    <row r="116" spans="1:21" x14ac:dyDescent="0.2">
      <c r="A116" s="33">
        <v>44805</v>
      </c>
      <c r="B116" s="31" t="s">
        <v>503</v>
      </c>
      <c r="C116" s="36">
        <v>1.34</v>
      </c>
      <c r="D116" s="31">
        <v>1.37</v>
      </c>
      <c r="E116" s="37">
        <f t="shared" ref="E116:E173" si="13">(D116-C116)/C116*100</f>
        <v>2.2388059701492558</v>
      </c>
      <c r="F116" s="31">
        <v>1.79</v>
      </c>
      <c r="G116" s="39">
        <f t="shared" si="12"/>
        <v>30.656934306569333</v>
      </c>
      <c r="H116" s="31">
        <v>1.65</v>
      </c>
      <c r="I116" s="34">
        <f t="shared" si="9"/>
        <v>7.8212290502793369</v>
      </c>
      <c r="J116" s="48">
        <f t="shared" si="11"/>
        <v>23.13432835820894</v>
      </c>
      <c r="K116" s="32" t="s">
        <v>427</v>
      </c>
      <c r="L116" s="33">
        <v>45170</v>
      </c>
      <c r="M116" s="31">
        <v>1.68</v>
      </c>
      <c r="N116" s="32" t="s">
        <v>400</v>
      </c>
      <c r="O116" s="32" t="s">
        <v>418</v>
      </c>
      <c r="P116" s="37">
        <v>1.85</v>
      </c>
      <c r="Q116" s="72">
        <f t="shared" si="10"/>
        <v>9.1891891891891966</v>
      </c>
      <c r="R116" s="31" t="s">
        <v>345</v>
      </c>
      <c r="S116" s="31" t="s">
        <v>445</v>
      </c>
      <c r="T116" s="31"/>
      <c r="U116" s="3"/>
    </row>
    <row r="117" spans="1:21" x14ac:dyDescent="0.2">
      <c r="A117" s="33">
        <v>44805</v>
      </c>
      <c r="B117" s="31" t="s">
        <v>525</v>
      </c>
      <c r="C117" s="36">
        <v>6.5</v>
      </c>
      <c r="D117" s="31">
        <v>6.72</v>
      </c>
      <c r="E117" s="37">
        <f t="shared" si="13"/>
        <v>3.384615384615381</v>
      </c>
      <c r="F117" s="31">
        <v>7.67</v>
      </c>
      <c r="G117" s="39">
        <f t="shared" si="12"/>
        <v>14.136904761904765</v>
      </c>
      <c r="H117" s="31">
        <v>7.46</v>
      </c>
      <c r="I117" s="34">
        <f t="shared" si="9"/>
        <v>2.737940026075619</v>
      </c>
      <c r="J117" s="48">
        <f t="shared" si="11"/>
        <v>14.769230769230768</v>
      </c>
      <c r="K117" s="32" t="s">
        <v>433</v>
      </c>
      <c r="L117" s="33">
        <v>45170</v>
      </c>
      <c r="M117" s="31">
        <v>8</v>
      </c>
      <c r="N117" s="32" t="s">
        <v>400</v>
      </c>
      <c r="O117" s="32" t="s">
        <v>418</v>
      </c>
      <c r="P117" s="37">
        <v>8.0399999999999991</v>
      </c>
      <c r="Q117" s="72">
        <f t="shared" si="10"/>
        <v>0.49751243781093468</v>
      </c>
      <c r="R117" s="31" t="s">
        <v>345</v>
      </c>
      <c r="S117" s="31" t="s">
        <v>445</v>
      </c>
      <c r="T117" s="31"/>
      <c r="U117" s="3"/>
    </row>
    <row r="118" spans="1:21" x14ac:dyDescent="0.2">
      <c r="A118" s="33">
        <v>45170</v>
      </c>
      <c r="B118" s="31" t="s">
        <v>526</v>
      </c>
      <c r="C118" s="36">
        <v>1.01</v>
      </c>
      <c r="D118" s="31">
        <v>1.1000000000000001</v>
      </c>
      <c r="E118" s="37">
        <f t="shared" si="13"/>
        <v>8.9108910891089188</v>
      </c>
      <c r="F118" s="31">
        <v>1.42</v>
      </c>
      <c r="G118" s="39">
        <f t="shared" si="12"/>
        <v>29.090909090909072</v>
      </c>
      <c r="H118" s="31">
        <v>1.28</v>
      </c>
      <c r="I118" s="34">
        <f t="shared" si="9"/>
        <v>9.8591549295774588</v>
      </c>
      <c r="J118" s="48">
        <f t="shared" si="11"/>
        <v>26.732673267326735</v>
      </c>
      <c r="K118" s="32" t="s">
        <v>427</v>
      </c>
      <c r="L118" s="33">
        <v>46266</v>
      </c>
      <c r="M118" s="31">
        <v>1.27</v>
      </c>
      <c r="N118" s="32" t="s">
        <v>375</v>
      </c>
      <c r="O118" s="32" t="s">
        <v>418</v>
      </c>
      <c r="P118" s="37">
        <v>1.27</v>
      </c>
      <c r="Q118" s="72">
        <f t="shared" si="10"/>
        <v>0</v>
      </c>
      <c r="R118" s="31" t="s">
        <v>345</v>
      </c>
      <c r="S118" s="31" t="s">
        <v>445</v>
      </c>
      <c r="T118" s="31"/>
      <c r="U118" s="3"/>
    </row>
    <row r="119" spans="1:21" x14ac:dyDescent="0.2">
      <c r="A119" s="33">
        <v>45170</v>
      </c>
      <c r="B119" s="31" t="s">
        <v>527</v>
      </c>
      <c r="C119" s="36">
        <v>1.76</v>
      </c>
      <c r="D119" s="31">
        <v>1.78</v>
      </c>
      <c r="E119" s="37">
        <f t="shared" si="13"/>
        <v>1.1363636363636374</v>
      </c>
      <c r="F119" s="31">
        <v>2.38</v>
      </c>
      <c r="G119" s="39">
        <f t="shared" si="12"/>
        <v>33.707865168539321</v>
      </c>
      <c r="H119" s="31">
        <v>2.2200000000000002</v>
      </c>
      <c r="I119" s="34">
        <f t="shared" si="9"/>
        <v>6.7226890756302389</v>
      </c>
      <c r="J119" s="48">
        <f t="shared" si="11"/>
        <v>26.136363636363647</v>
      </c>
      <c r="K119" s="32" t="s">
        <v>437</v>
      </c>
      <c r="L119" s="33">
        <v>46266</v>
      </c>
      <c r="M119" s="31">
        <v>2.1800000000000002</v>
      </c>
      <c r="N119" s="32" t="s">
        <v>425</v>
      </c>
      <c r="O119" s="32" t="s">
        <v>418</v>
      </c>
      <c r="P119" s="37">
        <v>2.2000000000000002</v>
      </c>
      <c r="Q119" s="72">
        <f t="shared" si="10"/>
        <v>0.90909090909090973</v>
      </c>
      <c r="R119" s="31" t="s">
        <v>333</v>
      </c>
      <c r="S119" s="31" t="s">
        <v>445</v>
      </c>
      <c r="T119" s="31"/>
      <c r="U119" s="3"/>
    </row>
    <row r="120" spans="1:21" x14ac:dyDescent="0.2">
      <c r="A120" s="33">
        <v>45170</v>
      </c>
      <c r="B120" s="31" t="s">
        <v>505</v>
      </c>
      <c r="C120" s="36">
        <v>1.1100000000000001</v>
      </c>
      <c r="D120" s="31">
        <v>1.1399999999999999</v>
      </c>
      <c r="E120" s="37">
        <f t="shared" si="13"/>
        <v>2.7027027027026849</v>
      </c>
      <c r="F120" s="31">
        <v>1.35</v>
      </c>
      <c r="G120" s="39">
        <f t="shared" si="12"/>
        <v>18.421052631578966</v>
      </c>
      <c r="H120" s="31">
        <v>1.25</v>
      </c>
      <c r="I120" s="34">
        <f t="shared" si="9"/>
        <v>7.4074074074074137</v>
      </c>
      <c r="J120" s="48">
        <f t="shared" si="11"/>
        <v>12.612612612612603</v>
      </c>
      <c r="K120" s="32" t="s">
        <v>437</v>
      </c>
      <c r="L120" s="33">
        <v>46266</v>
      </c>
      <c r="M120" s="31">
        <v>1.23</v>
      </c>
      <c r="N120" s="32" t="s">
        <v>375</v>
      </c>
      <c r="O120" s="32" t="s">
        <v>418</v>
      </c>
      <c r="P120" s="37">
        <v>1.24</v>
      </c>
      <c r="Q120" s="72">
        <f t="shared" si="10"/>
        <v>0.80645161290322642</v>
      </c>
      <c r="R120" s="31" t="s">
        <v>345</v>
      </c>
      <c r="S120" s="31" t="s">
        <v>445</v>
      </c>
      <c r="T120" s="31"/>
      <c r="U120" s="3"/>
    </row>
    <row r="121" spans="1:21" x14ac:dyDescent="0.2">
      <c r="A121" s="33">
        <v>45170</v>
      </c>
      <c r="B121" s="31" t="s">
        <v>528</v>
      </c>
      <c r="C121" s="36">
        <v>2.4500000000000002</v>
      </c>
      <c r="D121" s="31">
        <v>2.5499999999999998</v>
      </c>
      <c r="E121" s="37">
        <f t="shared" si="13"/>
        <v>4.0816326530612095</v>
      </c>
      <c r="F121" s="31">
        <v>2.82</v>
      </c>
      <c r="G121" s="39">
        <f t="shared" si="12"/>
        <v>10.588235294117649</v>
      </c>
      <c r="H121" s="31">
        <v>2.7</v>
      </c>
      <c r="I121" s="34">
        <f t="shared" si="9"/>
        <v>4.2553191489361586</v>
      </c>
      <c r="J121" s="48">
        <f t="shared" si="11"/>
        <v>10.204081632653059</v>
      </c>
      <c r="K121" s="32" t="s">
        <v>437</v>
      </c>
      <c r="L121" s="33">
        <v>46266</v>
      </c>
      <c r="M121" s="31">
        <v>2.7</v>
      </c>
      <c r="N121" s="32" t="s">
        <v>449</v>
      </c>
      <c r="O121" s="32" t="s">
        <v>418</v>
      </c>
      <c r="P121" s="37">
        <v>2.76</v>
      </c>
      <c r="Q121" s="72">
        <f t="shared" si="10"/>
        <v>2.173913043478247</v>
      </c>
      <c r="R121" s="31" t="s">
        <v>331</v>
      </c>
      <c r="S121" s="31" t="s">
        <v>441</v>
      </c>
      <c r="T121" s="31"/>
      <c r="U121" s="3"/>
    </row>
    <row r="122" spans="1:21" x14ac:dyDescent="0.2">
      <c r="A122" s="33">
        <v>46266</v>
      </c>
      <c r="B122" s="31" t="s">
        <v>529</v>
      </c>
      <c r="C122" s="36">
        <v>2</v>
      </c>
      <c r="D122" s="31">
        <v>2.0299999999999998</v>
      </c>
      <c r="E122" s="37">
        <f t="shared" si="13"/>
        <v>1.4999999999999902</v>
      </c>
      <c r="F122" s="31">
        <v>2.75</v>
      </c>
      <c r="G122" s="39">
        <f t="shared" si="12"/>
        <v>35.467980295566512</v>
      </c>
      <c r="H122" s="31">
        <v>2.75</v>
      </c>
      <c r="I122" s="34">
        <f t="shared" si="9"/>
        <v>0</v>
      </c>
      <c r="J122" s="48">
        <f t="shared" si="11"/>
        <v>37.5</v>
      </c>
      <c r="K122" s="32" t="s">
        <v>437</v>
      </c>
      <c r="L122" s="33">
        <v>46631</v>
      </c>
      <c r="M122" s="31">
        <v>2.65</v>
      </c>
      <c r="N122" s="32" t="s">
        <v>449</v>
      </c>
      <c r="O122" s="32" t="s">
        <v>418</v>
      </c>
      <c r="P122" s="37">
        <v>8</v>
      </c>
      <c r="Q122" s="72">
        <f t="shared" si="10"/>
        <v>66.875</v>
      </c>
      <c r="R122" s="31" t="s">
        <v>418</v>
      </c>
      <c r="S122" s="31" t="s">
        <v>441</v>
      </c>
      <c r="T122" s="31"/>
      <c r="U122" s="3"/>
    </row>
    <row r="123" spans="1:21" x14ac:dyDescent="0.2">
      <c r="A123" s="33">
        <v>46266</v>
      </c>
      <c r="B123" s="31" t="s">
        <v>530</v>
      </c>
      <c r="C123" s="36">
        <v>10.27</v>
      </c>
      <c r="D123" s="31">
        <v>10.82</v>
      </c>
      <c r="E123" s="37">
        <f t="shared" si="13"/>
        <v>5.3554040895813122</v>
      </c>
      <c r="F123" s="31">
        <v>12.5</v>
      </c>
      <c r="G123" s="39">
        <f t="shared" si="12"/>
        <v>15.5268022181146</v>
      </c>
      <c r="H123" s="31">
        <v>12.19</v>
      </c>
      <c r="I123" s="34">
        <f t="shared" si="9"/>
        <v>2.480000000000004</v>
      </c>
      <c r="J123" s="48">
        <f t="shared" si="11"/>
        <v>18.695228821811099</v>
      </c>
      <c r="K123" s="32" t="s">
        <v>437</v>
      </c>
      <c r="L123" s="33">
        <v>46631</v>
      </c>
      <c r="M123" s="31">
        <v>12.27</v>
      </c>
      <c r="N123" s="32" t="s">
        <v>400</v>
      </c>
      <c r="O123" s="32" t="s">
        <v>418</v>
      </c>
      <c r="P123" s="37">
        <v>12.89</v>
      </c>
      <c r="Q123" s="72">
        <f t="shared" si="10"/>
        <v>4.8099301784329018</v>
      </c>
      <c r="R123" s="31" t="s">
        <v>418</v>
      </c>
      <c r="S123" s="31" t="s">
        <v>441</v>
      </c>
      <c r="T123" s="31"/>
      <c r="U123" s="3"/>
    </row>
    <row r="124" spans="1:21" x14ac:dyDescent="0.2">
      <c r="A124" s="33">
        <v>46266</v>
      </c>
      <c r="B124" s="31" t="s">
        <v>531</v>
      </c>
      <c r="C124" s="36">
        <v>3.89</v>
      </c>
      <c r="D124" s="31">
        <v>4.45</v>
      </c>
      <c r="E124" s="37">
        <f t="shared" si="13"/>
        <v>14.395886889460154</v>
      </c>
      <c r="F124" s="31">
        <v>4.93</v>
      </c>
      <c r="G124" s="39">
        <f t="shared" si="12"/>
        <v>10.786516853932573</v>
      </c>
      <c r="H124" s="31">
        <v>4.33</v>
      </c>
      <c r="I124" s="34">
        <f t="shared" si="9"/>
        <v>12.170385395537519</v>
      </c>
      <c r="J124" s="48">
        <f t="shared" si="11"/>
        <v>11.311053984575834</v>
      </c>
      <c r="K124" s="32" t="s">
        <v>427</v>
      </c>
      <c r="L124" s="33">
        <v>46631</v>
      </c>
      <c r="M124" s="31">
        <v>4.4000000000000004</v>
      </c>
      <c r="N124" s="32" t="s">
        <v>425</v>
      </c>
      <c r="O124" s="32" t="s">
        <v>418</v>
      </c>
      <c r="P124" s="37">
        <v>4.55</v>
      </c>
      <c r="Q124" s="72">
        <f t="shared" si="10"/>
        <v>3.296703296703285</v>
      </c>
      <c r="R124" s="31" t="s">
        <v>345</v>
      </c>
      <c r="S124" s="31" t="s">
        <v>447</v>
      </c>
      <c r="T124" s="31"/>
      <c r="U124" s="3"/>
    </row>
    <row r="125" spans="1:21" x14ac:dyDescent="0.2">
      <c r="A125" s="33">
        <v>46631</v>
      </c>
      <c r="B125" s="31" t="s">
        <v>532</v>
      </c>
      <c r="C125" s="36">
        <v>1.1599999999999999</v>
      </c>
      <c r="D125" s="31">
        <v>1.22</v>
      </c>
      <c r="E125" s="37">
        <f t="shared" si="13"/>
        <v>5.1724137931034528</v>
      </c>
      <c r="F125" s="31">
        <v>1.41</v>
      </c>
      <c r="G125" s="39">
        <f t="shared" si="12"/>
        <v>15.573770491803273</v>
      </c>
      <c r="H125" s="31">
        <v>1.39</v>
      </c>
      <c r="I125" s="34">
        <f t="shared" si="9"/>
        <v>1.4184397163120581</v>
      </c>
      <c r="J125" s="48">
        <f t="shared" si="11"/>
        <v>19.827586206896552</v>
      </c>
      <c r="K125" s="32" t="s">
        <v>437</v>
      </c>
      <c r="L125" s="33">
        <v>46997</v>
      </c>
      <c r="M125" s="31">
        <v>1.38</v>
      </c>
      <c r="N125" s="32" t="s">
        <v>425</v>
      </c>
      <c r="O125" s="32" t="s">
        <v>418</v>
      </c>
      <c r="P125" s="37">
        <v>1.42</v>
      </c>
      <c r="Q125" s="72">
        <f t="shared" si="10"/>
        <v>2.8169014084507067</v>
      </c>
      <c r="R125" s="31" t="s">
        <v>333</v>
      </c>
      <c r="S125" s="31" t="s">
        <v>445</v>
      </c>
      <c r="T125" s="31"/>
      <c r="U125" s="3"/>
    </row>
    <row r="126" spans="1:21" x14ac:dyDescent="0.2">
      <c r="A126" s="33">
        <v>46631</v>
      </c>
      <c r="B126" s="31" t="s">
        <v>533</v>
      </c>
      <c r="C126" s="36">
        <v>3.27</v>
      </c>
      <c r="D126" s="31">
        <v>3.24</v>
      </c>
      <c r="E126" s="37">
        <f t="shared" si="13"/>
        <v>-0.9174311926605444</v>
      </c>
      <c r="F126" s="31">
        <v>4.1500000000000004</v>
      </c>
      <c r="G126" s="39">
        <f t="shared" si="12"/>
        <v>28.086419753086421</v>
      </c>
      <c r="H126" s="31">
        <v>3.79</v>
      </c>
      <c r="I126" s="34">
        <f t="shared" si="9"/>
        <v>8.6746987951807295</v>
      </c>
      <c r="J126" s="48">
        <f t="shared" si="11"/>
        <v>15.902140672782874</v>
      </c>
      <c r="K126" s="32" t="s">
        <v>437</v>
      </c>
      <c r="L126" s="33">
        <v>46997</v>
      </c>
      <c r="M126" s="31">
        <v>3.6</v>
      </c>
      <c r="N126" s="32" t="s">
        <v>425</v>
      </c>
      <c r="O126" s="32" t="s">
        <v>418</v>
      </c>
      <c r="P126" s="37">
        <v>3.77</v>
      </c>
      <c r="Q126" s="72">
        <f t="shared" si="10"/>
        <v>4.5092838196286458</v>
      </c>
      <c r="R126" s="31" t="s">
        <v>418</v>
      </c>
      <c r="S126" s="31" t="s">
        <v>441</v>
      </c>
      <c r="T126" s="31"/>
      <c r="U126" s="3"/>
    </row>
    <row r="127" spans="1:21" x14ac:dyDescent="0.2">
      <c r="A127" s="33">
        <v>46631</v>
      </c>
      <c r="B127" s="31" t="s">
        <v>534</v>
      </c>
      <c r="C127" s="36">
        <v>7.75</v>
      </c>
      <c r="D127" s="31">
        <v>7.86</v>
      </c>
      <c r="E127" s="37">
        <f t="shared" si="13"/>
        <v>1.4193548387096815</v>
      </c>
      <c r="F127" s="31">
        <v>8.7200000000000006</v>
      </c>
      <c r="G127" s="39">
        <f t="shared" si="12"/>
        <v>10.941475826972013</v>
      </c>
      <c r="H127" s="31">
        <v>8.73</v>
      </c>
      <c r="I127" s="34">
        <f t="shared" si="9"/>
        <v>-0.11467889908256636</v>
      </c>
      <c r="J127" s="48">
        <f t="shared" si="11"/>
        <v>12.645161290322587</v>
      </c>
      <c r="K127" s="32" t="s">
        <v>433</v>
      </c>
      <c r="L127" s="33">
        <v>46997</v>
      </c>
      <c r="M127" s="31">
        <v>8.83</v>
      </c>
      <c r="N127" s="32" t="s">
        <v>400</v>
      </c>
      <c r="O127" s="32" t="s">
        <v>418</v>
      </c>
      <c r="P127" s="37">
        <v>8.9</v>
      </c>
      <c r="Q127" s="72">
        <f t="shared" si="10"/>
        <v>0.78651685393258741</v>
      </c>
      <c r="R127" s="31" t="s">
        <v>333</v>
      </c>
      <c r="S127" s="31" t="s">
        <v>445</v>
      </c>
      <c r="T127" s="31"/>
      <c r="U127" s="3"/>
    </row>
    <row r="128" spans="1:21" x14ac:dyDescent="0.2">
      <c r="A128" s="33">
        <v>46631</v>
      </c>
      <c r="B128" s="31" t="s">
        <v>535</v>
      </c>
      <c r="C128" s="36">
        <v>1.64</v>
      </c>
      <c r="D128" s="31">
        <v>1.69</v>
      </c>
      <c r="E128" s="37">
        <f t="shared" si="13"/>
        <v>3.0487804878048812</v>
      </c>
      <c r="F128" s="31">
        <v>2.19</v>
      </c>
      <c r="G128" s="39">
        <f t="shared" si="12"/>
        <v>29.585798816568047</v>
      </c>
      <c r="H128" s="31">
        <v>1.84</v>
      </c>
      <c r="I128" s="34">
        <f t="shared" si="9"/>
        <v>15.981735159817346</v>
      </c>
      <c r="J128" s="48">
        <f t="shared" si="11"/>
        <v>12.195121951219525</v>
      </c>
      <c r="K128" s="32" t="s">
        <v>437</v>
      </c>
      <c r="L128" s="33">
        <v>46997</v>
      </c>
      <c r="M128" s="31">
        <v>1.88</v>
      </c>
      <c r="N128" s="32" t="s">
        <v>400</v>
      </c>
      <c r="O128" s="32" t="s">
        <v>418</v>
      </c>
      <c r="P128" s="37">
        <v>1.99</v>
      </c>
      <c r="Q128" s="72">
        <f t="shared" si="10"/>
        <v>5.5276381909547787</v>
      </c>
      <c r="R128" s="31" t="s">
        <v>418</v>
      </c>
      <c r="S128" s="31" t="s">
        <v>441</v>
      </c>
      <c r="T128" s="31"/>
      <c r="U128" s="3"/>
    </row>
    <row r="129" spans="1:21" x14ac:dyDescent="0.2">
      <c r="A129" s="33">
        <v>46997</v>
      </c>
      <c r="B129" s="31" t="s">
        <v>480</v>
      </c>
      <c r="C129" s="36">
        <v>7.04</v>
      </c>
      <c r="D129" s="31">
        <v>6.78</v>
      </c>
      <c r="E129" s="37">
        <f t="shared" si="13"/>
        <v>-3.6931818181818148</v>
      </c>
      <c r="F129" s="31">
        <v>11.4</v>
      </c>
      <c r="G129" s="39">
        <f t="shared" si="12"/>
        <v>68.141592920353972</v>
      </c>
      <c r="H129" s="31">
        <v>9.89</v>
      </c>
      <c r="I129" s="34">
        <f t="shared" si="9"/>
        <v>13.245614035087716</v>
      </c>
      <c r="J129" s="48">
        <f t="shared" si="11"/>
        <v>40.482954545454554</v>
      </c>
      <c r="K129" s="32" t="s">
        <v>433</v>
      </c>
      <c r="L129" s="33">
        <v>47362</v>
      </c>
      <c r="M129" s="31">
        <v>10.02</v>
      </c>
      <c r="N129" s="32" t="s">
        <v>400</v>
      </c>
      <c r="O129" s="32" t="s">
        <v>345</v>
      </c>
      <c r="P129" s="37">
        <v>11.39</v>
      </c>
      <c r="Q129" s="72">
        <f t="shared" si="10"/>
        <v>12.028094820017568</v>
      </c>
      <c r="R129" s="31" t="s">
        <v>418</v>
      </c>
      <c r="S129" s="31" t="s">
        <v>441</v>
      </c>
      <c r="T129" s="31"/>
      <c r="U129" s="3"/>
    </row>
    <row r="130" spans="1:21" x14ac:dyDescent="0.2">
      <c r="A130" s="33">
        <v>46997</v>
      </c>
      <c r="B130" s="31" t="s">
        <v>405</v>
      </c>
      <c r="C130" s="36">
        <v>4.66</v>
      </c>
      <c r="D130" s="31">
        <v>5.21</v>
      </c>
      <c r="E130" s="37">
        <f t="shared" si="13"/>
        <v>11.802575107296134</v>
      </c>
      <c r="F130" s="31">
        <v>5.99</v>
      </c>
      <c r="G130" s="39">
        <f t="shared" si="12"/>
        <v>14.971209213051829</v>
      </c>
      <c r="H130" s="31">
        <v>5.83</v>
      </c>
      <c r="I130" s="34">
        <f t="shared" si="9"/>
        <v>2.6711185308848102</v>
      </c>
      <c r="J130" s="48">
        <f t="shared" si="11"/>
        <v>25.107296137339052</v>
      </c>
      <c r="K130" s="32" t="s">
        <v>433</v>
      </c>
      <c r="L130" s="33">
        <v>47362</v>
      </c>
      <c r="M130" s="31">
        <v>5.66</v>
      </c>
      <c r="N130" s="32" t="s">
        <v>425</v>
      </c>
      <c r="O130" s="32" t="s">
        <v>418</v>
      </c>
      <c r="P130" s="37">
        <v>5.89</v>
      </c>
      <c r="Q130" s="72">
        <f t="shared" si="10"/>
        <v>3.9049235993208753</v>
      </c>
      <c r="R130" s="31" t="s">
        <v>418</v>
      </c>
      <c r="S130" s="31" t="s">
        <v>441</v>
      </c>
      <c r="T130" s="31"/>
      <c r="U130" s="3"/>
    </row>
    <row r="131" spans="1:21" x14ac:dyDescent="0.2">
      <c r="A131" s="33">
        <v>46997</v>
      </c>
      <c r="B131" s="31" t="s">
        <v>536</v>
      </c>
      <c r="C131" s="36">
        <v>2.97</v>
      </c>
      <c r="D131" s="31">
        <v>3.21</v>
      </c>
      <c r="E131" s="37">
        <f t="shared" si="13"/>
        <v>8.0808080808080724</v>
      </c>
      <c r="F131" s="31">
        <v>3.93</v>
      </c>
      <c r="G131" s="39">
        <f t="shared" si="12"/>
        <v>22.429906542056081</v>
      </c>
      <c r="H131" s="31">
        <v>3.55</v>
      </c>
      <c r="I131" s="34">
        <f t="shared" si="9"/>
        <v>9.6692111959287619</v>
      </c>
      <c r="J131" s="48">
        <f t="shared" si="11"/>
        <v>19.528619528619515</v>
      </c>
      <c r="K131" s="32" t="s">
        <v>437</v>
      </c>
      <c r="L131" s="33">
        <v>47362</v>
      </c>
      <c r="M131" s="31">
        <v>3.56</v>
      </c>
      <c r="N131" s="32" t="s">
        <v>425</v>
      </c>
      <c r="O131" s="32" t="s">
        <v>418</v>
      </c>
      <c r="P131" s="37">
        <v>3.56</v>
      </c>
      <c r="Q131" s="72">
        <f t="shared" si="10"/>
        <v>0</v>
      </c>
      <c r="R131" s="31" t="s">
        <v>345</v>
      </c>
      <c r="S131" s="31" t="s">
        <v>445</v>
      </c>
      <c r="T131" s="31"/>
      <c r="U131" s="3"/>
    </row>
    <row r="132" spans="1:21" x14ac:dyDescent="0.2">
      <c r="A132" s="33">
        <v>47362</v>
      </c>
      <c r="B132" s="31" t="s">
        <v>537</v>
      </c>
      <c r="C132" s="36">
        <v>4.4800000000000004</v>
      </c>
      <c r="D132" s="87">
        <v>5.62</v>
      </c>
      <c r="E132" s="37">
        <f t="shared" si="13"/>
        <v>25.446428571428566</v>
      </c>
      <c r="F132" s="31">
        <v>7.89</v>
      </c>
      <c r="G132" s="39">
        <f t="shared" si="12"/>
        <v>40.391459074733085</v>
      </c>
      <c r="H132" s="31">
        <v>6.25</v>
      </c>
      <c r="I132" s="34">
        <f t="shared" si="9"/>
        <v>20.785804816223063</v>
      </c>
      <c r="J132" s="48">
        <f t="shared" si="11"/>
        <v>39.508928571428555</v>
      </c>
      <c r="K132" s="32" t="s">
        <v>427</v>
      </c>
      <c r="L132" s="33">
        <v>47727</v>
      </c>
      <c r="M132" s="31">
        <v>6.5</v>
      </c>
      <c r="N132" s="32" t="s">
        <v>400</v>
      </c>
      <c r="O132" s="32" t="s">
        <v>418</v>
      </c>
      <c r="P132" s="37">
        <v>6.63</v>
      </c>
      <c r="Q132" s="72">
        <f t="shared" si="10"/>
        <v>1.9607843137254888</v>
      </c>
      <c r="R132" s="31" t="s">
        <v>333</v>
      </c>
      <c r="S132" s="31" t="s">
        <v>447</v>
      </c>
      <c r="T132" s="31"/>
      <c r="U132" s="3"/>
    </row>
    <row r="133" spans="1:21" x14ac:dyDescent="0.2">
      <c r="A133" s="33">
        <v>47362</v>
      </c>
      <c r="B133" s="31" t="s">
        <v>520</v>
      </c>
      <c r="C133" s="36">
        <v>3.46</v>
      </c>
      <c r="D133" s="87">
        <v>3.48</v>
      </c>
      <c r="E133" s="37">
        <f t="shared" si="13"/>
        <v>0.57803468208092534</v>
      </c>
      <c r="F133" s="31">
        <v>4.26</v>
      </c>
      <c r="G133" s="39">
        <f t="shared" si="12"/>
        <v>22.41379310344827</v>
      </c>
      <c r="H133" s="31">
        <v>4.0999999999999996</v>
      </c>
      <c r="I133" s="34">
        <f t="shared" si="9"/>
        <v>3.7558685446009425</v>
      </c>
      <c r="J133" s="48">
        <f t="shared" si="11"/>
        <v>18.497109826589586</v>
      </c>
      <c r="K133" s="32" t="s">
        <v>433</v>
      </c>
      <c r="L133" s="33">
        <v>47727</v>
      </c>
      <c r="M133" s="31">
        <v>4.18</v>
      </c>
      <c r="N133" s="32" t="s">
        <v>400</v>
      </c>
      <c r="O133" s="32" t="s">
        <v>345</v>
      </c>
      <c r="P133" s="37">
        <v>4.7300000000000004</v>
      </c>
      <c r="Q133" s="72">
        <f t="shared" si="10"/>
        <v>11.6279069767442</v>
      </c>
      <c r="R133" s="31" t="s">
        <v>418</v>
      </c>
      <c r="S133" s="31" t="s">
        <v>441</v>
      </c>
      <c r="T133" s="31"/>
      <c r="U133" s="3"/>
    </row>
    <row r="134" spans="1:21" x14ac:dyDescent="0.2">
      <c r="A134" s="33">
        <v>47362</v>
      </c>
      <c r="B134" s="31" t="s">
        <v>397</v>
      </c>
      <c r="C134" s="36">
        <v>3.34</v>
      </c>
      <c r="D134" s="87">
        <v>3.38</v>
      </c>
      <c r="E134" s="37">
        <f t="shared" si="13"/>
        <v>1.1976047904191627</v>
      </c>
      <c r="F134" s="31">
        <v>4.45</v>
      </c>
      <c r="G134" s="39">
        <f t="shared" si="12"/>
        <v>31.656804733727821</v>
      </c>
      <c r="H134" s="31">
        <v>3.67</v>
      </c>
      <c r="I134" s="34">
        <f t="shared" si="9"/>
        <v>17.528089887640455</v>
      </c>
      <c r="J134" s="48">
        <f t="shared" si="11"/>
        <v>9.8802395209580869</v>
      </c>
      <c r="K134" s="32" t="s">
        <v>433</v>
      </c>
      <c r="L134" s="33">
        <v>47727</v>
      </c>
      <c r="M134" s="31">
        <v>3.16</v>
      </c>
      <c r="N134" s="32" t="s">
        <v>449</v>
      </c>
      <c r="O134" s="32" t="s">
        <v>418</v>
      </c>
      <c r="P134" s="37">
        <v>3.84</v>
      </c>
      <c r="Q134" s="72">
        <f t="shared" ref="Q134:Q173" si="14">(P134-M134)/P134*100</f>
        <v>17.708333333333325</v>
      </c>
      <c r="R134" s="31" t="s">
        <v>333</v>
      </c>
      <c r="S134" s="31" t="s">
        <v>447</v>
      </c>
      <c r="T134" s="31"/>
      <c r="U134" s="3"/>
    </row>
    <row r="135" spans="1:21" x14ac:dyDescent="0.2">
      <c r="A135" s="33">
        <v>11202</v>
      </c>
      <c r="B135" s="31" t="s">
        <v>538</v>
      </c>
      <c r="C135" s="36">
        <v>2.64</v>
      </c>
      <c r="D135" s="31">
        <v>3</v>
      </c>
      <c r="E135" s="37">
        <f t="shared" si="13"/>
        <v>13.63636363636363</v>
      </c>
      <c r="F135" s="31">
        <v>3.72</v>
      </c>
      <c r="G135" s="39">
        <f t="shared" si="12"/>
        <v>24.000000000000007</v>
      </c>
      <c r="H135" s="31">
        <v>3.1</v>
      </c>
      <c r="I135" s="34">
        <f t="shared" si="9"/>
        <v>16.666666666666668</v>
      </c>
      <c r="J135" s="48">
        <f t="shared" si="11"/>
        <v>17.424242424242422</v>
      </c>
      <c r="K135" s="32" t="s">
        <v>427</v>
      </c>
      <c r="L135" s="33">
        <v>37165</v>
      </c>
      <c r="M135" s="31">
        <v>3.07</v>
      </c>
      <c r="N135" s="32" t="s">
        <v>400</v>
      </c>
      <c r="O135" s="32" t="s">
        <v>418</v>
      </c>
      <c r="P135" s="37">
        <v>3.28</v>
      </c>
      <c r="Q135" s="72">
        <f t="shared" si="14"/>
        <v>6.4024390243902429</v>
      </c>
      <c r="R135" s="31" t="s">
        <v>418</v>
      </c>
      <c r="S135" s="31" t="s">
        <v>441</v>
      </c>
      <c r="T135" s="31"/>
      <c r="U135" s="3"/>
    </row>
    <row r="136" spans="1:21" x14ac:dyDescent="0.2">
      <c r="A136" s="33">
        <v>11202</v>
      </c>
      <c r="B136" s="31" t="s">
        <v>539</v>
      </c>
      <c r="C136" s="36">
        <v>5.17</v>
      </c>
      <c r="D136" s="31">
        <v>4.2</v>
      </c>
      <c r="E136" s="37">
        <f t="shared" si="13"/>
        <v>-18.76208897485493</v>
      </c>
      <c r="F136" s="31">
        <v>6.1</v>
      </c>
      <c r="G136" s="39">
        <f t="shared" si="12"/>
        <v>45.238095238095219</v>
      </c>
      <c r="H136" s="31">
        <v>5.89</v>
      </c>
      <c r="I136" s="34">
        <f t="shared" si="9"/>
        <v>3.4426229508196715</v>
      </c>
      <c r="J136" s="48">
        <f t="shared" si="11"/>
        <v>13.926499032882006</v>
      </c>
      <c r="K136" s="32" t="s">
        <v>437</v>
      </c>
      <c r="L136" s="33">
        <v>37165</v>
      </c>
      <c r="M136" s="31">
        <v>5.9</v>
      </c>
      <c r="N136" s="32" t="s">
        <v>400</v>
      </c>
      <c r="O136" s="32" t="s">
        <v>418</v>
      </c>
      <c r="P136" s="37">
        <v>5.98</v>
      </c>
      <c r="Q136" s="72">
        <f t="shared" si="14"/>
        <v>1.3377926421404693</v>
      </c>
      <c r="R136" s="31" t="s">
        <v>418</v>
      </c>
      <c r="S136" s="31" t="s">
        <v>441</v>
      </c>
      <c r="T136" s="31"/>
      <c r="U136" s="3"/>
    </row>
    <row r="137" spans="1:21" x14ac:dyDescent="0.2">
      <c r="A137" s="33">
        <v>37895</v>
      </c>
      <c r="B137" s="31" t="s">
        <v>490</v>
      </c>
      <c r="C137" s="36">
        <v>3.63</v>
      </c>
      <c r="D137" s="31">
        <v>4.1500000000000004</v>
      </c>
      <c r="E137" s="37">
        <f t="shared" si="13"/>
        <v>14.325068870523431</v>
      </c>
      <c r="F137" s="31">
        <v>5.15</v>
      </c>
      <c r="G137" s="39">
        <f t="shared" si="12"/>
        <v>24.096385542168672</v>
      </c>
      <c r="H137" s="31">
        <v>5.27</v>
      </c>
      <c r="I137" s="34">
        <f t="shared" si="9"/>
        <v>-2.3300970873786255</v>
      </c>
      <c r="J137" s="48">
        <f t="shared" si="11"/>
        <v>45.179063360881536</v>
      </c>
      <c r="K137" s="32" t="s">
        <v>433</v>
      </c>
      <c r="L137" s="33">
        <v>38261</v>
      </c>
      <c r="M137" s="31">
        <v>4.83</v>
      </c>
      <c r="N137" s="32" t="s">
        <v>425</v>
      </c>
      <c r="O137" s="32" t="s">
        <v>540</v>
      </c>
      <c r="P137" s="37">
        <v>4.97</v>
      </c>
      <c r="Q137" s="72">
        <f t="shared" si="14"/>
        <v>2.8169014084506983</v>
      </c>
      <c r="R137" s="31" t="s">
        <v>345</v>
      </c>
      <c r="S137" s="31" t="s">
        <v>445</v>
      </c>
      <c r="T137" s="31"/>
      <c r="U137" s="3"/>
    </row>
    <row r="138" spans="1:21" x14ac:dyDescent="0.2">
      <c r="A138" s="33">
        <v>37895</v>
      </c>
      <c r="B138" s="31" t="s">
        <v>541</v>
      </c>
      <c r="C138" s="36">
        <v>0.69</v>
      </c>
      <c r="D138" s="31">
        <v>0.81</v>
      </c>
      <c r="E138" s="37">
        <f t="shared" si="13"/>
        <v>17.391304347826104</v>
      </c>
      <c r="F138" s="31">
        <v>1.79</v>
      </c>
      <c r="G138" s="39">
        <f t="shared" si="12"/>
        <v>120.98765432098763</v>
      </c>
      <c r="H138" s="31">
        <v>0.98</v>
      </c>
      <c r="I138" s="34">
        <f t="shared" si="9"/>
        <v>45.251396648044697</v>
      </c>
      <c r="J138" s="48">
        <f t="shared" si="11"/>
        <v>42.028985507246389</v>
      </c>
      <c r="K138" s="32" t="s">
        <v>433</v>
      </c>
      <c r="L138" s="33">
        <v>38261</v>
      </c>
      <c r="M138" s="31">
        <v>5.86</v>
      </c>
      <c r="N138" s="32" t="s">
        <v>400</v>
      </c>
      <c r="O138" s="107" t="s">
        <v>345</v>
      </c>
      <c r="P138" s="37">
        <v>7.5</v>
      </c>
      <c r="Q138" s="72">
        <f t="shared" si="14"/>
        <v>21.866666666666664</v>
      </c>
      <c r="R138" s="31" t="s">
        <v>418</v>
      </c>
      <c r="S138" s="31" t="s">
        <v>441</v>
      </c>
      <c r="T138" s="31"/>
      <c r="U138" s="3"/>
    </row>
    <row r="139" spans="1:21" x14ac:dyDescent="0.2">
      <c r="A139" s="33">
        <v>37895</v>
      </c>
      <c r="B139" s="31" t="s">
        <v>542</v>
      </c>
      <c r="C139" s="36">
        <v>10.49</v>
      </c>
      <c r="D139" s="31">
        <v>11.2</v>
      </c>
      <c r="E139" s="37">
        <f t="shared" si="13"/>
        <v>6.7683508102955106</v>
      </c>
      <c r="F139" s="31">
        <v>13.23</v>
      </c>
      <c r="G139" s="39">
        <f t="shared" si="12"/>
        <v>18.125000000000011</v>
      </c>
      <c r="H139" s="31">
        <v>12.85</v>
      </c>
      <c r="I139" s="34">
        <f t="shared" si="9"/>
        <v>2.8722600151171638</v>
      </c>
      <c r="J139" s="48">
        <f t="shared" si="11"/>
        <v>22.497616777883692</v>
      </c>
      <c r="K139" s="32" t="s">
        <v>437</v>
      </c>
      <c r="L139" s="33">
        <v>38261</v>
      </c>
      <c r="M139" s="31">
        <v>12.45</v>
      </c>
      <c r="N139" s="32" t="s">
        <v>425</v>
      </c>
      <c r="O139" s="107" t="s">
        <v>418</v>
      </c>
      <c r="P139" s="37">
        <v>12.48</v>
      </c>
      <c r="Q139" s="72">
        <f t="shared" si="14"/>
        <v>0.24038461538462449</v>
      </c>
      <c r="R139" s="31" t="s">
        <v>345</v>
      </c>
      <c r="S139" s="31" t="s">
        <v>445</v>
      </c>
      <c r="T139" s="31"/>
      <c r="U139" s="3"/>
    </row>
    <row r="140" spans="1:21" x14ac:dyDescent="0.2">
      <c r="A140" s="33">
        <v>37895</v>
      </c>
      <c r="B140" s="31" t="s">
        <v>543</v>
      </c>
      <c r="C140" s="36">
        <v>2.4</v>
      </c>
      <c r="D140" s="31">
        <v>2.4500000000000002</v>
      </c>
      <c r="E140" s="37">
        <f t="shared" si="13"/>
        <v>2.0833333333333446</v>
      </c>
      <c r="F140" s="31">
        <v>3.8</v>
      </c>
      <c r="G140" s="39">
        <f t="shared" si="12"/>
        <v>55.102040816326515</v>
      </c>
      <c r="H140" s="31">
        <v>2.91</v>
      </c>
      <c r="I140" s="34">
        <f t="shared" si="9"/>
        <v>23.421052631578938</v>
      </c>
      <c r="J140" s="48">
        <f t="shared" si="11"/>
        <v>21.250000000000011</v>
      </c>
      <c r="K140" s="32" t="s">
        <v>437</v>
      </c>
      <c r="L140" s="33">
        <v>38261</v>
      </c>
      <c r="M140" s="31">
        <v>2.92</v>
      </c>
      <c r="N140" s="32" t="s">
        <v>400</v>
      </c>
      <c r="O140" s="107" t="s">
        <v>418</v>
      </c>
      <c r="P140" s="37">
        <v>3.04</v>
      </c>
      <c r="Q140" s="72">
        <f t="shared" si="14"/>
        <v>3.947368421052635</v>
      </c>
      <c r="R140" s="31" t="s">
        <v>345</v>
      </c>
      <c r="S140" s="31" t="s">
        <v>445</v>
      </c>
      <c r="T140" s="31"/>
      <c r="U140" s="3"/>
    </row>
    <row r="141" spans="1:21" x14ac:dyDescent="0.2">
      <c r="A141" s="33">
        <v>37895</v>
      </c>
      <c r="B141" s="31" t="s">
        <v>544</v>
      </c>
      <c r="C141" s="36">
        <v>3.87</v>
      </c>
      <c r="D141" s="31">
        <v>4.09</v>
      </c>
      <c r="E141" s="37">
        <f t="shared" si="13"/>
        <v>5.6847545219638178</v>
      </c>
      <c r="F141" s="31">
        <v>4.84</v>
      </c>
      <c r="G141" s="39">
        <f t="shared" si="12"/>
        <v>18.337408312958438</v>
      </c>
      <c r="H141" s="31">
        <v>4.57</v>
      </c>
      <c r="I141" s="34">
        <f t="shared" si="9"/>
        <v>5.5785123966942063</v>
      </c>
      <c r="J141" s="48">
        <f t="shared" si="11"/>
        <v>18.087855297157628</v>
      </c>
      <c r="K141" s="32" t="s">
        <v>433</v>
      </c>
      <c r="L141" s="33">
        <v>38261</v>
      </c>
      <c r="M141" s="31">
        <v>4.51</v>
      </c>
      <c r="N141" s="32" t="s">
        <v>425</v>
      </c>
      <c r="O141" s="107" t="s">
        <v>418</v>
      </c>
      <c r="P141" s="37">
        <v>4.58</v>
      </c>
      <c r="Q141" s="72">
        <f t="shared" si="14"/>
        <v>1.5283842794759888</v>
      </c>
      <c r="R141" s="31" t="s">
        <v>345</v>
      </c>
      <c r="S141" s="31" t="s">
        <v>445</v>
      </c>
      <c r="T141" s="31"/>
      <c r="U141" s="3"/>
    </row>
    <row r="142" spans="1:21" x14ac:dyDescent="0.2">
      <c r="A142" s="33">
        <v>37895</v>
      </c>
      <c r="B142" s="31" t="s">
        <v>545</v>
      </c>
      <c r="C142" s="36">
        <v>9.36</v>
      </c>
      <c r="D142" s="31">
        <v>9.36</v>
      </c>
      <c r="E142" s="37">
        <f t="shared" si="13"/>
        <v>0</v>
      </c>
      <c r="F142" s="31">
        <v>10.73</v>
      </c>
      <c r="G142" s="39">
        <f t="shared" si="12"/>
        <v>14.636752136752149</v>
      </c>
      <c r="H142" s="31">
        <v>10.39</v>
      </c>
      <c r="I142" s="34">
        <f t="shared" si="9"/>
        <v>3.1686859273066159</v>
      </c>
      <c r="J142" s="48">
        <f t="shared" si="11"/>
        <v>11.004273504273517</v>
      </c>
      <c r="K142" s="32" t="s">
        <v>433</v>
      </c>
      <c r="L142" s="33">
        <v>38261</v>
      </c>
      <c r="M142" s="31">
        <v>10.43</v>
      </c>
      <c r="N142" s="32" t="s">
        <v>400</v>
      </c>
      <c r="O142" s="107" t="s">
        <v>418</v>
      </c>
      <c r="P142" s="37">
        <v>10.58</v>
      </c>
      <c r="Q142" s="72">
        <f t="shared" si="14"/>
        <v>1.4177693761814778</v>
      </c>
      <c r="R142" s="31" t="s">
        <v>345</v>
      </c>
      <c r="S142" s="31" t="s">
        <v>445</v>
      </c>
      <c r="T142" s="31"/>
      <c r="U142" s="3"/>
    </row>
    <row r="143" spans="1:21" x14ac:dyDescent="0.2">
      <c r="A143" s="33">
        <v>38626</v>
      </c>
      <c r="B143" s="31" t="s">
        <v>505</v>
      </c>
      <c r="C143" s="36">
        <v>1.1200000000000001</v>
      </c>
      <c r="D143" s="31">
        <v>1.28</v>
      </c>
      <c r="E143" s="37">
        <f t="shared" si="13"/>
        <v>14.285714285714276</v>
      </c>
      <c r="F143" s="31">
        <v>1.58</v>
      </c>
      <c r="G143" s="39">
        <f t="shared" si="12"/>
        <v>23.437500000000004</v>
      </c>
      <c r="H143" s="31">
        <v>1.46</v>
      </c>
      <c r="I143" s="34">
        <f t="shared" si="9"/>
        <v>7.5949367088607653</v>
      </c>
      <c r="J143" s="48">
        <f t="shared" si="11"/>
        <v>30.357142857142843</v>
      </c>
      <c r="K143" s="32" t="s">
        <v>437</v>
      </c>
      <c r="L143" s="33">
        <v>38991</v>
      </c>
      <c r="M143" s="31">
        <v>1.43</v>
      </c>
      <c r="N143" s="32" t="s">
        <v>425</v>
      </c>
      <c r="O143" s="107" t="s">
        <v>418</v>
      </c>
      <c r="P143" s="37">
        <v>1.45</v>
      </c>
      <c r="Q143" s="72">
        <f t="shared" si="14"/>
        <v>1.3793103448275874</v>
      </c>
      <c r="R143" s="31" t="s">
        <v>345</v>
      </c>
      <c r="S143" s="31" t="s">
        <v>447</v>
      </c>
      <c r="T143" s="31"/>
      <c r="U143" s="3"/>
    </row>
    <row r="144" spans="1:21" x14ac:dyDescent="0.2">
      <c r="A144" s="33">
        <v>38626</v>
      </c>
      <c r="B144" s="31" t="s">
        <v>529</v>
      </c>
      <c r="C144" s="36">
        <v>2.33</v>
      </c>
      <c r="D144" s="31">
        <v>2.36</v>
      </c>
      <c r="E144" s="37">
        <f t="shared" si="13"/>
        <v>1.2875536480686611</v>
      </c>
      <c r="F144" s="31">
        <v>2.58</v>
      </c>
      <c r="G144" s="39">
        <f t="shared" si="12"/>
        <v>9.3220338983050937</v>
      </c>
      <c r="H144" s="31">
        <v>2.56</v>
      </c>
      <c r="I144" s="34">
        <f t="shared" si="9"/>
        <v>0.77519379844961311</v>
      </c>
      <c r="J144" s="48">
        <f t="shared" si="11"/>
        <v>9.8712446351931327</v>
      </c>
      <c r="K144" s="32" t="s">
        <v>433</v>
      </c>
      <c r="L144" s="33">
        <v>38991</v>
      </c>
      <c r="M144" s="31">
        <v>2.66</v>
      </c>
      <c r="N144" s="32" t="s">
        <v>400</v>
      </c>
      <c r="O144" s="107" t="s">
        <v>345</v>
      </c>
      <c r="P144" s="37">
        <v>2.88</v>
      </c>
      <c r="Q144" s="72">
        <f t="shared" si="14"/>
        <v>7.6388888888888813</v>
      </c>
      <c r="R144" s="31" t="s">
        <v>418</v>
      </c>
      <c r="S144" s="31" t="s">
        <v>441</v>
      </c>
      <c r="T144" s="31"/>
      <c r="U144" s="3"/>
    </row>
    <row r="145" spans="1:21" x14ac:dyDescent="0.2">
      <c r="A145" s="33">
        <v>39356</v>
      </c>
      <c r="B145" s="31" t="s">
        <v>546</v>
      </c>
      <c r="C145" s="36">
        <v>8.24</v>
      </c>
      <c r="D145" s="31">
        <v>8.08</v>
      </c>
      <c r="E145" s="37">
        <f t="shared" si="13"/>
        <v>-1.9417475728155356</v>
      </c>
      <c r="F145" s="31">
        <v>9.2799999999999994</v>
      </c>
      <c r="G145" s="39">
        <f t="shared" si="12"/>
        <v>14.851485148514843</v>
      </c>
      <c r="H145" s="31">
        <v>9.34</v>
      </c>
      <c r="I145" s="34">
        <f t="shared" si="9"/>
        <v>-0.64655172413793638</v>
      </c>
      <c r="J145" s="48">
        <f t="shared" si="11"/>
        <v>13.349514563106791</v>
      </c>
      <c r="K145" s="32" t="s">
        <v>437</v>
      </c>
      <c r="L145" s="33">
        <v>40452</v>
      </c>
      <c r="M145" s="31">
        <v>9.25</v>
      </c>
      <c r="N145" s="32" t="s">
        <v>400</v>
      </c>
      <c r="O145" s="107" t="s">
        <v>418</v>
      </c>
      <c r="P145" s="37">
        <v>9.25</v>
      </c>
      <c r="Q145" s="72">
        <f t="shared" si="14"/>
        <v>0</v>
      </c>
      <c r="R145" s="31" t="s">
        <v>345</v>
      </c>
      <c r="S145" s="31" t="s">
        <v>445</v>
      </c>
      <c r="T145" s="31"/>
      <c r="U145" s="3"/>
    </row>
    <row r="146" spans="1:21" x14ac:dyDescent="0.2">
      <c r="A146" s="33">
        <v>39356</v>
      </c>
      <c r="B146" s="31" t="s">
        <v>490</v>
      </c>
      <c r="C146" s="36">
        <v>3.47</v>
      </c>
      <c r="D146" s="31">
        <v>3.5</v>
      </c>
      <c r="E146" s="37">
        <f t="shared" si="13"/>
        <v>0.86455331412103176</v>
      </c>
      <c r="F146" s="31">
        <v>3.83</v>
      </c>
      <c r="G146" s="39">
        <f t="shared" si="12"/>
        <v>9.4285714285714306</v>
      </c>
      <c r="H146" s="31">
        <v>4.1500000000000004</v>
      </c>
      <c r="I146" s="34">
        <f t="shared" si="9"/>
        <v>-8.3550913838120167</v>
      </c>
      <c r="J146" s="48">
        <f t="shared" si="11"/>
        <v>19.596541786743519</v>
      </c>
      <c r="K146" s="32" t="s">
        <v>437</v>
      </c>
      <c r="L146" s="33">
        <v>40452</v>
      </c>
      <c r="M146" s="31">
        <v>3.62</v>
      </c>
      <c r="N146" s="32" t="s">
        <v>425</v>
      </c>
      <c r="O146" s="107" t="s">
        <v>418</v>
      </c>
      <c r="P146" s="37">
        <v>3.96</v>
      </c>
      <c r="Q146" s="72">
        <f t="shared" si="14"/>
        <v>8.585858585858583</v>
      </c>
      <c r="R146" s="31" t="s">
        <v>418</v>
      </c>
      <c r="S146" s="31" t="s">
        <v>441</v>
      </c>
      <c r="T146" s="31"/>
      <c r="U146" s="3"/>
    </row>
    <row r="147" spans="1:21" x14ac:dyDescent="0.2">
      <c r="A147" s="33">
        <v>40452</v>
      </c>
      <c r="B147" s="31" t="s">
        <v>523</v>
      </c>
      <c r="C147" s="36">
        <v>2.38</v>
      </c>
      <c r="D147" s="31">
        <v>2.8</v>
      </c>
      <c r="E147" s="37">
        <f t="shared" si="13"/>
        <v>17.647058823529409</v>
      </c>
      <c r="F147" s="31">
        <v>2.8</v>
      </c>
      <c r="G147" s="39">
        <f t="shared" si="12"/>
        <v>0</v>
      </c>
      <c r="H147" s="31">
        <v>3.14</v>
      </c>
      <c r="I147" s="34">
        <f t="shared" si="9"/>
        <v>-12.142857142857153</v>
      </c>
      <c r="J147" s="48">
        <f t="shared" si="11"/>
        <v>31.932773109243705</v>
      </c>
      <c r="K147" s="32" t="s">
        <v>433</v>
      </c>
      <c r="L147" s="33">
        <v>40817</v>
      </c>
      <c r="M147" s="31">
        <v>2.69</v>
      </c>
      <c r="N147" s="32" t="s">
        <v>425</v>
      </c>
      <c r="O147" s="107" t="s">
        <v>418</v>
      </c>
      <c r="P147" s="37">
        <v>2.73</v>
      </c>
      <c r="Q147" s="72">
        <f t="shared" si="14"/>
        <v>1.4652014652014667</v>
      </c>
      <c r="R147" s="31" t="s">
        <v>345</v>
      </c>
      <c r="S147" s="31" t="s">
        <v>445</v>
      </c>
      <c r="T147" s="31"/>
      <c r="U147" s="3"/>
    </row>
    <row r="148" spans="1:21" x14ac:dyDescent="0.2">
      <c r="A148" s="33">
        <v>40452</v>
      </c>
      <c r="B148" s="31" t="s">
        <v>547</v>
      </c>
      <c r="C148" s="36">
        <v>7.63</v>
      </c>
      <c r="D148" s="31">
        <v>7.7</v>
      </c>
      <c r="E148" s="37">
        <f t="shared" si="13"/>
        <v>0.91743119266055417</v>
      </c>
      <c r="F148" s="31">
        <v>9.1199999999999992</v>
      </c>
      <c r="G148" s="39">
        <f t="shared" si="12"/>
        <v>18.441558441558428</v>
      </c>
      <c r="H148" s="31">
        <v>8.65</v>
      </c>
      <c r="I148" s="34">
        <f t="shared" si="9"/>
        <v>5.1535087719298129</v>
      </c>
      <c r="J148" s="48">
        <f t="shared" si="11"/>
        <v>13.368283093053742</v>
      </c>
      <c r="K148" s="32" t="s">
        <v>433</v>
      </c>
      <c r="L148" s="33">
        <v>40817</v>
      </c>
      <c r="M148" s="31">
        <v>8.5500000000000007</v>
      </c>
      <c r="N148" s="32" t="s">
        <v>425</v>
      </c>
      <c r="O148" s="107" t="s">
        <v>418</v>
      </c>
      <c r="P148" s="37">
        <v>8.84</v>
      </c>
      <c r="Q148" s="72">
        <f t="shared" si="14"/>
        <v>3.2805429864253299</v>
      </c>
      <c r="R148" s="31" t="s">
        <v>345</v>
      </c>
      <c r="S148" s="31" t="s">
        <v>445</v>
      </c>
      <c r="T148" s="31"/>
      <c r="U148" s="3"/>
    </row>
    <row r="149" spans="1:21" x14ac:dyDescent="0.2">
      <c r="A149" s="33">
        <v>40452</v>
      </c>
      <c r="B149" s="31" t="s">
        <v>548</v>
      </c>
      <c r="C149" s="36">
        <v>11.85</v>
      </c>
      <c r="D149" s="31">
        <v>12.7</v>
      </c>
      <c r="E149" s="37">
        <f t="shared" si="13"/>
        <v>7.1729957805907141</v>
      </c>
      <c r="F149" s="31">
        <v>13.67</v>
      </c>
      <c r="G149" s="39">
        <f t="shared" si="12"/>
        <v>7.6377952755905572</v>
      </c>
      <c r="H149" s="31">
        <v>13.41</v>
      </c>
      <c r="I149" s="34">
        <f t="shared" si="9"/>
        <v>1.901975128017555</v>
      </c>
      <c r="J149" s="48">
        <f t="shared" si="11"/>
        <v>13.164556962025319</v>
      </c>
      <c r="K149" s="32" t="s">
        <v>437</v>
      </c>
      <c r="L149" s="33">
        <v>40817</v>
      </c>
      <c r="M149" s="31">
        <v>13.44</v>
      </c>
      <c r="N149" s="32" t="s">
        <v>400</v>
      </c>
      <c r="O149" s="107" t="s">
        <v>418</v>
      </c>
      <c r="P149" s="37">
        <v>13.44</v>
      </c>
      <c r="Q149" s="72">
        <f t="shared" si="14"/>
        <v>0</v>
      </c>
      <c r="R149" s="31" t="s">
        <v>345</v>
      </c>
      <c r="S149" s="31" t="s">
        <v>447</v>
      </c>
      <c r="T149" s="31"/>
      <c r="U149" s="3"/>
    </row>
    <row r="150" spans="1:21" x14ac:dyDescent="0.2">
      <c r="A150" s="33">
        <v>40817</v>
      </c>
      <c r="B150" s="31" t="s">
        <v>520</v>
      </c>
      <c r="C150" s="36">
        <v>3.43</v>
      </c>
      <c r="D150" s="31">
        <v>3.62</v>
      </c>
      <c r="E150" s="37">
        <f t="shared" si="13"/>
        <v>5.539358600583089</v>
      </c>
      <c r="F150" s="31">
        <v>7.07</v>
      </c>
      <c r="G150" s="39">
        <f t="shared" si="12"/>
        <v>95.303867403314925</v>
      </c>
      <c r="H150" s="31">
        <v>5.7</v>
      </c>
      <c r="I150" s="34">
        <f t="shared" si="9"/>
        <v>19.377652050919377</v>
      </c>
      <c r="J150" s="48">
        <f t="shared" si="11"/>
        <v>66.180758017492707</v>
      </c>
      <c r="K150" s="32" t="s">
        <v>437</v>
      </c>
      <c r="L150" s="33">
        <v>41183</v>
      </c>
      <c r="M150" s="31">
        <v>4.7</v>
      </c>
      <c r="N150" s="32" t="s">
        <v>425</v>
      </c>
      <c r="O150" s="107" t="s">
        <v>418</v>
      </c>
      <c r="P150" s="37">
        <v>5.23</v>
      </c>
      <c r="Q150" s="72">
        <f t="shared" si="14"/>
        <v>10.133843212237098</v>
      </c>
      <c r="R150" s="31" t="s">
        <v>345</v>
      </c>
      <c r="S150" s="31" t="s">
        <v>447</v>
      </c>
      <c r="T150" s="31"/>
      <c r="U150" s="3"/>
    </row>
    <row r="151" spans="1:21" x14ac:dyDescent="0.2">
      <c r="A151" s="33">
        <v>40817</v>
      </c>
      <c r="B151" s="31" t="s">
        <v>549</v>
      </c>
      <c r="C151" s="36">
        <v>1.79</v>
      </c>
      <c r="D151" s="31">
        <v>1.77</v>
      </c>
      <c r="E151" s="37">
        <f t="shared" si="13"/>
        <v>-1.1173184357541908</v>
      </c>
      <c r="F151" s="31">
        <v>1.77</v>
      </c>
      <c r="G151" s="39">
        <f t="shared" si="12"/>
        <v>0</v>
      </c>
      <c r="H151" s="31">
        <v>2.61</v>
      </c>
      <c r="I151" s="34">
        <f t="shared" si="9"/>
        <v>-47.457627118644055</v>
      </c>
      <c r="J151" s="48">
        <f t="shared" si="11"/>
        <v>45.810055865921775</v>
      </c>
      <c r="K151" s="32" t="s">
        <v>373</v>
      </c>
      <c r="L151" s="33">
        <v>41183</v>
      </c>
      <c r="M151" s="31">
        <v>2.5</v>
      </c>
      <c r="N151" s="32" t="s">
        <v>449</v>
      </c>
      <c r="O151" s="107" t="s">
        <v>418</v>
      </c>
      <c r="P151" s="37">
        <v>2.5</v>
      </c>
      <c r="Q151" s="72">
        <f t="shared" si="14"/>
        <v>0</v>
      </c>
      <c r="R151" s="31" t="s">
        <v>345</v>
      </c>
      <c r="S151" s="31" t="s">
        <v>438</v>
      </c>
      <c r="T151" s="31"/>
      <c r="U151" s="3"/>
    </row>
    <row r="152" spans="1:21" x14ac:dyDescent="0.2">
      <c r="A152" s="33">
        <v>40817</v>
      </c>
      <c r="B152" s="31" t="s">
        <v>503</v>
      </c>
      <c r="C152" s="36">
        <v>1.61</v>
      </c>
      <c r="D152" s="31">
        <v>1.63</v>
      </c>
      <c r="E152" s="37">
        <f t="shared" si="13"/>
        <v>1.2422360248447077</v>
      </c>
      <c r="F152" s="31">
        <v>1.63</v>
      </c>
      <c r="G152" s="39">
        <f t="shared" si="12"/>
        <v>0</v>
      </c>
      <c r="H152" s="31">
        <v>1.94</v>
      </c>
      <c r="I152" s="34">
        <f t="shared" si="9"/>
        <v>-19.018404907975466</v>
      </c>
      <c r="J152" s="48">
        <f t="shared" si="11"/>
        <v>20.496894409937877</v>
      </c>
      <c r="K152" s="32" t="s">
        <v>437</v>
      </c>
      <c r="L152" s="33">
        <v>41183</v>
      </c>
      <c r="M152" s="31">
        <v>1.9</v>
      </c>
      <c r="N152" s="32" t="s">
        <v>400</v>
      </c>
      <c r="O152" s="107" t="s">
        <v>418</v>
      </c>
      <c r="P152" s="37">
        <v>1.95</v>
      </c>
      <c r="Q152" s="72">
        <f t="shared" si="14"/>
        <v>2.5641025641025665</v>
      </c>
      <c r="R152" s="31" t="s">
        <v>345</v>
      </c>
      <c r="S152" s="31" t="s">
        <v>445</v>
      </c>
      <c r="T152" s="31"/>
      <c r="U152" s="3"/>
    </row>
    <row r="153" spans="1:21" x14ac:dyDescent="0.2">
      <c r="A153" s="33">
        <v>40817</v>
      </c>
      <c r="B153" s="31" t="s">
        <v>490</v>
      </c>
      <c r="C153" s="36">
        <v>3.68</v>
      </c>
      <c r="D153" s="31">
        <v>3.85</v>
      </c>
      <c r="E153" s="37">
        <f t="shared" si="13"/>
        <v>4.619565217391302</v>
      </c>
      <c r="F153" s="31">
        <v>4.8</v>
      </c>
      <c r="G153" s="39">
        <f t="shared" si="12"/>
        <v>24.675324675324667</v>
      </c>
      <c r="H153" s="31">
        <v>4.42</v>
      </c>
      <c r="I153" s="34">
        <f t="shared" si="9"/>
        <v>7.9166666666666652</v>
      </c>
      <c r="J153" s="48">
        <f t="shared" si="11"/>
        <v>20.108695652173907</v>
      </c>
      <c r="K153" s="32" t="s">
        <v>437</v>
      </c>
      <c r="L153" s="33">
        <v>41183</v>
      </c>
      <c r="M153" s="31">
        <v>4.51</v>
      </c>
      <c r="N153" s="32" t="s">
        <v>400</v>
      </c>
      <c r="O153" s="107" t="s">
        <v>345</v>
      </c>
      <c r="P153" s="37">
        <v>5.05</v>
      </c>
      <c r="Q153" s="72">
        <f t="shared" si="14"/>
        <v>10.693069306930694</v>
      </c>
      <c r="R153" s="31" t="s">
        <v>418</v>
      </c>
      <c r="S153" s="31" t="s">
        <v>441</v>
      </c>
      <c r="T153" s="31"/>
      <c r="U153" s="3"/>
    </row>
    <row r="154" spans="1:21" x14ac:dyDescent="0.2">
      <c r="A154" s="33">
        <v>40817</v>
      </c>
      <c r="B154" s="31" t="s">
        <v>464</v>
      </c>
      <c r="C154" s="36">
        <v>3.25</v>
      </c>
      <c r="D154" s="31">
        <v>3.29</v>
      </c>
      <c r="E154" s="37">
        <f t="shared" si="13"/>
        <v>1.2307692307692317</v>
      </c>
      <c r="F154" s="31">
        <v>4.7300000000000004</v>
      </c>
      <c r="G154" s="39">
        <f t="shared" si="12"/>
        <v>43.768996960486334</v>
      </c>
      <c r="H154" s="31">
        <v>3.63</v>
      </c>
      <c r="I154" s="34">
        <f t="shared" si="9"/>
        <v>23.255813953488381</v>
      </c>
      <c r="J154" s="48">
        <f t="shared" si="11"/>
        <v>11.69230769230769</v>
      </c>
      <c r="K154" s="32" t="s">
        <v>427</v>
      </c>
      <c r="L154" s="33">
        <v>41183</v>
      </c>
      <c r="M154" s="31">
        <v>3.77</v>
      </c>
      <c r="N154" s="32" t="s">
        <v>425</v>
      </c>
      <c r="O154" s="107" t="s">
        <v>418</v>
      </c>
      <c r="P154" s="37">
        <v>3.77</v>
      </c>
      <c r="Q154" s="72">
        <f t="shared" si="14"/>
        <v>0</v>
      </c>
      <c r="R154" s="31" t="s">
        <v>345</v>
      </c>
      <c r="S154" s="31" t="s">
        <v>441</v>
      </c>
      <c r="T154" s="31"/>
      <c r="U154" s="3"/>
    </row>
    <row r="155" spans="1:21" x14ac:dyDescent="0.2">
      <c r="A155" s="33">
        <v>41183</v>
      </c>
      <c r="B155" s="31" t="s">
        <v>550</v>
      </c>
      <c r="C155" s="36">
        <v>2.5499999999999998</v>
      </c>
      <c r="D155" s="31">
        <v>3.25</v>
      </c>
      <c r="E155" s="37">
        <f t="shared" si="13"/>
        <v>27.450980392156872</v>
      </c>
      <c r="F155" s="31">
        <v>3.95</v>
      </c>
      <c r="G155" s="39">
        <f t="shared" si="12"/>
        <v>21.538461538461544</v>
      </c>
      <c r="H155" s="31">
        <v>3.85</v>
      </c>
      <c r="I155" s="34">
        <f t="shared" si="9"/>
        <v>2.5316455696202551</v>
      </c>
      <c r="J155" s="48">
        <f t="shared" si="11"/>
        <v>50.980392156862763</v>
      </c>
      <c r="K155" s="32" t="s">
        <v>433</v>
      </c>
      <c r="L155" s="33">
        <v>41183</v>
      </c>
      <c r="M155" s="31">
        <v>2.5499999999999998</v>
      </c>
      <c r="N155" s="32" t="s">
        <v>400</v>
      </c>
      <c r="O155" s="107" t="s">
        <v>345</v>
      </c>
      <c r="P155" s="37">
        <v>4.46</v>
      </c>
      <c r="Q155" s="72">
        <f t="shared" si="14"/>
        <v>42.825112107623319</v>
      </c>
      <c r="R155" s="31" t="s">
        <v>418</v>
      </c>
      <c r="S155" s="31" t="s">
        <v>441</v>
      </c>
      <c r="T155" s="31"/>
      <c r="U155" s="3"/>
    </row>
    <row r="156" spans="1:21" x14ac:dyDescent="0.2">
      <c r="A156" s="33">
        <v>41183</v>
      </c>
      <c r="B156" s="31" t="s">
        <v>551</v>
      </c>
      <c r="C156" s="36">
        <v>2.7</v>
      </c>
      <c r="D156" s="31">
        <v>2.85</v>
      </c>
      <c r="E156" s="37">
        <f t="shared" si="13"/>
        <v>5.5555555555555518</v>
      </c>
      <c r="F156" s="31">
        <v>3.87</v>
      </c>
      <c r="G156" s="39">
        <f t="shared" si="12"/>
        <v>35.789473684210527</v>
      </c>
      <c r="H156" s="31">
        <v>3.24</v>
      </c>
      <c r="I156" s="34">
        <f t="shared" si="9"/>
        <v>16.279069767441857</v>
      </c>
      <c r="J156" s="48">
        <f t="shared" si="11"/>
        <v>20</v>
      </c>
      <c r="K156" s="32" t="s">
        <v>433</v>
      </c>
      <c r="L156" s="33">
        <v>41548</v>
      </c>
      <c r="M156" s="31">
        <v>3.12</v>
      </c>
      <c r="N156" s="32" t="s">
        <v>400</v>
      </c>
      <c r="O156" s="107" t="s">
        <v>418</v>
      </c>
      <c r="P156" s="37">
        <v>3.2</v>
      </c>
      <c r="Q156" s="72">
        <f t="shared" si="14"/>
        <v>2.5000000000000022</v>
      </c>
      <c r="R156" s="31" t="s">
        <v>345</v>
      </c>
      <c r="S156" s="31" t="s">
        <v>445</v>
      </c>
      <c r="T156" s="31"/>
      <c r="U156" s="3"/>
    </row>
    <row r="157" spans="1:21" x14ac:dyDescent="0.2">
      <c r="A157" s="33">
        <v>41183</v>
      </c>
      <c r="B157" s="31" t="s">
        <v>552</v>
      </c>
      <c r="C157" s="36">
        <v>1.96</v>
      </c>
      <c r="D157" s="31">
        <v>1.96</v>
      </c>
      <c r="E157" s="37">
        <f t="shared" si="13"/>
        <v>0</v>
      </c>
      <c r="F157" s="31">
        <v>2.33</v>
      </c>
      <c r="G157" s="39">
        <f t="shared" si="12"/>
        <v>18.87755102040817</v>
      </c>
      <c r="H157" s="31">
        <v>2.1800000000000002</v>
      </c>
      <c r="I157" s="34">
        <f t="shared" si="9"/>
        <v>6.4377682403433427</v>
      </c>
      <c r="J157" s="48">
        <f t="shared" si="11"/>
        <v>11.224489795918377</v>
      </c>
      <c r="K157" s="32" t="s">
        <v>427</v>
      </c>
      <c r="L157" s="33">
        <v>41548</v>
      </c>
      <c r="M157" s="31">
        <v>2.1</v>
      </c>
      <c r="N157" s="32" t="s">
        <v>425</v>
      </c>
      <c r="O157" s="107" t="s">
        <v>418</v>
      </c>
      <c r="P157" s="37">
        <v>2.16</v>
      </c>
      <c r="Q157" s="72">
        <f t="shared" si="14"/>
        <v>2.7777777777777799</v>
      </c>
      <c r="R157" s="31" t="s">
        <v>345</v>
      </c>
      <c r="S157" s="31" t="s">
        <v>445</v>
      </c>
      <c r="T157" s="31"/>
      <c r="U157" s="3"/>
    </row>
    <row r="158" spans="1:21" x14ac:dyDescent="0.2">
      <c r="A158" s="33">
        <v>41548</v>
      </c>
      <c r="B158" s="31" t="s">
        <v>488</v>
      </c>
      <c r="C158" s="36">
        <v>0.85</v>
      </c>
      <c r="D158" s="31">
        <v>0.94</v>
      </c>
      <c r="E158" s="37">
        <f t="shared" si="13"/>
        <v>10.588235294117645</v>
      </c>
      <c r="F158" s="31">
        <v>1.3</v>
      </c>
      <c r="G158" s="39">
        <f t="shared" si="12"/>
        <v>38.297872340425542</v>
      </c>
      <c r="H158" s="31">
        <v>0.99</v>
      </c>
      <c r="I158" s="34">
        <f t="shared" si="9"/>
        <v>23.84615384615385</v>
      </c>
      <c r="J158" s="48">
        <f t="shared" si="11"/>
        <v>16.47058823529412</v>
      </c>
      <c r="K158" s="32" t="s">
        <v>437</v>
      </c>
      <c r="L158" s="33">
        <v>41913</v>
      </c>
      <c r="M158" s="31">
        <v>1.1399999999999999</v>
      </c>
      <c r="N158" s="32" t="s">
        <v>400</v>
      </c>
      <c r="O158" s="107" t="s">
        <v>418</v>
      </c>
      <c r="P158" s="37">
        <v>1.1399999999999999</v>
      </c>
      <c r="Q158" s="72">
        <f t="shared" si="14"/>
        <v>0</v>
      </c>
      <c r="R158" s="31" t="s">
        <v>345</v>
      </c>
      <c r="S158" s="31" t="s">
        <v>445</v>
      </c>
      <c r="T158" s="31"/>
      <c r="U158" s="3"/>
    </row>
    <row r="159" spans="1:21" x14ac:dyDescent="0.2">
      <c r="A159" s="33">
        <v>43374</v>
      </c>
      <c r="B159" s="31" t="s">
        <v>553</v>
      </c>
      <c r="C159" s="36">
        <v>1.18</v>
      </c>
      <c r="D159" s="31">
        <v>1.21</v>
      </c>
      <c r="E159" s="37">
        <f t="shared" si="13"/>
        <v>2.5423728813559343</v>
      </c>
      <c r="F159" s="31">
        <v>1.68</v>
      </c>
      <c r="G159" s="39">
        <f t="shared" si="12"/>
        <v>38.84297520661157</v>
      </c>
      <c r="H159" s="31">
        <v>1.51</v>
      </c>
      <c r="I159" s="34">
        <f t="shared" si="9"/>
        <v>10.119047619047615</v>
      </c>
      <c r="J159" s="48">
        <f t="shared" si="11"/>
        <v>27.966101694915263</v>
      </c>
      <c r="K159" s="32" t="s">
        <v>437</v>
      </c>
      <c r="L159" s="33">
        <v>43739</v>
      </c>
      <c r="M159" s="31">
        <v>1.52</v>
      </c>
      <c r="N159" s="32" t="s">
        <v>400</v>
      </c>
      <c r="O159" s="107" t="s">
        <v>418</v>
      </c>
      <c r="P159" s="37">
        <v>1.55</v>
      </c>
      <c r="Q159" s="72">
        <f t="shared" si="14"/>
        <v>1.9354838709677438</v>
      </c>
      <c r="R159" s="31" t="s">
        <v>345</v>
      </c>
      <c r="S159" s="31" t="s">
        <v>445</v>
      </c>
      <c r="T159" s="31"/>
      <c r="U159" s="3"/>
    </row>
    <row r="160" spans="1:21" x14ac:dyDescent="0.2">
      <c r="A160" s="33">
        <v>43374</v>
      </c>
      <c r="B160" s="31" t="s">
        <v>520</v>
      </c>
      <c r="C160" s="36">
        <v>3.73</v>
      </c>
      <c r="D160" s="31">
        <v>3.56</v>
      </c>
      <c r="E160" s="37">
        <f t="shared" si="13"/>
        <v>-4.5576407506702399</v>
      </c>
      <c r="F160" s="31">
        <v>5</v>
      </c>
      <c r="G160" s="39">
        <f t="shared" si="12"/>
        <v>40.449438202247187</v>
      </c>
      <c r="H160" s="31">
        <v>4.26</v>
      </c>
      <c r="I160" s="34">
        <f t="shared" si="9"/>
        <v>14.800000000000004</v>
      </c>
      <c r="J160" s="48">
        <f t="shared" si="11"/>
        <v>14.209115281501337</v>
      </c>
      <c r="K160" s="32" t="s">
        <v>427</v>
      </c>
      <c r="L160" s="33">
        <v>43739</v>
      </c>
      <c r="M160" s="31">
        <v>4.0599999999999996</v>
      </c>
      <c r="N160" s="32" t="s">
        <v>425</v>
      </c>
      <c r="O160" s="107" t="s">
        <v>418</v>
      </c>
      <c r="P160" s="37">
        <v>4.4400000000000004</v>
      </c>
      <c r="Q160" s="72">
        <f t="shared" si="14"/>
        <v>8.5585585585585751</v>
      </c>
      <c r="R160" s="31" t="s">
        <v>418</v>
      </c>
      <c r="S160" s="31" t="s">
        <v>441</v>
      </c>
      <c r="T160" s="31"/>
      <c r="U160" s="3"/>
    </row>
    <row r="161" spans="1:21" x14ac:dyDescent="0.2">
      <c r="A161" s="33">
        <v>43739</v>
      </c>
      <c r="B161" s="31" t="s">
        <v>554</v>
      </c>
      <c r="C161" s="36">
        <v>2.2999999999999998</v>
      </c>
      <c r="D161" s="31">
        <v>2.25</v>
      </c>
      <c r="E161" s="37">
        <f t="shared" si="13"/>
        <v>-2.1739130434782532</v>
      </c>
      <c r="F161" s="31">
        <v>3</v>
      </c>
      <c r="G161" s="39">
        <f t="shared" si="12"/>
        <v>33.333333333333329</v>
      </c>
      <c r="H161" s="31">
        <v>2.77</v>
      </c>
      <c r="I161" s="34">
        <f t="shared" si="9"/>
        <v>7.6666666666666661</v>
      </c>
      <c r="J161" s="48">
        <f t="shared" si="11"/>
        <v>20.434782608695663</v>
      </c>
      <c r="K161" s="32" t="s">
        <v>433</v>
      </c>
      <c r="L161" s="33">
        <v>44105</v>
      </c>
      <c r="M161" s="31">
        <v>2.78</v>
      </c>
      <c r="N161" s="32" t="s">
        <v>400</v>
      </c>
      <c r="O161" s="107" t="s">
        <v>418</v>
      </c>
      <c r="P161" s="37">
        <v>2.8</v>
      </c>
      <c r="Q161" s="72">
        <f t="shared" si="14"/>
        <v>0.71428571428571497</v>
      </c>
      <c r="R161" s="31" t="s">
        <v>345</v>
      </c>
      <c r="S161" s="31" t="s">
        <v>445</v>
      </c>
      <c r="T161" s="31"/>
      <c r="U161" s="3"/>
    </row>
    <row r="162" spans="1:21" x14ac:dyDescent="0.2">
      <c r="A162" s="33">
        <v>43739</v>
      </c>
      <c r="B162" s="31" t="s">
        <v>392</v>
      </c>
      <c r="C162" s="36">
        <v>7.2</v>
      </c>
      <c r="D162" s="31">
        <v>7.23</v>
      </c>
      <c r="E162" s="37">
        <f t="shared" si="13"/>
        <v>0.41666666666667013</v>
      </c>
      <c r="F162" s="31">
        <v>8.2799999999999994</v>
      </c>
      <c r="G162" s="39">
        <f t="shared" si="12"/>
        <v>14.522821576763469</v>
      </c>
      <c r="H162" s="31">
        <v>7.94</v>
      </c>
      <c r="I162" s="34">
        <f t="shared" si="9"/>
        <v>4.106280193236703</v>
      </c>
      <c r="J162" s="48">
        <f t="shared" si="11"/>
        <v>10.27777777777778</v>
      </c>
      <c r="K162" s="32" t="s">
        <v>437</v>
      </c>
      <c r="L162" s="33">
        <v>44105</v>
      </c>
      <c r="M162" s="31">
        <v>7.77</v>
      </c>
      <c r="N162" s="32" t="s">
        <v>425</v>
      </c>
      <c r="O162" s="107" t="s">
        <v>418</v>
      </c>
      <c r="P162" s="37">
        <v>8.1300000000000008</v>
      </c>
      <c r="Q162" s="72">
        <f t="shared" si="14"/>
        <v>4.4280442804428191</v>
      </c>
      <c r="R162" s="31" t="s">
        <v>345</v>
      </c>
      <c r="S162" s="31" t="s">
        <v>447</v>
      </c>
      <c r="T162" s="31"/>
      <c r="U162" s="3"/>
    </row>
    <row r="163" spans="1:21" x14ac:dyDescent="0.2">
      <c r="A163" s="33">
        <v>44105</v>
      </c>
      <c r="B163" s="31" t="s">
        <v>555</v>
      </c>
      <c r="C163" s="36">
        <v>8.1999999999999993</v>
      </c>
      <c r="D163" s="31">
        <v>8.25</v>
      </c>
      <c r="E163" s="37">
        <f t="shared" si="13"/>
        <v>0.60975609756098426</v>
      </c>
      <c r="F163" s="31">
        <v>10.050000000000001</v>
      </c>
      <c r="G163" s="39">
        <f t="shared" si="12"/>
        <v>21.818181818181827</v>
      </c>
      <c r="H163" s="31">
        <v>9.89</v>
      </c>
      <c r="I163" s="34">
        <f t="shared" si="9"/>
        <v>1.5920398009950261</v>
      </c>
      <c r="J163" s="48">
        <f t="shared" si="11"/>
        <v>20.609756097560993</v>
      </c>
      <c r="K163" s="32" t="s">
        <v>427</v>
      </c>
      <c r="L163" s="33">
        <v>44470</v>
      </c>
      <c r="M163" s="31">
        <v>10.5</v>
      </c>
      <c r="N163" s="32" t="s">
        <v>400</v>
      </c>
      <c r="O163" s="107" t="s">
        <v>418</v>
      </c>
      <c r="P163" s="37">
        <v>10.5</v>
      </c>
      <c r="Q163" s="72">
        <f t="shared" si="14"/>
        <v>0</v>
      </c>
      <c r="R163" s="31" t="s">
        <v>418</v>
      </c>
      <c r="S163" s="31" t="s">
        <v>441</v>
      </c>
      <c r="T163" s="31"/>
      <c r="U163" s="3"/>
    </row>
    <row r="164" spans="1:21" x14ac:dyDescent="0.2">
      <c r="A164" s="33">
        <v>44105</v>
      </c>
      <c r="B164" s="31" t="s">
        <v>480</v>
      </c>
      <c r="C164" s="36">
        <v>6.1</v>
      </c>
      <c r="D164" s="31">
        <v>6.18</v>
      </c>
      <c r="E164" s="37">
        <f t="shared" si="13"/>
        <v>1.3114754098360668</v>
      </c>
      <c r="F164" s="31">
        <v>8.6999999999999993</v>
      </c>
      <c r="G164" s="39">
        <f t="shared" si="12"/>
        <v>40.776699029126206</v>
      </c>
      <c r="H164" s="31">
        <v>7.1</v>
      </c>
      <c r="I164" s="34">
        <f t="shared" si="9"/>
        <v>18.390804597701145</v>
      </c>
      <c r="J164" s="48">
        <f t="shared" si="11"/>
        <v>16.393442622950822</v>
      </c>
      <c r="K164" s="32" t="s">
        <v>427</v>
      </c>
      <c r="L164" s="33">
        <v>44470</v>
      </c>
      <c r="M164" s="31">
        <v>7.1</v>
      </c>
      <c r="N164" s="32" t="s">
        <v>400</v>
      </c>
      <c r="O164" s="107" t="s">
        <v>345</v>
      </c>
      <c r="P164" s="37">
        <v>8.35</v>
      </c>
      <c r="Q164" s="72">
        <f t="shared" si="14"/>
        <v>14.970059880239523</v>
      </c>
      <c r="R164" s="31" t="s">
        <v>418</v>
      </c>
      <c r="S164" s="31" t="s">
        <v>441</v>
      </c>
      <c r="T164" s="31"/>
      <c r="U164" s="3"/>
    </row>
    <row r="165" spans="1:21" x14ac:dyDescent="0.2">
      <c r="A165" s="33">
        <v>45566</v>
      </c>
      <c r="B165" s="31" t="s">
        <v>556</v>
      </c>
      <c r="C165" s="36">
        <v>3.07</v>
      </c>
      <c r="D165" s="31">
        <v>3.87</v>
      </c>
      <c r="E165" s="37">
        <f t="shared" si="13"/>
        <v>26.058631921824116</v>
      </c>
      <c r="F165" s="31">
        <v>4.5999999999999996</v>
      </c>
      <c r="G165" s="39">
        <f t="shared" si="12"/>
        <v>18.863049095607224</v>
      </c>
      <c r="H165" s="31">
        <v>3.91</v>
      </c>
      <c r="I165" s="34">
        <f t="shared" si="9"/>
        <v>14.999999999999991</v>
      </c>
      <c r="J165" s="48">
        <f t="shared" si="11"/>
        <v>27.361563517915322</v>
      </c>
      <c r="K165" s="32" t="s">
        <v>427</v>
      </c>
      <c r="L165" s="33">
        <v>45931</v>
      </c>
      <c r="M165" s="31">
        <v>3.78</v>
      </c>
      <c r="N165" s="32" t="s">
        <v>425</v>
      </c>
      <c r="O165" s="107" t="s">
        <v>418</v>
      </c>
      <c r="P165" s="37">
        <v>3.84</v>
      </c>
      <c r="Q165" s="72">
        <f t="shared" si="14"/>
        <v>1.5625000000000013</v>
      </c>
      <c r="R165" s="31" t="s">
        <v>345</v>
      </c>
      <c r="S165" s="31" t="s">
        <v>447</v>
      </c>
      <c r="T165" s="31"/>
      <c r="U165" s="3"/>
    </row>
    <row r="166" spans="1:21" x14ac:dyDescent="0.2">
      <c r="A166" s="33">
        <v>45566</v>
      </c>
      <c r="B166" s="31" t="s">
        <v>557</v>
      </c>
      <c r="C166" s="36">
        <v>9.11</v>
      </c>
      <c r="D166" s="31">
        <v>19.2</v>
      </c>
      <c r="E166" s="37">
        <f t="shared" si="13"/>
        <v>110.75740944017565</v>
      </c>
      <c r="F166" s="31">
        <v>11.25</v>
      </c>
      <c r="G166" s="39">
        <f t="shared" si="12"/>
        <v>-41.40625</v>
      </c>
      <c r="H166" s="31">
        <v>10.95</v>
      </c>
      <c r="I166" s="34">
        <f t="shared" si="9"/>
        <v>2.6666666666666732</v>
      </c>
      <c r="J166" s="48">
        <f t="shared" si="11"/>
        <v>20.197585071350161</v>
      </c>
      <c r="K166" s="32" t="s">
        <v>433</v>
      </c>
      <c r="L166" s="33">
        <v>45931</v>
      </c>
      <c r="M166" s="31">
        <v>10.8</v>
      </c>
      <c r="N166" s="32" t="s">
        <v>425</v>
      </c>
      <c r="O166" s="107" t="s">
        <v>345</v>
      </c>
      <c r="P166" s="37">
        <v>11.6</v>
      </c>
      <c r="Q166" s="72">
        <f t="shared" si="14"/>
        <v>6.8965517241379226</v>
      </c>
      <c r="R166" s="31" t="s">
        <v>418</v>
      </c>
      <c r="S166" s="31" t="s">
        <v>441</v>
      </c>
      <c r="T166" s="31"/>
      <c r="U166" s="3"/>
    </row>
    <row r="167" spans="1:21" x14ac:dyDescent="0.2">
      <c r="A167" s="33" t="s">
        <v>558</v>
      </c>
      <c r="B167" s="31" t="s">
        <v>559</v>
      </c>
      <c r="C167" s="36">
        <v>1.42</v>
      </c>
      <c r="D167" s="31">
        <v>1.65</v>
      </c>
      <c r="E167" s="37">
        <f t="shared" si="13"/>
        <v>16.197183098591552</v>
      </c>
      <c r="F167" s="31">
        <v>1.7</v>
      </c>
      <c r="G167" s="39">
        <f t="shared" si="12"/>
        <v>3.0303030303030329</v>
      </c>
      <c r="H167" s="31">
        <v>2.2000000000000002</v>
      </c>
      <c r="I167" s="34">
        <f t="shared" si="9"/>
        <v>-29.411764705882366</v>
      </c>
      <c r="J167" s="48">
        <f t="shared" si="11"/>
        <v>54.92957746478875</v>
      </c>
      <c r="K167" s="32" t="s">
        <v>437</v>
      </c>
      <c r="L167" s="33">
        <v>46296</v>
      </c>
      <c r="M167" s="31">
        <v>1.6</v>
      </c>
      <c r="N167" s="32" t="s">
        <v>425</v>
      </c>
      <c r="O167" s="107" t="s">
        <v>418</v>
      </c>
      <c r="P167" s="37">
        <v>1.6</v>
      </c>
      <c r="Q167" s="72">
        <f t="shared" si="14"/>
        <v>0</v>
      </c>
      <c r="R167" s="31" t="s">
        <v>345</v>
      </c>
      <c r="S167" s="31" t="s">
        <v>445</v>
      </c>
      <c r="T167" s="31"/>
      <c r="U167" s="3"/>
    </row>
    <row r="168" spans="1:21" x14ac:dyDescent="0.2">
      <c r="A168" s="33" t="s">
        <v>558</v>
      </c>
      <c r="B168" s="31" t="s">
        <v>560</v>
      </c>
      <c r="C168" s="36">
        <v>0.95</v>
      </c>
      <c r="D168" s="31">
        <v>0.94</v>
      </c>
      <c r="E168" s="37">
        <f t="shared" si="13"/>
        <v>-1.0526315789473695</v>
      </c>
      <c r="F168" s="31">
        <v>1.25</v>
      </c>
      <c r="G168" s="39">
        <f t="shared" si="12"/>
        <v>32.978723404255327</v>
      </c>
      <c r="H168" s="31">
        <v>1.1000000000000001</v>
      </c>
      <c r="I168" s="34">
        <f t="shared" si="9"/>
        <v>11.999999999999993</v>
      </c>
      <c r="J168" s="48">
        <f t="shared" si="11"/>
        <v>15.789473684210542</v>
      </c>
      <c r="K168" s="32" t="s">
        <v>437</v>
      </c>
      <c r="L168" s="33">
        <v>46296</v>
      </c>
      <c r="M168" s="31">
        <v>1.1100000000000001</v>
      </c>
      <c r="N168" s="32" t="s">
        <v>425</v>
      </c>
      <c r="O168" s="107" t="s">
        <v>418</v>
      </c>
      <c r="P168" s="37">
        <v>1.1299999999999999</v>
      </c>
      <c r="Q168" s="72">
        <f t="shared" si="14"/>
        <v>1.7699115044247606</v>
      </c>
      <c r="R168" s="31" t="s">
        <v>345</v>
      </c>
      <c r="S168" s="31" t="s">
        <v>445</v>
      </c>
      <c r="T168" s="31"/>
      <c r="U168" s="3"/>
    </row>
    <row r="169" spans="1:21" x14ac:dyDescent="0.2">
      <c r="A169" s="33" t="s">
        <v>558</v>
      </c>
      <c r="B169" s="31" t="s">
        <v>561</v>
      </c>
      <c r="C169" s="36">
        <v>1.26</v>
      </c>
      <c r="D169" s="31">
        <v>1.31</v>
      </c>
      <c r="E169" s="37">
        <f t="shared" si="13"/>
        <v>3.9682539682539715</v>
      </c>
      <c r="F169" s="31">
        <v>1.4</v>
      </c>
      <c r="G169" s="39">
        <f t="shared" si="12"/>
        <v>6.8702290076335775</v>
      </c>
      <c r="H169" s="31">
        <v>1.4</v>
      </c>
      <c r="I169" s="34">
        <f t="shared" si="9"/>
        <v>0</v>
      </c>
      <c r="J169" s="48">
        <f t="shared" si="11"/>
        <v>11.111111111111104</v>
      </c>
      <c r="K169" s="32" t="s">
        <v>437</v>
      </c>
      <c r="L169" s="33">
        <v>46296</v>
      </c>
      <c r="M169" s="31">
        <v>1.43</v>
      </c>
      <c r="N169" s="32" t="s">
        <v>400</v>
      </c>
      <c r="O169" s="107" t="s">
        <v>345</v>
      </c>
      <c r="P169" s="37">
        <v>1.37</v>
      </c>
      <c r="Q169" s="72">
        <f t="shared" si="14"/>
        <v>-4.3795620437956071</v>
      </c>
      <c r="R169" s="31" t="s">
        <v>418</v>
      </c>
      <c r="S169" s="31" t="s">
        <v>441</v>
      </c>
      <c r="T169" s="31"/>
      <c r="U169" s="3"/>
    </row>
    <row r="170" spans="1:21" x14ac:dyDescent="0.2">
      <c r="A170" s="33" t="s">
        <v>558</v>
      </c>
      <c r="B170" s="31" t="s">
        <v>562</v>
      </c>
      <c r="C170" s="36">
        <v>1.86</v>
      </c>
      <c r="D170" s="31">
        <v>1.87</v>
      </c>
      <c r="E170" s="37">
        <f t="shared" si="13"/>
        <v>0.53763440860215106</v>
      </c>
      <c r="F170" s="31">
        <v>2.34</v>
      </c>
      <c r="G170" s="39">
        <f t="shared" si="12"/>
        <v>25.133689839572178</v>
      </c>
      <c r="H170" s="31">
        <v>2.04</v>
      </c>
      <c r="I170" s="34">
        <f t="shared" si="9"/>
        <v>12.820512820512814</v>
      </c>
      <c r="J170" s="48">
        <f t="shared" si="11"/>
        <v>9.6774193548387046</v>
      </c>
      <c r="K170" s="32" t="s">
        <v>427</v>
      </c>
      <c r="L170" s="33">
        <v>46296</v>
      </c>
      <c r="M170" s="31">
        <v>1.98</v>
      </c>
      <c r="N170" s="32" t="s">
        <v>425</v>
      </c>
      <c r="O170" s="107" t="s">
        <v>418</v>
      </c>
      <c r="P170" s="37">
        <v>2</v>
      </c>
      <c r="Q170" s="72">
        <f t="shared" si="14"/>
        <v>1.0000000000000009</v>
      </c>
      <c r="R170" s="31" t="s">
        <v>345</v>
      </c>
      <c r="S170" s="31" t="s">
        <v>445</v>
      </c>
      <c r="T170" s="31"/>
      <c r="U170" s="3"/>
    </row>
    <row r="171" spans="1:21" x14ac:dyDescent="0.2">
      <c r="A171" s="33">
        <v>46296</v>
      </c>
      <c r="B171" s="31" t="s">
        <v>563</v>
      </c>
      <c r="C171" s="36">
        <v>1.36</v>
      </c>
      <c r="D171" s="31">
        <v>1.63</v>
      </c>
      <c r="E171" s="37">
        <f t="shared" si="13"/>
        <v>19.852941176470569</v>
      </c>
      <c r="F171" s="31">
        <v>1.95</v>
      </c>
      <c r="G171" s="39">
        <f t="shared" si="12"/>
        <v>19.631901840490805</v>
      </c>
      <c r="H171" s="31">
        <v>1.73</v>
      </c>
      <c r="I171" s="34">
        <f t="shared" si="9"/>
        <v>11.282051282051281</v>
      </c>
      <c r="J171" s="48">
        <f t="shared" si="11"/>
        <v>27.205882352941167</v>
      </c>
      <c r="K171" s="32" t="s">
        <v>437</v>
      </c>
      <c r="L171" s="33">
        <v>46661</v>
      </c>
      <c r="M171" s="31">
        <v>1.82</v>
      </c>
      <c r="N171" s="32" t="s">
        <v>400</v>
      </c>
      <c r="O171" s="107" t="s">
        <v>418</v>
      </c>
      <c r="P171" s="37">
        <v>1.87</v>
      </c>
      <c r="Q171" s="72">
        <f t="shared" si="14"/>
        <v>2.6737967914438525</v>
      </c>
      <c r="R171" s="31" t="s">
        <v>345</v>
      </c>
      <c r="S171" s="31" t="s">
        <v>445</v>
      </c>
      <c r="T171" s="31"/>
      <c r="U171" s="3"/>
    </row>
    <row r="172" spans="1:21" x14ac:dyDescent="0.2">
      <c r="A172" s="33">
        <v>46296</v>
      </c>
      <c r="B172" s="31" t="s">
        <v>564</v>
      </c>
      <c r="C172" s="36">
        <v>1.33</v>
      </c>
      <c r="D172" s="31">
        <v>1.34</v>
      </c>
      <c r="E172" s="37">
        <f t="shared" si="13"/>
        <v>0.75187969924812093</v>
      </c>
      <c r="F172" s="31">
        <v>1.6</v>
      </c>
      <c r="G172" s="39">
        <f t="shared" si="12"/>
        <v>19.402985074626866</v>
      </c>
      <c r="H172" s="31">
        <v>1.48</v>
      </c>
      <c r="I172" s="34">
        <f t="shared" si="9"/>
        <v>7.5000000000000071</v>
      </c>
      <c r="J172" s="48">
        <f t="shared" si="11"/>
        <v>11.278195488721797</v>
      </c>
      <c r="K172" s="32" t="s">
        <v>433</v>
      </c>
      <c r="L172" s="33">
        <v>46661</v>
      </c>
      <c r="M172" s="31">
        <v>1.48</v>
      </c>
      <c r="N172" s="32" t="s">
        <v>425</v>
      </c>
      <c r="O172" s="107" t="s">
        <v>345</v>
      </c>
      <c r="P172" s="37">
        <v>1.58</v>
      </c>
      <c r="Q172" s="72">
        <f t="shared" si="14"/>
        <v>6.3291139240506391</v>
      </c>
      <c r="R172" s="31" t="s">
        <v>418</v>
      </c>
      <c r="S172" s="31" t="s">
        <v>441</v>
      </c>
      <c r="T172" s="31"/>
      <c r="U172" s="3"/>
    </row>
    <row r="173" spans="1:21" x14ac:dyDescent="0.2">
      <c r="A173" s="33">
        <v>46296</v>
      </c>
      <c r="B173" s="31" t="s">
        <v>565</v>
      </c>
      <c r="C173" s="36">
        <v>17.899999999999999</v>
      </c>
      <c r="D173" s="31">
        <v>19</v>
      </c>
      <c r="E173" s="37">
        <f t="shared" si="13"/>
        <v>6.1452513966480531</v>
      </c>
      <c r="F173" s="31">
        <v>19</v>
      </c>
      <c r="G173" s="39">
        <f t="shared" si="12"/>
        <v>0</v>
      </c>
      <c r="H173" s="31">
        <v>19.850000000000001</v>
      </c>
      <c r="I173" s="34">
        <f t="shared" si="9"/>
        <v>-4.473684210526323</v>
      </c>
      <c r="J173" s="48">
        <f t="shared" si="11"/>
        <v>10.893854748603369</v>
      </c>
      <c r="K173" s="32" t="s">
        <v>433</v>
      </c>
      <c r="L173" s="33">
        <v>47392</v>
      </c>
      <c r="M173" s="31">
        <v>19.95</v>
      </c>
      <c r="N173" s="32" t="s">
        <v>425</v>
      </c>
      <c r="O173" s="107" t="s">
        <v>418</v>
      </c>
      <c r="P173" s="37">
        <v>19.95</v>
      </c>
      <c r="Q173" s="72">
        <f t="shared" si="14"/>
        <v>0</v>
      </c>
      <c r="R173" s="31" t="s">
        <v>418</v>
      </c>
      <c r="S173" s="31" t="s">
        <v>441</v>
      </c>
      <c r="T173" s="31"/>
      <c r="U173" s="3"/>
    </row>
    <row r="174" spans="1:21" x14ac:dyDescent="0.2">
      <c r="A174" s="33"/>
      <c r="B174" s="31"/>
      <c r="C174" s="36"/>
      <c r="D174" s="31"/>
      <c r="E174" s="37"/>
      <c r="F174" s="31"/>
      <c r="G174" s="39"/>
      <c r="H174" s="31"/>
      <c r="I174" s="34"/>
      <c r="J174" s="48"/>
      <c r="K174" s="32"/>
      <c r="L174" s="32"/>
      <c r="M174" s="31"/>
      <c r="N174" s="32"/>
      <c r="O174" s="107"/>
      <c r="P174" s="37"/>
      <c r="Q174" s="72"/>
      <c r="R174" s="31"/>
      <c r="S174" s="31"/>
      <c r="T174" s="31"/>
      <c r="U174" s="3"/>
    </row>
    <row r="175" spans="1:21" x14ac:dyDescent="0.2">
      <c r="A175" s="33"/>
      <c r="B175" s="31"/>
      <c r="C175" s="36"/>
      <c r="D175" s="31"/>
      <c r="E175" s="37"/>
      <c r="F175" s="31"/>
      <c r="G175" s="39"/>
      <c r="H175" s="31"/>
      <c r="I175" s="34"/>
      <c r="J175" s="48"/>
      <c r="K175" s="32"/>
      <c r="L175" s="32"/>
      <c r="M175" s="31"/>
      <c r="N175" s="32"/>
      <c r="O175" s="107"/>
      <c r="P175" s="37"/>
      <c r="Q175" s="72"/>
      <c r="R175" s="31"/>
      <c r="S175" s="31"/>
      <c r="T175" s="31"/>
      <c r="U175" s="3"/>
    </row>
    <row r="176" spans="1:21" x14ac:dyDescent="0.2">
      <c r="A176" s="33"/>
      <c r="B176" s="31"/>
      <c r="C176" s="36"/>
      <c r="D176" s="31"/>
      <c r="E176" s="37"/>
      <c r="F176" s="31"/>
      <c r="G176" s="39"/>
      <c r="H176" s="31"/>
      <c r="I176" s="34"/>
      <c r="J176" s="48"/>
      <c r="K176" s="32"/>
      <c r="L176" s="32"/>
      <c r="M176" s="31"/>
      <c r="N176" s="32"/>
      <c r="O176" s="107"/>
      <c r="P176" s="37"/>
      <c r="Q176" s="72"/>
      <c r="R176" s="31"/>
      <c r="S176" s="31"/>
      <c r="T176" s="31"/>
      <c r="U176" s="3"/>
    </row>
    <row r="177" spans="1:21" x14ac:dyDescent="0.2">
      <c r="A177" s="33"/>
      <c r="B177" s="31"/>
      <c r="C177" s="36"/>
      <c r="D177" s="31"/>
      <c r="E177" s="37"/>
      <c r="F177" s="31"/>
      <c r="G177" s="39"/>
      <c r="H177" s="31"/>
      <c r="I177" s="34"/>
      <c r="J177" s="48"/>
      <c r="K177" s="32"/>
      <c r="L177" s="32"/>
      <c r="M177" s="31"/>
      <c r="N177" s="32"/>
      <c r="O177" s="107"/>
      <c r="P177" s="37"/>
      <c r="Q177" s="72"/>
      <c r="R177" s="31"/>
      <c r="S177" s="31"/>
      <c r="T177" s="31"/>
      <c r="U177" s="3"/>
    </row>
    <row r="178" spans="1:21" x14ac:dyDescent="0.2">
      <c r="A178" s="33"/>
      <c r="B178" s="31"/>
      <c r="C178" s="36"/>
      <c r="D178" s="31"/>
      <c r="E178" s="37"/>
      <c r="F178" s="31"/>
      <c r="G178" s="39"/>
      <c r="H178" s="31"/>
      <c r="I178" s="34"/>
      <c r="J178" s="48"/>
      <c r="K178" s="32"/>
      <c r="L178" s="32"/>
      <c r="M178" s="31"/>
      <c r="N178" s="32"/>
      <c r="O178" s="107"/>
      <c r="P178" s="37"/>
      <c r="Q178" s="72"/>
      <c r="R178" s="31"/>
      <c r="S178" s="31"/>
      <c r="T178" s="31"/>
      <c r="U178" s="3"/>
    </row>
    <row r="179" spans="1:21" x14ac:dyDescent="0.2">
      <c r="A179" s="33"/>
      <c r="B179" s="31"/>
      <c r="C179" s="36"/>
      <c r="D179" s="31"/>
      <c r="E179" s="37"/>
      <c r="F179" s="31"/>
      <c r="G179" s="39"/>
      <c r="H179" s="31"/>
      <c r="I179" s="34"/>
      <c r="J179" s="48"/>
      <c r="K179" s="32"/>
      <c r="L179" s="32"/>
      <c r="M179" s="31"/>
      <c r="N179" s="32"/>
      <c r="O179" s="107"/>
      <c r="P179" s="37"/>
      <c r="Q179" s="72"/>
      <c r="R179" s="31"/>
      <c r="S179" s="31"/>
      <c r="T179" s="31"/>
      <c r="U179" s="3"/>
    </row>
    <row r="180" spans="1:21" x14ac:dyDescent="0.2">
      <c r="A180" s="33"/>
      <c r="B180" s="31"/>
      <c r="C180" s="36"/>
      <c r="D180" s="31"/>
      <c r="E180" s="37"/>
      <c r="F180" s="31"/>
      <c r="G180" s="39"/>
      <c r="H180" s="31"/>
      <c r="I180" s="34"/>
      <c r="J180" s="48"/>
      <c r="K180" s="32"/>
      <c r="L180" s="32"/>
      <c r="M180" s="31"/>
      <c r="N180" s="32"/>
      <c r="O180" s="32"/>
      <c r="P180" s="37"/>
      <c r="Q180" s="72"/>
      <c r="R180" s="31"/>
      <c r="S180" s="31"/>
      <c r="T180" s="31"/>
      <c r="U180" s="3"/>
    </row>
    <row r="181" spans="1:21" x14ac:dyDescent="0.2">
      <c r="A181" s="33"/>
      <c r="B181" s="31"/>
      <c r="C181" s="36"/>
      <c r="D181" s="31"/>
      <c r="E181" s="37"/>
      <c r="F181" s="31"/>
      <c r="G181" s="39"/>
      <c r="H181" s="31"/>
      <c r="I181" s="34"/>
      <c r="J181" s="48"/>
      <c r="K181" s="32"/>
      <c r="L181" s="32"/>
      <c r="M181" s="31"/>
      <c r="N181" s="32"/>
      <c r="O181" s="32"/>
      <c r="P181" s="37"/>
      <c r="Q181" s="72"/>
      <c r="R181" s="31"/>
      <c r="S181" s="31"/>
      <c r="T181" s="31"/>
      <c r="U181" s="3"/>
    </row>
    <row r="182" spans="1:21" x14ac:dyDescent="0.2">
      <c r="A182" s="33"/>
      <c r="B182" s="31"/>
      <c r="C182" s="36"/>
      <c r="D182" s="31"/>
      <c r="E182" s="37"/>
      <c r="F182" s="31"/>
      <c r="G182" s="39"/>
      <c r="H182" s="31"/>
      <c r="I182" s="34"/>
      <c r="J182" s="48"/>
      <c r="K182" s="32"/>
      <c r="L182" s="32"/>
      <c r="M182" s="31"/>
      <c r="N182" s="32"/>
      <c r="O182" s="32"/>
      <c r="P182" s="37"/>
      <c r="Q182" s="72"/>
      <c r="R182" s="31"/>
      <c r="S182" s="31"/>
      <c r="T182" s="31"/>
      <c r="U182" s="3"/>
    </row>
    <row r="183" spans="1:21" x14ac:dyDescent="0.2">
      <c r="A183" s="33"/>
      <c r="B183" s="31"/>
      <c r="C183" s="36"/>
      <c r="D183" s="31"/>
      <c r="E183" s="37"/>
      <c r="F183" s="31"/>
      <c r="G183" s="39"/>
      <c r="H183" s="31"/>
      <c r="I183" s="34"/>
      <c r="J183" s="48"/>
      <c r="K183" s="32"/>
      <c r="L183" s="32"/>
      <c r="M183" s="31"/>
      <c r="N183" s="32"/>
      <c r="O183" s="32"/>
      <c r="P183" s="37"/>
      <c r="Q183" s="72"/>
      <c r="R183" s="31"/>
      <c r="S183" s="31"/>
      <c r="T183" s="31"/>
      <c r="U183" s="3"/>
    </row>
    <row r="184" spans="1:21" x14ac:dyDescent="0.2">
      <c r="A184" s="33"/>
      <c r="B184" s="31"/>
      <c r="C184" s="36"/>
      <c r="D184" s="31"/>
      <c r="E184" s="37"/>
      <c r="F184" s="31"/>
      <c r="G184" s="39"/>
      <c r="H184" s="31"/>
      <c r="I184" s="34"/>
      <c r="J184" s="48"/>
      <c r="K184" s="32"/>
      <c r="L184" s="32"/>
      <c r="M184" s="31"/>
      <c r="N184" s="32"/>
      <c r="O184" s="32"/>
      <c r="P184" s="37"/>
      <c r="Q184" s="72"/>
      <c r="R184" s="31"/>
      <c r="S184" s="31"/>
      <c r="T184" s="31"/>
      <c r="U184" s="3"/>
    </row>
    <row r="185" spans="1:21" x14ac:dyDescent="0.2">
      <c r="A185" s="106"/>
      <c r="B185" s="81"/>
      <c r="C185" s="84"/>
      <c r="D185" s="81"/>
      <c r="E185" s="80"/>
      <c r="F185" s="81"/>
      <c r="G185" s="85"/>
      <c r="H185" s="81"/>
      <c r="I185" s="104"/>
      <c r="J185" s="99"/>
      <c r="K185" s="86"/>
      <c r="L185" s="86"/>
      <c r="M185" s="81"/>
      <c r="N185" s="86"/>
      <c r="O185" s="86"/>
      <c r="P185" s="37"/>
      <c r="Q185" s="72"/>
      <c r="R185" s="31"/>
      <c r="S185" s="31"/>
      <c r="T185" s="31"/>
      <c r="U185" s="3"/>
    </row>
    <row r="186" spans="1:21" x14ac:dyDescent="0.2">
      <c r="A186" s="106"/>
      <c r="B186" s="81"/>
      <c r="C186" s="84"/>
      <c r="D186" s="81"/>
      <c r="E186" s="80"/>
      <c r="F186" s="81"/>
      <c r="G186" s="85"/>
      <c r="H186" s="81"/>
      <c r="I186" s="104"/>
      <c r="J186" s="99"/>
      <c r="K186" s="86"/>
      <c r="L186" s="86"/>
      <c r="M186" s="81"/>
      <c r="N186" s="86"/>
      <c r="O186" s="86"/>
      <c r="P186" s="37"/>
      <c r="Q186" s="72"/>
      <c r="R186" s="31"/>
      <c r="S186" s="31"/>
      <c r="T186" s="31"/>
      <c r="U186" s="3"/>
    </row>
    <row r="187" spans="1:21" x14ac:dyDescent="0.2">
      <c r="A187" s="106"/>
      <c r="B187" s="81"/>
      <c r="C187" s="84"/>
      <c r="D187" s="81"/>
      <c r="E187" s="80"/>
      <c r="F187" s="81"/>
      <c r="G187" s="85"/>
      <c r="H187" s="81"/>
      <c r="I187" s="104"/>
      <c r="J187" s="99"/>
      <c r="K187" s="86"/>
      <c r="L187" s="86"/>
      <c r="M187" s="81"/>
      <c r="N187" s="86"/>
      <c r="O187" s="86"/>
      <c r="P187" s="37"/>
      <c r="Q187" s="72"/>
      <c r="R187" s="31"/>
      <c r="S187" s="31"/>
      <c r="T187" s="31"/>
      <c r="U187" s="3"/>
    </row>
    <row r="188" spans="1:21" x14ac:dyDescent="0.2">
      <c r="A188" s="106"/>
      <c r="B188" s="81"/>
      <c r="C188" s="84"/>
      <c r="D188" s="81"/>
      <c r="E188" s="80"/>
      <c r="F188" s="81"/>
      <c r="G188" s="85"/>
      <c r="H188" s="81"/>
      <c r="I188" s="104"/>
      <c r="J188" s="99"/>
      <c r="K188" s="86"/>
      <c r="L188" s="86"/>
      <c r="M188" s="81"/>
      <c r="N188" s="86"/>
      <c r="O188" s="86"/>
      <c r="P188" s="37"/>
      <c r="Q188" s="72"/>
      <c r="R188" s="31"/>
      <c r="S188" s="31"/>
      <c r="T188" s="31"/>
      <c r="U188" s="3"/>
    </row>
    <row r="189" spans="1:21" x14ac:dyDescent="0.2">
      <c r="A189" s="106"/>
      <c r="F189" t="s">
        <v>566</v>
      </c>
      <c r="P189" s="21"/>
      <c r="Q189" s="108"/>
      <c r="R189" s="31"/>
      <c r="S189" s="31"/>
      <c r="T189" s="31"/>
      <c r="U189" s="3"/>
    </row>
    <row r="190" spans="1:21" s="6" customFormat="1" ht="19" x14ac:dyDescent="0.25">
      <c r="C190" s="67"/>
      <c r="E190" s="68"/>
      <c r="G190" s="95"/>
      <c r="I190" s="105"/>
      <c r="J190" s="100"/>
      <c r="K190" s="69"/>
      <c r="L190" s="69"/>
      <c r="N190" s="95"/>
      <c r="O190" s="95"/>
      <c r="P190" s="109"/>
      <c r="Q190" s="110"/>
      <c r="R190" s="111"/>
      <c r="S190" s="111"/>
      <c r="T190" s="111"/>
      <c r="U190" s="7"/>
    </row>
    <row r="191" spans="1:21" x14ac:dyDescent="0.2">
      <c r="A191" t="s">
        <v>567</v>
      </c>
      <c r="F191">
        <v>1</v>
      </c>
      <c r="L191" s="65" t="s">
        <v>469</v>
      </c>
      <c r="Q191" s="74"/>
      <c r="R191" s="75"/>
      <c r="S191" s="75"/>
      <c r="T191" s="75"/>
    </row>
    <row r="192" spans="1:21" x14ac:dyDescent="0.2">
      <c r="A192" t="s">
        <v>568</v>
      </c>
      <c r="F192">
        <v>2</v>
      </c>
      <c r="Q192" s="74"/>
      <c r="R192" s="75"/>
      <c r="S192" s="75"/>
      <c r="T192" s="75"/>
    </row>
    <row r="193" spans="1:20" x14ac:dyDescent="0.2">
      <c r="A193" t="s">
        <v>569</v>
      </c>
      <c r="Q193" s="74"/>
      <c r="R193" s="75"/>
      <c r="S193" s="75"/>
      <c r="T193" s="75"/>
    </row>
    <row r="194" spans="1:20" x14ac:dyDescent="0.2">
      <c r="Q194" s="74"/>
      <c r="R194" s="75"/>
      <c r="S194" s="75"/>
      <c r="T194" s="75"/>
    </row>
    <row r="195" spans="1:20" x14ac:dyDescent="0.2">
      <c r="R195" s="75"/>
      <c r="S195" s="75"/>
      <c r="T195" s="75"/>
    </row>
    <row r="245" spans="1:1" x14ac:dyDescent="0.2">
      <c r="A245" t="s">
        <v>570</v>
      </c>
    </row>
    <row r="246" spans="1:1" x14ac:dyDescent="0.2">
      <c r="A246" t="s">
        <v>571</v>
      </c>
    </row>
  </sheetData>
  <phoneticPr fontId="19" type="noConversion"/>
  <pageMargins left="0.7" right="0.7" top="0.75" bottom="0.75" header="0.3" footer="0.3"/>
  <pageSetup paperSize="9" orientation="portrait" horizontalDpi="0" verticalDpi="0"/>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218"/>
  <sheetViews>
    <sheetView topLeftCell="A49" workbookViewId="0">
      <selection activeCell="J104" sqref="J104"/>
    </sheetView>
  </sheetViews>
  <sheetFormatPr baseColWidth="10" defaultColWidth="11" defaultRowHeight="16" x14ac:dyDescent="0.2"/>
  <cols>
    <col min="5" max="5" width="16.1640625" style="14" customWidth="1"/>
    <col min="7" max="7" width="14.5" style="14" customWidth="1"/>
    <col min="8" max="8" width="14.33203125" customWidth="1"/>
    <col min="9" max="9" width="13.6640625" style="14" customWidth="1"/>
    <col min="12" max="12" width="15" style="75" customWidth="1"/>
    <col min="13" max="14" width="19.83203125" customWidth="1"/>
    <col min="15" max="16" width="20.5" customWidth="1"/>
    <col min="17" max="17" width="9.1640625" customWidth="1"/>
  </cols>
  <sheetData>
    <row r="1" spans="1:17" ht="39" x14ac:dyDescent="0.2">
      <c r="A1" s="13" t="s">
        <v>572</v>
      </c>
      <c r="C1" s="35"/>
      <c r="J1" s="30"/>
      <c r="K1" s="30"/>
      <c r="N1" s="30"/>
    </row>
    <row r="2" spans="1:17" x14ac:dyDescent="0.2">
      <c r="C2" s="35"/>
      <c r="J2" s="30"/>
      <c r="K2" s="30"/>
      <c r="N2" s="30"/>
    </row>
    <row r="3" spans="1:17" x14ac:dyDescent="0.2">
      <c r="A3" s="31" t="s">
        <v>107</v>
      </c>
      <c r="B3" s="31" t="s">
        <v>108</v>
      </c>
      <c r="C3" s="36" t="s">
        <v>359</v>
      </c>
      <c r="D3" s="31" t="s">
        <v>153</v>
      </c>
      <c r="E3" s="37" t="s">
        <v>360</v>
      </c>
      <c r="F3" s="31" t="s">
        <v>158</v>
      </c>
      <c r="G3" s="37" t="s">
        <v>361</v>
      </c>
      <c r="H3" s="31" t="s">
        <v>161</v>
      </c>
      <c r="I3" s="37" t="s">
        <v>362</v>
      </c>
      <c r="J3" s="32" t="s">
        <v>107</v>
      </c>
      <c r="K3" s="32" t="s">
        <v>364</v>
      </c>
      <c r="L3" s="31" t="s">
        <v>365</v>
      </c>
      <c r="M3" s="32" t="s">
        <v>366</v>
      </c>
      <c r="N3" s="31" t="s">
        <v>367</v>
      </c>
      <c r="O3" s="32" t="s">
        <v>368</v>
      </c>
      <c r="P3" s="32" t="s">
        <v>573</v>
      </c>
      <c r="Q3" s="32" t="s">
        <v>574</v>
      </c>
    </row>
    <row r="4" spans="1:17" x14ac:dyDescent="0.2">
      <c r="A4" s="33" t="s">
        <v>575</v>
      </c>
      <c r="B4" s="31" t="s">
        <v>517</v>
      </c>
      <c r="C4" s="36">
        <v>6.09</v>
      </c>
      <c r="D4" s="31">
        <v>6.17</v>
      </c>
      <c r="E4" s="38">
        <f t="shared" ref="E4:E100" si="0">(D4-C4)/C4*100</f>
        <v>1.3136288998357974</v>
      </c>
      <c r="F4" s="31">
        <v>7.99</v>
      </c>
      <c r="G4" s="38">
        <f t="shared" ref="G4:G74" si="1">(F4-D4)/D4*100</f>
        <v>29.497568881685581</v>
      </c>
      <c r="H4" s="31">
        <v>7.77</v>
      </c>
      <c r="I4" s="50">
        <f t="shared" ref="I4:I75" si="2">(F4-H4)/F4*100</f>
        <v>2.7534418022528242</v>
      </c>
      <c r="J4" s="51" t="s">
        <v>393</v>
      </c>
      <c r="K4" s="31" t="s">
        <v>390</v>
      </c>
      <c r="L4" s="31">
        <v>7.75</v>
      </c>
      <c r="M4" s="32" t="s">
        <v>375</v>
      </c>
      <c r="N4" s="31" t="s">
        <v>331</v>
      </c>
      <c r="O4" s="31" t="s">
        <v>576</v>
      </c>
      <c r="P4" s="31" t="s">
        <v>404</v>
      </c>
      <c r="Q4" s="31" t="s">
        <v>577</v>
      </c>
    </row>
    <row r="5" spans="1:17" x14ac:dyDescent="0.2">
      <c r="A5" s="33">
        <v>40391</v>
      </c>
      <c r="B5" s="31" t="s">
        <v>578</v>
      </c>
      <c r="C5" s="36">
        <v>1.8</v>
      </c>
      <c r="D5" s="31">
        <v>2.04</v>
      </c>
      <c r="E5" s="38">
        <f t="shared" si="0"/>
        <v>13.333333333333334</v>
      </c>
      <c r="F5" s="31">
        <v>2.6</v>
      </c>
      <c r="G5" s="38">
        <f t="shared" si="1"/>
        <v>27.450980392156865</v>
      </c>
      <c r="H5" s="31">
        <v>2.4</v>
      </c>
      <c r="I5" s="50">
        <f t="shared" si="2"/>
        <v>7.6923076923076987</v>
      </c>
      <c r="J5" s="32" t="s">
        <v>402</v>
      </c>
      <c r="K5" s="31" t="s">
        <v>378</v>
      </c>
      <c r="L5" s="31">
        <v>2.76</v>
      </c>
      <c r="M5" s="32" t="s">
        <v>394</v>
      </c>
      <c r="N5" s="31" t="s">
        <v>331</v>
      </c>
      <c r="O5" s="31" t="s">
        <v>378</v>
      </c>
      <c r="P5" s="31" t="s">
        <v>579</v>
      </c>
      <c r="Q5" s="31"/>
    </row>
    <row r="6" spans="1:17" x14ac:dyDescent="0.2">
      <c r="A6" s="33">
        <v>40391</v>
      </c>
      <c r="B6" s="31" t="s">
        <v>580</v>
      </c>
      <c r="C6" s="36">
        <v>4</v>
      </c>
      <c r="D6" s="31">
        <v>4</v>
      </c>
      <c r="E6" s="38">
        <f t="shared" si="0"/>
        <v>0</v>
      </c>
      <c r="F6" s="31">
        <v>5.55</v>
      </c>
      <c r="G6" s="38">
        <f t="shared" si="1"/>
        <v>38.749999999999993</v>
      </c>
      <c r="H6" s="31">
        <v>5.35</v>
      </c>
      <c r="I6" s="50">
        <f t="shared" si="2"/>
        <v>3.6036036036036072</v>
      </c>
      <c r="J6" s="32" t="s">
        <v>402</v>
      </c>
      <c r="K6" s="31" t="s">
        <v>378</v>
      </c>
      <c r="L6" s="31">
        <v>5.3</v>
      </c>
      <c r="M6" s="32" t="s">
        <v>375</v>
      </c>
      <c r="N6" s="31" t="s">
        <v>333</v>
      </c>
      <c r="O6" s="31" t="s">
        <v>576</v>
      </c>
      <c r="P6" s="31" t="s">
        <v>581</v>
      </c>
      <c r="Q6" s="31"/>
    </row>
    <row r="7" spans="1:17" x14ac:dyDescent="0.2">
      <c r="A7" s="33">
        <v>40391</v>
      </c>
      <c r="B7" s="31" t="s">
        <v>582</v>
      </c>
      <c r="C7" s="36">
        <v>2.71</v>
      </c>
      <c r="D7" s="31">
        <v>2.65</v>
      </c>
      <c r="E7" s="50">
        <f t="shared" si="0"/>
        <v>-2.2140221402214042</v>
      </c>
      <c r="F7" s="31">
        <v>3.64</v>
      </c>
      <c r="G7" s="38">
        <f t="shared" si="1"/>
        <v>37.358490566037744</v>
      </c>
      <c r="H7" s="31">
        <v>3.42</v>
      </c>
      <c r="I7" s="50">
        <f t="shared" si="2"/>
        <v>6.0439560439560491</v>
      </c>
      <c r="J7" s="32" t="s">
        <v>402</v>
      </c>
      <c r="K7" s="31" t="s">
        <v>378</v>
      </c>
      <c r="L7" s="31">
        <v>3.42</v>
      </c>
      <c r="M7" s="32" t="s">
        <v>409</v>
      </c>
      <c r="N7" s="31" t="s">
        <v>331</v>
      </c>
      <c r="O7" s="31" t="s">
        <v>576</v>
      </c>
      <c r="P7" s="31" t="s">
        <v>404</v>
      </c>
      <c r="Q7" s="31"/>
    </row>
    <row r="8" spans="1:17" x14ac:dyDescent="0.2">
      <c r="A8" s="33">
        <v>40391</v>
      </c>
      <c r="B8" s="31" t="s">
        <v>583</v>
      </c>
      <c r="C8" s="36">
        <v>9.76</v>
      </c>
      <c r="D8" s="31">
        <v>9.64</v>
      </c>
      <c r="E8" s="50">
        <f t="shared" si="0"/>
        <v>-1.2295081967213035</v>
      </c>
      <c r="F8" s="31">
        <v>12.6</v>
      </c>
      <c r="G8" s="38">
        <f t="shared" si="1"/>
        <v>30.70539419087136</v>
      </c>
      <c r="H8" s="31">
        <v>11.21</v>
      </c>
      <c r="I8" s="50">
        <f t="shared" si="2"/>
        <v>11.031746031746023</v>
      </c>
      <c r="J8" s="32" t="s">
        <v>402</v>
      </c>
      <c r="K8" s="31" t="s">
        <v>378</v>
      </c>
      <c r="L8" s="31">
        <v>11.12</v>
      </c>
      <c r="M8" s="32" t="s">
        <v>394</v>
      </c>
      <c r="N8" s="31" t="s">
        <v>379</v>
      </c>
      <c r="O8" s="31" t="s">
        <v>331</v>
      </c>
      <c r="P8" s="31" t="s">
        <v>584</v>
      </c>
      <c r="Q8" s="31"/>
    </row>
    <row r="9" spans="1:17" x14ac:dyDescent="0.2">
      <c r="A9" s="33">
        <v>40391</v>
      </c>
      <c r="B9" s="31" t="s">
        <v>585</v>
      </c>
      <c r="C9" s="36">
        <v>2.5299999999999998</v>
      </c>
      <c r="D9" s="31">
        <v>2.48</v>
      </c>
      <c r="E9" s="50">
        <f t="shared" si="0"/>
        <v>-1.9762845849802302</v>
      </c>
      <c r="F9" s="31">
        <v>3.03</v>
      </c>
      <c r="G9" s="38">
        <f t="shared" si="1"/>
        <v>22.177419354838705</v>
      </c>
      <c r="H9" s="31">
        <v>2.84</v>
      </c>
      <c r="I9" s="50">
        <f t="shared" si="2"/>
        <v>6.2706270627062688</v>
      </c>
      <c r="J9" s="32" t="s">
        <v>402</v>
      </c>
      <c r="K9" s="31" t="s">
        <v>390</v>
      </c>
      <c r="L9" s="31">
        <v>2.84</v>
      </c>
      <c r="M9" s="32" t="s">
        <v>409</v>
      </c>
      <c r="N9" s="31" t="s">
        <v>331</v>
      </c>
      <c r="O9" s="31" t="s">
        <v>333</v>
      </c>
      <c r="P9" s="31" t="s">
        <v>586</v>
      </c>
      <c r="Q9" s="31"/>
    </row>
    <row r="10" spans="1:17" x14ac:dyDescent="0.2">
      <c r="A10" s="33">
        <v>42583</v>
      </c>
      <c r="B10" s="31" t="s">
        <v>444</v>
      </c>
      <c r="C10" s="36">
        <v>0.37</v>
      </c>
      <c r="D10" s="31">
        <v>0.45</v>
      </c>
      <c r="E10" s="38">
        <f t="shared" si="0"/>
        <v>21.621621621621625</v>
      </c>
      <c r="F10" s="31">
        <v>2.99</v>
      </c>
      <c r="G10" s="37">
        <f t="shared" si="1"/>
        <v>564.44444444444446</v>
      </c>
      <c r="H10" s="31">
        <v>2.6</v>
      </c>
      <c r="I10" s="37">
        <f t="shared" si="2"/>
        <v>13.043478260869568</v>
      </c>
      <c r="J10" s="32" t="s">
        <v>587</v>
      </c>
      <c r="K10" s="31" t="s">
        <v>390</v>
      </c>
      <c r="L10" s="31">
        <v>1.72</v>
      </c>
      <c r="M10" s="32" t="s">
        <v>375</v>
      </c>
      <c r="N10" s="31" t="s">
        <v>331</v>
      </c>
      <c r="O10" s="31" t="s">
        <v>331</v>
      </c>
      <c r="P10" s="31" t="s">
        <v>418</v>
      </c>
      <c r="Q10" s="31"/>
    </row>
    <row r="11" spans="1:17" x14ac:dyDescent="0.2">
      <c r="A11" s="33">
        <v>42583</v>
      </c>
      <c r="B11" s="31" t="s">
        <v>588</v>
      </c>
      <c r="C11" s="36">
        <v>4.5999999999999996</v>
      </c>
      <c r="D11" s="31">
        <v>4.5999999999999996</v>
      </c>
      <c r="E11" s="38">
        <f t="shared" si="0"/>
        <v>0</v>
      </c>
      <c r="F11" s="31">
        <v>6.39</v>
      </c>
      <c r="G11" s="37">
        <f t="shared" si="1"/>
        <v>38.913043478260875</v>
      </c>
      <c r="H11" s="31">
        <v>6.13</v>
      </c>
      <c r="I11" s="37">
        <f t="shared" si="2"/>
        <v>4.0688575899843471</v>
      </c>
      <c r="J11" s="32" t="s">
        <v>587</v>
      </c>
      <c r="K11" s="31" t="s">
        <v>378</v>
      </c>
      <c r="L11" s="31">
        <v>6.45</v>
      </c>
      <c r="M11" s="31" t="s">
        <v>394</v>
      </c>
      <c r="N11" s="31" t="s">
        <v>331</v>
      </c>
      <c r="O11" s="31" t="s">
        <v>333</v>
      </c>
      <c r="P11" s="31" t="s">
        <v>589</v>
      </c>
      <c r="Q11" s="31"/>
    </row>
    <row r="12" spans="1:17" x14ac:dyDescent="0.2">
      <c r="A12" s="33">
        <v>42948</v>
      </c>
      <c r="B12" s="52" t="s">
        <v>590</v>
      </c>
      <c r="C12" s="53">
        <v>1.1100000000000001</v>
      </c>
      <c r="D12" s="54">
        <v>1.1100000000000001</v>
      </c>
      <c r="E12" s="62">
        <f t="shared" si="0"/>
        <v>0</v>
      </c>
      <c r="F12" s="54">
        <v>1.8</v>
      </c>
      <c r="G12" s="62">
        <f t="shared" si="1"/>
        <v>62.162162162162147</v>
      </c>
      <c r="H12" s="54">
        <v>1.43</v>
      </c>
      <c r="I12" s="56">
        <f t="shared" si="2"/>
        <v>20.555555555555561</v>
      </c>
      <c r="J12" s="19">
        <v>43313</v>
      </c>
      <c r="K12" s="3"/>
      <c r="L12" s="54">
        <v>1.4</v>
      </c>
      <c r="M12" s="45" t="s">
        <v>375</v>
      </c>
      <c r="N12" s="54" t="s">
        <v>331</v>
      </c>
      <c r="O12" s="54" t="s">
        <v>333</v>
      </c>
      <c r="P12" s="54" t="s">
        <v>381</v>
      </c>
      <c r="Q12" s="3"/>
    </row>
    <row r="13" spans="1:17" x14ac:dyDescent="0.2">
      <c r="A13" s="33">
        <v>42948</v>
      </c>
      <c r="B13" s="52" t="s">
        <v>544</v>
      </c>
      <c r="C13" s="53">
        <v>2.06</v>
      </c>
      <c r="D13" s="54">
        <v>2.5499999999999998</v>
      </c>
      <c r="E13" s="62">
        <f t="shared" si="0"/>
        <v>23.78640776699028</v>
      </c>
      <c r="F13" s="54">
        <v>2.75</v>
      </c>
      <c r="G13" s="62">
        <f t="shared" si="1"/>
        <v>7.8431372549019676</v>
      </c>
      <c r="H13" s="54">
        <v>2.59</v>
      </c>
      <c r="I13" s="56">
        <f t="shared" si="2"/>
        <v>5.8181818181818228</v>
      </c>
      <c r="J13" s="19">
        <v>43313</v>
      </c>
      <c r="K13" s="54" t="s">
        <v>378</v>
      </c>
      <c r="L13" s="54">
        <v>2.5499999999999998</v>
      </c>
      <c r="M13" s="45" t="s">
        <v>394</v>
      </c>
      <c r="N13" s="54" t="s">
        <v>333</v>
      </c>
      <c r="O13" s="54" t="s">
        <v>331</v>
      </c>
      <c r="P13" s="54" t="s">
        <v>591</v>
      </c>
      <c r="Q13" s="3"/>
    </row>
    <row r="14" spans="1:17" x14ac:dyDescent="0.2">
      <c r="A14" s="33">
        <v>42948</v>
      </c>
      <c r="B14" s="52" t="s">
        <v>464</v>
      </c>
      <c r="C14" s="53">
        <v>2.0099999999999998</v>
      </c>
      <c r="D14" s="54">
        <v>2.0499999999999998</v>
      </c>
      <c r="E14" s="62">
        <f t="shared" si="0"/>
        <v>1.9900497512437831</v>
      </c>
      <c r="F14" s="54">
        <v>2.69</v>
      </c>
      <c r="G14" s="62">
        <f t="shared" si="1"/>
        <v>31.219512195121961</v>
      </c>
      <c r="H14" s="54">
        <v>2.5</v>
      </c>
      <c r="I14" s="56">
        <f t="shared" si="2"/>
        <v>7.0631970260223023</v>
      </c>
      <c r="J14" s="19">
        <v>43313</v>
      </c>
      <c r="K14" s="54" t="s">
        <v>390</v>
      </c>
      <c r="L14" s="54">
        <v>2.58</v>
      </c>
      <c r="M14" s="45" t="s">
        <v>394</v>
      </c>
      <c r="N14" s="54" t="s">
        <v>331</v>
      </c>
      <c r="O14" s="54" t="s">
        <v>333</v>
      </c>
      <c r="P14" s="54" t="s">
        <v>592</v>
      </c>
      <c r="Q14" s="3"/>
    </row>
    <row r="15" spans="1:17" x14ac:dyDescent="0.2">
      <c r="A15" s="33">
        <v>42948</v>
      </c>
      <c r="B15" s="52" t="s">
        <v>564</v>
      </c>
      <c r="C15" s="53">
        <v>1.37</v>
      </c>
      <c r="D15" s="54">
        <v>1.4</v>
      </c>
      <c r="E15" s="62">
        <f t="shared" si="0"/>
        <v>2.1897810218977956</v>
      </c>
      <c r="F15" s="54">
        <v>1.7</v>
      </c>
      <c r="G15" s="62">
        <f t="shared" si="1"/>
        <v>21.428571428571434</v>
      </c>
      <c r="H15" s="31">
        <v>1.57</v>
      </c>
      <c r="I15" s="56">
        <f t="shared" si="2"/>
        <v>7.647058823529405</v>
      </c>
      <c r="J15" s="19">
        <v>43313</v>
      </c>
      <c r="K15" s="54" t="s">
        <v>390</v>
      </c>
      <c r="L15" s="54">
        <v>1.5</v>
      </c>
      <c r="M15" s="45" t="s">
        <v>375</v>
      </c>
      <c r="N15" s="54" t="s">
        <v>333</v>
      </c>
      <c r="O15" s="54" t="s">
        <v>331</v>
      </c>
      <c r="P15" s="54" t="s">
        <v>21</v>
      </c>
      <c r="Q15" s="3"/>
    </row>
    <row r="16" spans="1:17" x14ac:dyDescent="0.2">
      <c r="A16" s="55">
        <v>42948</v>
      </c>
      <c r="B16" s="52" t="s">
        <v>593</v>
      </c>
      <c r="C16" s="53">
        <v>11.79</v>
      </c>
      <c r="D16" s="54">
        <v>11.79</v>
      </c>
      <c r="E16" s="62">
        <f t="shared" si="0"/>
        <v>0</v>
      </c>
      <c r="F16" s="54">
        <v>13.6</v>
      </c>
      <c r="G16" s="62">
        <f t="shared" si="1"/>
        <v>15.351993214588639</v>
      </c>
      <c r="H16" s="54">
        <v>13.3</v>
      </c>
      <c r="I16" s="56">
        <f t="shared" si="2"/>
        <v>2.2058823529411686</v>
      </c>
      <c r="J16" s="19">
        <v>43313</v>
      </c>
      <c r="K16" s="54" t="s">
        <v>378</v>
      </c>
      <c r="L16" s="54">
        <v>13.02</v>
      </c>
      <c r="M16" s="45" t="s">
        <v>375</v>
      </c>
      <c r="N16" s="3">
        <v>13.02</v>
      </c>
      <c r="O16" s="54" t="s">
        <v>333</v>
      </c>
      <c r="P16" s="54" t="s">
        <v>404</v>
      </c>
      <c r="Q16" s="3"/>
    </row>
    <row r="17" spans="1:17" x14ac:dyDescent="0.2">
      <c r="A17" s="55" t="s">
        <v>423</v>
      </c>
      <c r="B17" s="31" t="s">
        <v>594</v>
      </c>
      <c r="C17" s="31">
        <v>1.05</v>
      </c>
      <c r="D17" s="31">
        <v>1.3</v>
      </c>
      <c r="E17" s="38">
        <f t="shared" si="0"/>
        <v>23.809523809523807</v>
      </c>
      <c r="F17" s="31">
        <v>1.49</v>
      </c>
      <c r="G17" s="38">
        <f t="shared" si="1"/>
        <v>14.615384615384611</v>
      </c>
      <c r="H17" s="31">
        <v>1.34</v>
      </c>
      <c r="I17" s="50">
        <f t="shared" si="2"/>
        <v>10.067114093959725</v>
      </c>
      <c r="J17" s="33" t="s">
        <v>595</v>
      </c>
      <c r="K17" s="31" t="s">
        <v>433</v>
      </c>
      <c r="L17" s="31">
        <v>1.34</v>
      </c>
      <c r="M17" s="31" t="s">
        <v>449</v>
      </c>
      <c r="N17" s="31" t="s">
        <v>418</v>
      </c>
      <c r="O17" s="31" t="s">
        <v>418</v>
      </c>
      <c r="P17" s="3" t="s">
        <v>21</v>
      </c>
      <c r="Q17" s="3"/>
    </row>
    <row r="18" spans="1:17" x14ac:dyDescent="0.2">
      <c r="A18" s="55" t="s">
        <v>423</v>
      </c>
      <c r="B18" s="31" t="s">
        <v>432</v>
      </c>
      <c r="C18" s="31">
        <v>2.0499999999999998</v>
      </c>
      <c r="D18" s="31">
        <v>1.95</v>
      </c>
      <c r="E18" s="50">
        <f t="shared" si="0"/>
        <v>-4.8780487804877986</v>
      </c>
      <c r="F18" s="31">
        <v>2.95</v>
      </c>
      <c r="G18" s="38">
        <f t="shared" si="1"/>
        <v>51.282051282051299</v>
      </c>
      <c r="H18" s="31">
        <v>2.34</v>
      </c>
      <c r="I18" s="50">
        <f t="shared" si="2"/>
        <v>20.677966101694924</v>
      </c>
      <c r="J18" s="33" t="s">
        <v>595</v>
      </c>
      <c r="K18" s="31" t="s">
        <v>378</v>
      </c>
      <c r="L18" s="31">
        <v>2.4500000000000002</v>
      </c>
      <c r="M18" s="31" t="s">
        <v>400</v>
      </c>
      <c r="N18" s="31" t="s">
        <v>418</v>
      </c>
      <c r="O18" s="31" t="s">
        <v>441</v>
      </c>
      <c r="P18" s="3" t="s">
        <v>441</v>
      </c>
      <c r="Q18" s="3"/>
    </row>
    <row r="19" spans="1:17" x14ac:dyDescent="0.2">
      <c r="A19" s="55" t="s">
        <v>423</v>
      </c>
      <c r="B19" s="31" t="s">
        <v>560</v>
      </c>
      <c r="C19" s="31">
        <v>0.75</v>
      </c>
      <c r="D19" s="31">
        <v>0.79</v>
      </c>
      <c r="E19" s="38">
        <f t="shared" si="0"/>
        <v>5.3333333333333375</v>
      </c>
      <c r="F19" s="31">
        <v>0.97</v>
      </c>
      <c r="G19" s="38">
        <f t="shared" si="1"/>
        <v>22.784810126582268</v>
      </c>
      <c r="H19" s="31">
        <v>0.89</v>
      </c>
      <c r="I19" s="50">
        <f t="shared" si="2"/>
        <v>8.2474226804123667</v>
      </c>
      <c r="J19" s="33" t="s">
        <v>595</v>
      </c>
      <c r="K19" s="31" t="s">
        <v>437</v>
      </c>
      <c r="L19" s="31">
        <v>0.89</v>
      </c>
      <c r="M19" s="31" t="s">
        <v>449</v>
      </c>
      <c r="N19" s="31" t="s">
        <v>345</v>
      </c>
      <c r="O19" s="31" t="s">
        <v>441</v>
      </c>
      <c r="P19" s="3" t="s">
        <v>463</v>
      </c>
      <c r="Q19" s="3"/>
    </row>
    <row r="20" spans="1:17" x14ac:dyDescent="0.2">
      <c r="A20" s="55" t="s">
        <v>423</v>
      </c>
      <c r="B20" s="31" t="s">
        <v>588</v>
      </c>
      <c r="C20" s="31">
        <v>5.76</v>
      </c>
      <c r="D20" s="31">
        <v>5.8</v>
      </c>
      <c r="E20" s="38">
        <f t="shared" si="0"/>
        <v>0.69444444444444509</v>
      </c>
      <c r="F20" s="31">
        <v>7.38</v>
      </c>
      <c r="G20" s="38">
        <f t="shared" si="1"/>
        <v>27.241379310344833</v>
      </c>
      <c r="H20" s="31">
        <v>6.65</v>
      </c>
      <c r="I20" s="50">
        <f t="shared" si="2"/>
        <v>9.8915989159891549</v>
      </c>
      <c r="J20" s="33" t="s">
        <v>595</v>
      </c>
      <c r="K20" s="31" t="s">
        <v>427</v>
      </c>
      <c r="L20" s="31">
        <v>6.5</v>
      </c>
      <c r="M20" s="31" t="s">
        <v>425</v>
      </c>
      <c r="N20" s="31" t="s">
        <v>418</v>
      </c>
      <c r="O20" s="31" t="s">
        <v>441</v>
      </c>
      <c r="P20" s="31" t="s">
        <v>441</v>
      </c>
      <c r="Q20" s="3"/>
    </row>
    <row r="21" spans="1:17" ht="14" customHeight="1" x14ac:dyDescent="0.2">
      <c r="A21" s="55" t="s">
        <v>596</v>
      </c>
      <c r="B21" s="31" t="s">
        <v>597</v>
      </c>
      <c r="C21" s="31">
        <v>0.67</v>
      </c>
      <c r="D21" s="31">
        <v>0.73</v>
      </c>
      <c r="E21" s="38">
        <f t="shared" si="0"/>
        <v>8.9552238805970052</v>
      </c>
      <c r="F21" s="31">
        <v>0.92</v>
      </c>
      <c r="G21" s="38">
        <f t="shared" si="1"/>
        <v>26.027397260273982</v>
      </c>
      <c r="H21" s="31">
        <v>0.87</v>
      </c>
      <c r="I21" s="50">
        <f t="shared" si="2"/>
        <v>5.4347826086956568</v>
      </c>
      <c r="J21" s="33" t="s">
        <v>434</v>
      </c>
      <c r="K21" s="31" t="s">
        <v>437</v>
      </c>
      <c r="L21" s="31">
        <v>0.81</v>
      </c>
      <c r="M21" s="31" t="s">
        <v>425</v>
      </c>
      <c r="N21" s="31" t="s">
        <v>418</v>
      </c>
      <c r="O21" s="31" t="s">
        <v>345</v>
      </c>
      <c r="P21" s="31" t="s">
        <v>598</v>
      </c>
      <c r="Q21" s="3"/>
    </row>
    <row r="22" spans="1:17" x14ac:dyDescent="0.2">
      <c r="A22" s="33" t="s">
        <v>596</v>
      </c>
      <c r="B22" s="31" t="s">
        <v>505</v>
      </c>
      <c r="C22" s="31">
        <v>0.86</v>
      </c>
      <c r="D22" s="31">
        <v>0.94</v>
      </c>
      <c r="E22" s="38">
        <f t="shared" si="0"/>
        <v>9.302325581395344</v>
      </c>
      <c r="F22" s="31">
        <v>1.1100000000000001</v>
      </c>
      <c r="G22" s="38">
        <f t="shared" si="1"/>
        <v>18.08510638297874</v>
      </c>
      <c r="H22" s="31">
        <v>0.95</v>
      </c>
      <c r="I22" s="50">
        <f t="shared" si="2"/>
        <v>14.414414414414425</v>
      </c>
      <c r="J22" s="33" t="s">
        <v>434</v>
      </c>
      <c r="K22" s="31" t="s">
        <v>437</v>
      </c>
      <c r="L22" s="31">
        <v>0.97</v>
      </c>
      <c r="M22" s="31" t="s">
        <v>400</v>
      </c>
      <c r="N22" s="31" t="s">
        <v>418</v>
      </c>
      <c r="O22" s="31" t="s">
        <v>418</v>
      </c>
      <c r="P22" s="31" t="s">
        <v>441</v>
      </c>
      <c r="Q22" s="3"/>
    </row>
    <row r="23" spans="1:17" x14ac:dyDescent="0.2">
      <c r="A23" s="33" t="s">
        <v>596</v>
      </c>
      <c r="B23" s="31" t="s">
        <v>238</v>
      </c>
      <c r="C23" s="31">
        <v>0.79</v>
      </c>
      <c r="D23" s="31">
        <v>0.86</v>
      </c>
      <c r="E23" s="38">
        <f t="shared" si="0"/>
        <v>8.86075949367088</v>
      </c>
      <c r="F23" s="31">
        <v>1.31</v>
      </c>
      <c r="G23" s="38">
        <f t="shared" si="1"/>
        <v>52.325581395348841</v>
      </c>
      <c r="H23" s="31">
        <v>0.95</v>
      </c>
      <c r="I23" s="50">
        <f t="shared" si="2"/>
        <v>27.48091603053436</v>
      </c>
      <c r="J23" s="33" t="s">
        <v>434</v>
      </c>
      <c r="K23" s="31" t="s">
        <v>390</v>
      </c>
      <c r="L23" s="31">
        <v>0.96</v>
      </c>
      <c r="M23" s="31" t="s">
        <v>400</v>
      </c>
      <c r="N23" s="31" t="s">
        <v>418</v>
      </c>
      <c r="O23" s="31" t="s">
        <v>418</v>
      </c>
      <c r="P23" s="31" t="s">
        <v>441</v>
      </c>
      <c r="Q23" s="3"/>
    </row>
    <row r="24" spans="1:17" x14ac:dyDescent="0.2">
      <c r="A24" s="33" t="s">
        <v>596</v>
      </c>
      <c r="B24" s="31" t="s">
        <v>599</v>
      </c>
      <c r="C24" s="31">
        <v>12.35</v>
      </c>
      <c r="D24" s="31">
        <v>12.88</v>
      </c>
      <c r="E24" s="38">
        <f t="shared" si="0"/>
        <v>4.2914979757085119</v>
      </c>
      <c r="F24" s="31">
        <v>15.4</v>
      </c>
      <c r="G24" s="38">
        <f t="shared" si="1"/>
        <v>19.565217391304344</v>
      </c>
      <c r="H24" s="31">
        <v>14.09</v>
      </c>
      <c r="I24" s="50">
        <f t="shared" si="2"/>
        <v>8.5064935064935092</v>
      </c>
      <c r="J24" s="33" t="s">
        <v>434</v>
      </c>
      <c r="K24" s="31" t="s">
        <v>437</v>
      </c>
      <c r="L24" s="31">
        <v>13.69</v>
      </c>
      <c r="M24" s="31" t="s">
        <v>425</v>
      </c>
      <c r="N24" s="31" t="s">
        <v>418</v>
      </c>
      <c r="O24" s="31" t="s">
        <v>345</v>
      </c>
      <c r="P24" s="31" t="s">
        <v>406</v>
      </c>
      <c r="Q24" s="3"/>
    </row>
    <row r="25" spans="1:17" x14ac:dyDescent="0.2">
      <c r="A25" s="33" t="s">
        <v>596</v>
      </c>
      <c r="B25" s="31" t="s">
        <v>422</v>
      </c>
      <c r="C25" s="31">
        <v>0.77</v>
      </c>
      <c r="D25" s="31">
        <v>0.78</v>
      </c>
      <c r="E25" s="38">
        <f t="shared" si="0"/>
        <v>1.2987012987012998</v>
      </c>
      <c r="F25" s="31">
        <v>0.97</v>
      </c>
      <c r="G25" s="38">
        <f t="shared" si="1"/>
        <v>24.358974358974351</v>
      </c>
      <c r="H25" s="31">
        <v>0.87</v>
      </c>
      <c r="I25" s="50">
        <f t="shared" si="2"/>
        <v>10.309278350515463</v>
      </c>
      <c r="J25" s="33" t="s">
        <v>434</v>
      </c>
      <c r="K25" s="31" t="s">
        <v>437</v>
      </c>
      <c r="L25" s="31">
        <v>0.88</v>
      </c>
      <c r="M25" s="31" t="s">
        <v>400</v>
      </c>
      <c r="N25" s="31" t="s">
        <v>345</v>
      </c>
      <c r="O25" s="31" t="s">
        <v>418</v>
      </c>
      <c r="P25" s="31" t="s">
        <v>441</v>
      </c>
      <c r="Q25" s="3"/>
    </row>
    <row r="26" spans="1:17" x14ac:dyDescent="0.2">
      <c r="A26" s="33" t="s">
        <v>600</v>
      </c>
      <c r="B26" s="54" t="s">
        <v>601</v>
      </c>
      <c r="C26" s="54">
        <v>3.78</v>
      </c>
      <c r="D26" s="54">
        <v>4.0599999999999996</v>
      </c>
      <c r="E26" s="38">
        <f t="shared" si="0"/>
        <v>7.407407407407403</v>
      </c>
      <c r="F26" s="54">
        <v>4.84</v>
      </c>
      <c r="G26" s="38">
        <f t="shared" si="1"/>
        <v>19.21182266009853</v>
      </c>
      <c r="H26" s="54">
        <v>4.53</v>
      </c>
      <c r="I26" s="50">
        <f t="shared" si="2"/>
        <v>6.4049586776859426</v>
      </c>
      <c r="J26" s="63" t="s">
        <v>440</v>
      </c>
      <c r="K26" s="31" t="s">
        <v>390</v>
      </c>
      <c r="L26" s="31">
        <v>4.5</v>
      </c>
      <c r="M26" s="31" t="s">
        <v>425</v>
      </c>
      <c r="N26" s="31" t="s">
        <v>418</v>
      </c>
      <c r="O26" s="31" t="s">
        <v>345</v>
      </c>
      <c r="P26" s="31" t="s">
        <v>598</v>
      </c>
      <c r="Q26" s="3"/>
    </row>
    <row r="27" spans="1:17" x14ac:dyDescent="0.2">
      <c r="A27" s="33" t="s">
        <v>600</v>
      </c>
      <c r="B27" s="31" t="s">
        <v>416</v>
      </c>
      <c r="C27" s="31">
        <v>6.93</v>
      </c>
      <c r="D27" s="31">
        <v>8.0500000000000007</v>
      </c>
      <c r="E27" s="38">
        <f t="shared" si="0"/>
        <v>16.161616161616177</v>
      </c>
      <c r="F27" s="31">
        <v>9.7200000000000006</v>
      </c>
      <c r="G27" s="38">
        <f t="shared" si="1"/>
        <v>20.745341614906827</v>
      </c>
      <c r="H27" s="31">
        <v>8.1199999999999992</v>
      </c>
      <c r="I27" s="50">
        <f t="shared" si="2"/>
        <v>16.460905349794253</v>
      </c>
      <c r="J27" s="63" t="s">
        <v>440</v>
      </c>
      <c r="K27" s="31" t="s">
        <v>437</v>
      </c>
      <c r="L27" s="31">
        <v>8</v>
      </c>
      <c r="M27" s="31" t="s">
        <v>425</v>
      </c>
      <c r="N27" s="31" t="s">
        <v>418</v>
      </c>
      <c r="O27" s="31" t="s">
        <v>345</v>
      </c>
      <c r="P27" s="31" t="s">
        <v>445</v>
      </c>
      <c r="Q27" s="3"/>
    </row>
    <row r="28" spans="1:17" x14ac:dyDescent="0.2">
      <c r="A28" s="33" t="s">
        <v>600</v>
      </c>
      <c r="B28" s="54" t="s">
        <v>556</v>
      </c>
      <c r="C28" s="54">
        <v>4.6500000000000004</v>
      </c>
      <c r="D28" s="54">
        <v>4.18</v>
      </c>
      <c r="E28" s="50">
        <f t="shared" si="0"/>
        <v>-10.107526881720442</v>
      </c>
      <c r="F28" s="54">
        <v>4.92</v>
      </c>
      <c r="G28" s="38">
        <f t="shared" si="1"/>
        <v>17.703349282296656</v>
      </c>
      <c r="H28" s="54">
        <v>4.6500000000000004</v>
      </c>
      <c r="I28" s="50">
        <f t="shared" si="2"/>
        <v>5.487804878048772</v>
      </c>
      <c r="J28" s="63" t="s">
        <v>440</v>
      </c>
      <c r="K28" s="31" t="s">
        <v>433</v>
      </c>
      <c r="L28" s="31">
        <v>4.66</v>
      </c>
      <c r="M28" s="31" t="s">
        <v>425</v>
      </c>
      <c r="N28" s="31" t="s">
        <v>418</v>
      </c>
      <c r="O28" s="31" t="s">
        <v>345</v>
      </c>
      <c r="P28" s="31" t="s">
        <v>379</v>
      </c>
      <c r="Q28" s="31"/>
    </row>
    <row r="29" spans="1:17" x14ac:dyDescent="0.2">
      <c r="A29" s="33" t="s">
        <v>602</v>
      </c>
      <c r="B29" s="31" t="s">
        <v>466</v>
      </c>
      <c r="C29" s="31">
        <v>1.1599999999999999</v>
      </c>
      <c r="D29" s="31">
        <v>1.18</v>
      </c>
      <c r="E29" s="38">
        <f t="shared" si="0"/>
        <v>1.7241379310344844</v>
      </c>
      <c r="F29" s="31">
        <v>1.44</v>
      </c>
      <c r="G29" s="38">
        <f t="shared" si="1"/>
        <v>22.033898305084747</v>
      </c>
      <c r="H29" s="31">
        <v>1.3</v>
      </c>
      <c r="I29" s="50">
        <f t="shared" si="2"/>
        <v>9.7222222222222161</v>
      </c>
      <c r="J29" s="31" t="s">
        <v>451</v>
      </c>
      <c r="K29" s="31" t="s">
        <v>427</v>
      </c>
      <c r="L29" s="31">
        <v>1.32</v>
      </c>
      <c r="M29" s="31" t="s">
        <v>400</v>
      </c>
      <c r="N29" s="31" t="s">
        <v>418</v>
      </c>
      <c r="O29" s="31" t="s">
        <v>345</v>
      </c>
      <c r="P29" s="31" t="s">
        <v>406</v>
      </c>
      <c r="Q29" s="31"/>
    </row>
    <row r="30" spans="1:17" x14ac:dyDescent="0.2">
      <c r="A30" s="33" t="s">
        <v>602</v>
      </c>
      <c r="B30" s="31" t="s">
        <v>603</v>
      </c>
      <c r="C30" s="31">
        <v>5.49</v>
      </c>
      <c r="D30" s="31">
        <v>5.6</v>
      </c>
      <c r="E30" s="38">
        <f t="shared" si="0"/>
        <v>2.0036429872495343</v>
      </c>
      <c r="F30" s="31">
        <v>6.28</v>
      </c>
      <c r="G30" s="38">
        <f t="shared" si="1"/>
        <v>12.142857142857153</v>
      </c>
      <c r="H30" s="31">
        <v>6.08</v>
      </c>
      <c r="I30" s="50">
        <f t="shared" si="2"/>
        <v>3.1847133757961812</v>
      </c>
      <c r="J30" s="31" t="s">
        <v>451</v>
      </c>
      <c r="K30" s="31" t="s">
        <v>433</v>
      </c>
      <c r="L30" s="31">
        <v>6.2</v>
      </c>
      <c r="M30" s="31" t="s">
        <v>400</v>
      </c>
      <c r="N30" s="31" t="s">
        <v>345</v>
      </c>
      <c r="O30" s="31" t="s">
        <v>418</v>
      </c>
      <c r="P30" s="31" t="s">
        <v>441</v>
      </c>
      <c r="Q30" s="31"/>
    </row>
    <row r="31" spans="1:17" x14ac:dyDescent="0.2">
      <c r="A31" s="33" t="s">
        <v>602</v>
      </c>
      <c r="B31" s="31" t="s">
        <v>604</v>
      </c>
      <c r="C31" s="31">
        <v>2.69</v>
      </c>
      <c r="D31" s="31">
        <v>2.68</v>
      </c>
      <c r="E31" s="38">
        <f t="shared" si="0"/>
        <v>-0.37174721189590287</v>
      </c>
      <c r="F31" s="31">
        <v>3.05</v>
      </c>
      <c r="G31" s="38">
        <f t="shared" si="1"/>
        <v>13.805970149253719</v>
      </c>
      <c r="H31" s="31">
        <v>2.97</v>
      </c>
      <c r="I31" s="50">
        <f t="shared" si="2"/>
        <v>2.622950819672119</v>
      </c>
      <c r="J31" s="31" t="s">
        <v>451</v>
      </c>
      <c r="K31" s="31" t="s">
        <v>433</v>
      </c>
      <c r="L31" s="31">
        <v>3.09</v>
      </c>
      <c r="M31" s="31" t="s">
        <v>400</v>
      </c>
      <c r="N31" s="31" t="s">
        <v>345</v>
      </c>
      <c r="O31" s="31" t="s">
        <v>418</v>
      </c>
      <c r="P31" s="31" t="s">
        <v>441</v>
      </c>
      <c r="Q31" s="31"/>
    </row>
    <row r="32" spans="1:17" x14ac:dyDescent="0.2">
      <c r="A32" s="33" t="s">
        <v>451</v>
      </c>
      <c r="B32" s="31" t="s">
        <v>464</v>
      </c>
      <c r="C32" s="31">
        <v>2.4300000000000002</v>
      </c>
      <c r="D32" s="31">
        <v>2.4300000000000002</v>
      </c>
      <c r="E32" s="38">
        <f t="shared" si="0"/>
        <v>0</v>
      </c>
      <c r="F32" s="31">
        <v>4.58</v>
      </c>
      <c r="G32" s="38">
        <f t="shared" si="1"/>
        <v>88.47736625514402</v>
      </c>
      <c r="H32" s="31">
        <v>4.45</v>
      </c>
      <c r="I32" s="50">
        <f t="shared" si="2"/>
        <v>2.8384279475982508</v>
      </c>
      <c r="J32" s="31" t="s">
        <v>456</v>
      </c>
      <c r="K32" s="31" t="s">
        <v>433</v>
      </c>
      <c r="L32" s="31">
        <v>5.32</v>
      </c>
      <c r="M32" s="31" t="s">
        <v>400</v>
      </c>
      <c r="N32" s="31" t="s">
        <v>418</v>
      </c>
      <c r="O32" s="31" t="s">
        <v>418</v>
      </c>
      <c r="P32" s="31" t="s">
        <v>441</v>
      </c>
      <c r="Q32" s="31"/>
    </row>
    <row r="33" spans="1:18" x14ac:dyDescent="0.2">
      <c r="A33" s="33" t="s">
        <v>451</v>
      </c>
      <c r="B33" s="31" t="s">
        <v>605</v>
      </c>
      <c r="C33" s="31">
        <v>3.53</v>
      </c>
      <c r="D33" s="31">
        <v>4.63</v>
      </c>
      <c r="E33" s="38">
        <f t="shared" si="0"/>
        <v>31.161473087818703</v>
      </c>
      <c r="F33" s="31">
        <v>5.07</v>
      </c>
      <c r="G33" s="38">
        <f t="shared" si="1"/>
        <v>9.5032397408207423</v>
      </c>
      <c r="H33" s="31">
        <v>3.83</v>
      </c>
      <c r="I33" s="50">
        <f t="shared" si="2"/>
        <v>24.457593688362923</v>
      </c>
      <c r="J33" s="31" t="s">
        <v>456</v>
      </c>
      <c r="K33" s="31" t="s">
        <v>427</v>
      </c>
      <c r="L33" s="31">
        <v>3.73</v>
      </c>
      <c r="M33" s="31" t="s">
        <v>425</v>
      </c>
      <c r="N33" s="31" t="s">
        <v>418</v>
      </c>
      <c r="O33" s="31" t="s">
        <v>418</v>
      </c>
      <c r="P33" s="31" t="s">
        <v>441</v>
      </c>
      <c r="Q33" s="31"/>
    </row>
    <row r="34" spans="1:18" x14ac:dyDescent="0.2">
      <c r="A34" s="33" t="s">
        <v>451</v>
      </c>
      <c r="B34" s="31" t="s">
        <v>397</v>
      </c>
      <c r="C34" s="31">
        <v>3.79</v>
      </c>
      <c r="D34" s="31">
        <v>3.67</v>
      </c>
      <c r="E34" s="38">
        <f t="shared" si="0"/>
        <v>-3.1662269129287628</v>
      </c>
      <c r="F34" s="31">
        <v>5.42</v>
      </c>
      <c r="G34" s="38">
        <f t="shared" si="1"/>
        <v>47.683923705722073</v>
      </c>
      <c r="H34" s="31">
        <v>4.6500000000000004</v>
      </c>
      <c r="I34" s="50">
        <f t="shared" si="2"/>
        <v>14.206642066420658</v>
      </c>
      <c r="J34" s="31" t="s">
        <v>456</v>
      </c>
      <c r="K34" s="31" t="s">
        <v>427</v>
      </c>
      <c r="L34" s="31">
        <v>4.6500000000000004</v>
      </c>
      <c r="M34" s="31" t="s">
        <v>449</v>
      </c>
      <c r="N34" s="31" t="s">
        <v>345</v>
      </c>
      <c r="O34" s="31" t="s">
        <v>418</v>
      </c>
      <c r="P34" s="31" t="s">
        <v>441</v>
      </c>
      <c r="Q34" s="31"/>
    </row>
    <row r="35" spans="1:18" x14ac:dyDescent="0.2">
      <c r="A35" s="33" t="s">
        <v>451</v>
      </c>
      <c r="B35" s="31" t="s">
        <v>606</v>
      </c>
      <c r="C35" s="31">
        <v>7</v>
      </c>
      <c r="D35" s="31">
        <v>7.48</v>
      </c>
      <c r="E35" s="38">
        <f t="shared" si="0"/>
        <v>6.857142857142863</v>
      </c>
      <c r="F35" s="31">
        <v>8.1999999999999993</v>
      </c>
      <c r="G35" s="38">
        <f t="shared" si="1"/>
        <v>9.6256684491978461</v>
      </c>
      <c r="H35" s="31">
        <v>7.74</v>
      </c>
      <c r="I35" s="50">
        <f t="shared" si="2"/>
        <v>5.6097560975609646</v>
      </c>
      <c r="J35" s="33" t="s">
        <v>451</v>
      </c>
      <c r="K35" s="31" t="s">
        <v>437</v>
      </c>
      <c r="L35" s="31">
        <v>7.48</v>
      </c>
      <c r="M35" s="31" t="s">
        <v>425</v>
      </c>
      <c r="N35" s="31" t="s">
        <v>418</v>
      </c>
      <c r="O35" s="31" t="s">
        <v>345</v>
      </c>
      <c r="P35" s="31" t="s">
        <v>379</v>
      </c>
      <c r="Q35" s="31"/>
    </row>
    <row r="36" spans="1:18" x14ac:dyDescent="0.2">
      <c r="A36" s="33" t="s">
        <v>456</v>
      </c>
      <c r="B36" s="31" t="s">
        <v>486</v>
      </c>
      <c r="C36" s="31">
        <v>0.54</v>
      </c>
      <c r="D36" s="31">
        <v>0.74</v>
      </c>
      <c r="E36" s="38">
        <f t="shared" si="0"/>
        <v>37.037037037037024</v>
      </c>
      <c r="F36" s="31">
        <v>0.87</v>
      </c>
      <c r="G36" s="38">
        <f t="shared" si="1"/>
        <v>17.567567567567568</v>
      </c>
      <c r="H36" s="31">
        <v>0.84</v>
      </c>
      <c r="I36" s="50">
        <f t="shared" si="2"/>
        <v>3.4482758620689689</v>
      </c>
      <c r="J36" s="33" t="s">
        <v>459</v>
      </c>
      <c r="K36" s="31" t="s">
        <v>433</v>
      </c>
      <c r="L36" s="31">
        <v>0.75</v>
      </c>
      <c r="M36" s="31" t="s">
        <v>425</v>
      </c>
      <c r="N36" s="31" t="s">
        <v>418</v>
      </c>
      <c r="O36" s="31" t="s">
        <v>418</v>
      </c>
      <c r="P36" s="31" t="s">
        <v>441</v>
      </c>
      <c r="Q36" s="31"/>
    </row>
    <row r="37" spans="1:18" x14ac:dyDescent="0.2">
      <c r="A37" s="33" t="s">
        <v>456</v>
      </c>
      <c r="B37" s="31" t="s">
        <v>607</v>
      </c>
      <c r="C37" s="31">
        <v>13.88</v>
      </c>
      <c r="D37" s="31">
        <v>15.35</v>
      </c>
      <c r="E37" s="38">
        <f t="shared" si="0"/>
        <v>10.5907780979827</v>
      </c>
      <c r="F37" s="31">
        <v>16.43</v>
      </c>
      <c r="G37" s="38">
        <f t="shared" si="1"/>
        <v>7.0358306188925095</v>
      </c>
      <c r="H37" s="31">
        <v>16.079999999999998</v>
      </c>
      <c r="I37" s="50">
        <f t="shared" si="2"/>
        <v>2.1302495435179636</v>
      </c>
      <c r="J37" s="33" t="s">
        <v>459</v>
      </c>
      <c r="K37" s="31" t="s">
        <v>437</v>
      </c>
      <c r="L37" s="31">
        <v>16</v>
      </c>
      <c r="M37" s="31" t="s">
        <v>425</v>
      </c>
      <c r="N37" s="31" t="s">
        <v>418</v>
      </c>
      <c r="O37" s="31" t="s">
        <v>345</v>
      </c>
      <c r="P37" s="31" t="s">
        <v>406</v>
      </c>
      <c r="Q37" s="31"/>
    </row>
    <row r="38" spans="1:18" x14ac:dyDescent="0.2">
      <c r="A38" s="33" t="s">
        <v>456</v>
      </c>
      <c r="B38" s="31" t="s">
        <v>608</v>
      </c>
      <c r="C38" s="31">
        <v>19.920000000000002</v>
      </c>
      <c r="D38" s="31">
        <v>19.91</v>
      </c>
      <c r="E38" s="38">
        <f t="shared" si="0"/>
        <v>-5.0200803212859253E-2</v>
      </c>
      <c r="F38" s="31">
        <v>20.94</v>
      </c>
      <c r="G38" s="38">
        <f t="shared" si="1"/>
        <v>5.1732797589151236</v>
      </c>
      <c r="H38" s="31">
        <v>22.6</v>
      </c>
      <c r="I38" s="50">
        <f t="shared" si="2"/>
        <v>-7.9274116523400187</v>
      </c>
      <c r="J38" s="33" t="s">
        <v>459</v>
      </c>
      <c r="K38" s="31" t="s">
        <v>433</v>
      </c>
      <c r="L38" s="31">
        <v>22.05</v>
      </c>
      <c r="M38" s="31" t="s">
        <v>400</v>
      </c>
      <c r="N38" s="31" t="s">
        <v>345</v>
      </c>
      <c r="O38" s="31" t="s">
        <v>418</v>
      </c>
      <c r="P38" s="31" t="s">
        <v>441</v>
      </c>
      <c r="Q38" s="3"/>
    </row>
    <row r="39" spans="1:18" x14ac:dyDescent="0.2">
      <c r="A39" s="33" t="s">
        <v>456</v>
      </c>
      <c r="B39" s="31" t="s">
        <v>609</v>
      </c>
      <c r="C39" s="31">
        <v>3.8</v>
      </c>
      <c r="D39" s="31">
        <v>3.75</v>
      </c>
      <c r="E39" s="38">
        <f t="shared" si="0"/>
        <v>-1.315789473684206</v>
      </c>
      <c r="F39" s="31">
        <v>4</v>
      </c>
      <c r="G39" s="38">
        <f t="shared" si="1"/>
        <v>6.666666666666667</v>
      </c>
      <c r="H39" s="31">
        <v>3.9</v>
      </c>
      <c r="I39" s="50">
        <f t="shared" si="2"/>
        <v>2.5000000000000022</v>
      </c>
      <c r="J39" s="33" t="s">
        <v>459</v>
      </c>
      <c r="K39" s="31" t="s">
        <v>433</v>
      </c>
      <c r="L39" s="31">
        <v>4</v>
      </c>
      <c r="M39" s="31" t="s">
        <v>400</v>
      </c>
      <c r="N39" s="31" t="s">
        <v>418</v>
      </c>
      <c r="O39" s="31" t="s">
        <v>418</v>
      </c>
      <c r="P39" s="31" t="s">
        <v>441</v>
      </c>
      <c r="Q39" s="3"/>
    </row>
    <row r="40" spans="1:18" x14ac:dyDescent="0.2">
      <c r="A40" s="33" t="s">
        <v>459</v>
      </c>
      <c r="B40" s="31" t="s">
        <v>610</v>
      </c>
      <c r="C40" s="31">
        <v>1.8</v>
      </c>
      <c r="D40" s="31">
        <v>1.9</v>
      </c>
      <c r="E40" s="38">
        <f t="shared" si="0"/>
        <v>5.5555555555555483</v>
      </c>
      <c r="F40" s="31">
        <v>2.69</v>
      </c>
      <c r="G40" s="38">
        <f t="shared" si="1"/>
        <v>41.578947368421055</v>
      </c>
      <c r="H40" s="31">
        <v>2.5299999999999998</v>
      </c>
      <c r="I40" s="50">
        <f t="shared" si="2"/>
        <v>5.9479553903345774</v>
      </c>
      <c r="J40" s="33" t="s">
        <v>611</v>
      </c>
      <c r="K40" s="31" t="s">
        <v>433</v>
      </c>
      <c r="L40" s="31">
        <v>2.52</v>
      </c>
      <c r="M40" s="31" t="s">
        <v>425</v>
      </c>
      <c r="N40" s="31" t="s">
        <v>418</v>
      </c>
      <c r="O40" s="31" t="s">
        <v>345</v>
      </c>
      <c r="P40" s="31" t="s">
        <v>406</v>
      </c>
      <c r="Q40" s="3"/>
    </row>
    <row r="41" spans="1:18" x14ac:dyDescent="0.2">
      <c r="A41" s="33" t="s">
        <v>459</v>
      </c>
      <c r="B41" s="31" t="s">
        <v>604</v>
      </c>
      <c r="C41" s="31">
        <v>2.77</v>
      </c>
      <c r="D41" s="31">
        <v>2.89</v>
      </c>
      <c r="E41" s="38">
        <f t="shared" si="0"/>
        <v>4.3321299638989208</v>
      </c>
      <c r="F41" s="31">
        <v>3.57</v>
      </c>
      <c r="G41" s="38">
        <f t="shared" si="1"/>
        <v>23.52941176470587</v>
      </c>
      <c r="H41" s="31">
        <v>3.47</v>
      </c>
      <c r="I41" s="50">
        <f t="shared" si="2"/>
        <v>2.8011204481792618</v>
      </c>
      <c r="J41" s="33" t="s">
        <v>611</v>
      </c>
      <c r="K41" s="31" t="s">
        <v>433</v>
      </c>
      <c r="L41" s="31">
        <v>3.22</v>
      </c>
      <c r="M41" s="31" t="s">
        <v>425</v>
      </c>
      <c r="N41" s="31" t="s">
        <v>418</v>
      </c>
      <c r="O41" s="31" t="s">
        <v>345</v>
      </c>
      <c r="P41" s="31" t="s">
        <v>612</v>
      </c>
      <c r="Q41" s="3"/>
    </row>
    <row r="42" spans="1:18" x14ac:dyDescent="0.2">
      <c r="A42" s="33" t="s">
        <v>459</v>
      </c>
      <c r="B42" s="31" t="s">
        <v>613</v>
      </c>
      <c r="C42" s="31">
        <v>7.07</v>
      </c>
      <c r="D42" s="31">
        <v>7.93</v>
      </c>
      <c r="E42" s="38">
        <f t="shared" si="0"/>
        <v>12.164073550212155</v>
      </c>
      <c r="F42" s="31">
        <v>12.45</v>
      </c>
      <c r="G42" s="38">
        <f t="shared" si="1"/>
        <v>56.998738965952079</v>
      </c>
      <c r="H42" s="31">
        <v>9.19</v>
      </c>
      <c r="I42" s="50">
        <f t="shared" si="2"/>
        <v>26.184738955823295</v>
      </c>
      <c r="J42" s="33" t="s">
        <v>611</v>
      </c>
      <c r="K42" s="31" t="s">
        <v>433</v>
      </c>
      <c r="L42" s="31">
        <v>9.4</v>
      </c>
      <c r="M42" s="31" t="s">
        <v>400</v>
      </c>
      <c r="N42" s="31" t="s">
        <v>418</v>
      </c>
      <c r="O42" s="31" t="s">
        <v>345</v>
      </c>
      <c r="P42" s="31" t="s">
        <v>598</v>
      </c>
      <c r="Q42" s="3"/>
    </row>
    <row r="43" spans="1:18" x14ac:dyDescent="0.2">
      <c r="A43" s="33" t="s">
        <v>467</v>
      </c>
      <c r="B43" s="31" t="s">
        <v>424</v>
      </c>
      <c r="C43" s="31">
        <v>0.87</v>
      </c>
      <c r="D43" s="31">
        <v>0.87</v>
      </c>
      <c r="E43" s="38">
        <f t="shared" si="0"/>
        <v>0</v>
      </c>
      <c r="F43" s="31">
        <v>0.95</v>
      </c>
      <c r="G43" s="38">
        <f t="shared" si="1"/>
        <v>9.1954022988505706</v>
      </c>
      <c r="H43" s="31">
        <v>0.9</v>
      </c>
      <c r="I43" s="50">
        <f t="shared" si="2"/>
        <v>5.2631578947368354</v>
      </c>
      <c r="J43" s="33" t="s">
        <v>469</v>
      </c>
      <c r="K43" s="31" t="s">
        <v>427</v>
      </c>
      <c r="L43" s="31">
        <v>0.9</v>
      </c>
      <c r="M43" s="31" t="s">
        <v>449</v>
      </c>
      <c r="N43" s="31" t="s">
        <v>331</v>
      </c>
      <c r="O43" s="31" t="s">
        <v>333</v>
      </c>
      <c r="P43" s="31" t="s">
        <v>598</v>
      </c>
      <c r="Q43" s="3"/>
    </row>
    <row r="44" spans="1:18" x14ac:dyDescent="0.2">
      <c r="A44" s="33" t="s">
        <v>467</v>
      </c>
      <c r="B44" s="31" t="s">
        <v>614</v>
      </c>
      <c r="C44" s="31">
        <v>0.83</v>
      </c>
      <c r="D44" s="31">
        <v>0.81</v>
      </c>
      <c r="E44" s="50">
        <f t="shared" si="0"/>
        <v>-2.4096385542168566</v>
      </c>
      <c r="F44" s="31">
        <v>1.25</v>
      </c>
      <c r="G44" s="38">
        <f t="shared" si="1"/>
        <v>54.320987654320973</v>
      </c>
      <c r="H44" s="31">
        <v>1.04</v>
      </c>
      <c r="I44" s="50">
        <f t="shared" si="2"/>
        <v>16.799999999999997</v>
      </c>
      <c r="J44" s="31" t="s">
        <v>469</v>
      </c>
      <c r="K44" s="31" t="s">
        <v>433</v>
      </c>
      <c r="L44" s="31">
        <v>0.96</v>
      </c>
      <c r="M44" s="31" t="s">
        <v>425</v>
      </c>
      <c r="N44" s="31" t="s">
        <v>345</v>
      </c>
      <c r="O44" s="31" t="s">
        <v>418</v>
      </c>
      <c r="P44" s="31" t="s">
        <v>441</v>
      </c>
      <c r="Q44" s="31"/>
    </row>
    <row r="45" spans="1:18" x14ac:dyDescent="0.2">
      <c r="A45" s="31" t="s">
        <v>467</v>
      </c>
      <c r="B45" s="31" t="s">
        <v>588</v>
      </c>
      <c r="C45" s="31">
        <v>5.49</v>
      </c>
      <c r="D45" s="31">
        <v>5.5</v>
      </c>
      <c r="E45" s="38">
        <f t="shared" si="0"/>
        <v>0.18214936247722746</v>
      </c>
      <c r="F45" s="31">
        <v>6.88</v>
      </c>
      <c r="G45" s="38">
        <f t="shared" si="1"/>
        <v>25.09090909090909</v>
      </c>
      <c r="H45" s="31">
        <v>6.63</v>
      </c>
      <c r="I45" s="50">
        <f t="shared" si="2"/>
        <v>3.6337209302325584</v>
      </c>
      <c r="J45" s="31" t="s">
        <v>469</v>
      </c>
      <c r="K45" s="31" t="s">
        <v>433</v>
      </c>
      <c r="L45" s="31">
        <v>6.74</v>
      </c>
      <c r="M45" s="31" t="s">
        <v>400</v>
      </c>
      <c r="N45" s="31" t="s">
        <v>345</v>
      </c>
      <c r="O45" s="31" t="s">
        <v>418</v>
      </c>
      <c r="P45" s="31" t="s">
        <v>441</v>
      </c>
      <c r="Q45" s="31"/>
    </row>
    <row r="46" spans="1:18" x14ac:dyDescent="0.2">
      <c r="A46" s="31" t="s">
        <v>467</v>
      </c>
      <c r="B46" s="31" t="s">
        <v>615</v>
      </c>
      <c r="C46" s="31">
        <v>17.53</v>
      </c>
      <c r="D46" s="31">
        <v>17.739999999999998</v>
      </c>
      <c r="E46" s="38">
        <f t="shared" si="0"/>
        <v>1.1979463776383188</v>
      </c>
      <c r="F46" s="31">
        <v>20.97</v>
      </c>
      <c r="G46" s="38">
        <f t="shared" si="1"/>
        <v>18.207440811724922</v>
      </c>
      <c r="H46" s="31">
        <v>20.45</v>
      </c>
      <c r="I46" s="50">
        <f t="shared" si="2"/>
        <v>2.4797329518359543</v>
      </c>
      <c r="J46" s="31" t="s">
        <v>469</v>
      </c>
      <c r="K46" s="31" t="s">
        <v>433</v>
      </c>
      <c r="L46" s="31">
        <v>20.63</v>
      </c>
      <c r="M46" s="31" t="s">
        <v>400</v>
      </c>
      <c r="N46" s="31" t="s">
        <v>418</v>
      </c>
      <c r="O46" s="31" t="s">
        <v>345</v>
      </c>
      <c r="P46" s="31" t="s">
        <v>406</v>
      </c>
      <c r="Q46" s="31"/>
    </row>
    <row r="47" spans="1:18" x14ac:dyDescent="0.2">
      <c r="A47" s="31" t="s">
        <v>467</v>
      </c>
      <c r="B47" s="54" t="s">
        <v>123</v>
      </c>
      <c r="C47" s="54">
        <v>2.3199999999999998</v>
      </c>
      <c r="D47" s="54">
        <v>2.35</v>
      </c>
      <c r="E47" s="38">
        <f t="shared" si="0"/>
        <v>1.2931034482758728</v>
      </c>
      <c r="F47" s="54">
        <v>2.85</v>
      </c>
      <c r="G47" s="38">
        <f t="shared" si="1"/>
        <v>21.276595744680851</v>
      </c>
      <c r="H47" s="54">
        <v>2.78</v>
      </c>
      <c r="I47" s="50">
        <f t="shared" si="2"/>
        <v>2.4561403508772028</v>
      </c>
      <c r="J47" s="31" t="s">
        <v>469</v>
      </c>
      <c r="K47" s="31" t="s">
        <v>433</v>
      </c>
      <c r="L47" s="31">
        <v>2.75</v>
      </c>
      <c r="M47" s="31" t="s">
        <v>425</v>
      </c>
      <c r="N47" s="31" t="s">
        <v>345</v>
      </c>
      <c r="O47" s="31" t="s">
        <v>418</v>
      </c>
      <c r="P47" s="31" t="s">
        <v>441</v>
      </c>
      <c r="Q47" s="31"/>
    </row>
    <row r="48" spans="1:18" x14ac:dyDescent="0.2">
      <c r="A48" s="57">
        <v>11171</v>
      </c>
      <c r="B48" s="61" t="s">
        <v>616</v>
      </c>
      <c r="C48" s="61">
        <v>2.64</v>
      </c>
      <c r="D48" s="61">
        <v>3.26</v>
      </c>
      <c r="E48" s="72">
        <f t="shared" si="0"/>
        <v>23.484848484848474</v>
      </c>
      <c r="F48" s="61">
        <v>4.0599999999999996</v>
      </c>
      <c r="G48" s="72">
        <f t="shared" si="1"/>
        <v>24.539877300613494</v>
      </c>
      <c r="H48" s="61">
        <v>3.84</v>
      </c>
      <c r="I48" s="76">
        <f t="shared" si="2"/>
        <v>5.4187192118226539</v>
      </c>
      <c r="J48" s="57">
        <v>11536</v>
      </c>
      <c r="K48" s="58" t="s">
        <v>345</v>
      </c>
      <c r="L48" s="58">
        <v>3.16</v>
      </c>
      <c r="M48" s="58" t="s">
        <v>425</v>
      </c>
      <c r="N48" s="58" t="s">
        <v>418</v>
      </c>
      <c r="O48" s="58" t="s">
        <v>345</v>
      </c>
      <c r="P48" s="58" t="s">
        <v>598</v>
      </c>
      <c r="Q48" s="82"/>
      <c r="R48" s="5"/>
    </row>
    <row r="49" spans="1:18" x14ac:dyDescent="0.2">
      <c r="A49" s="57">
        <v>11536</v>
      </c>
      <c r="B49" s="58" t="s">
        <v>617</v>
      </c>
      <c r="C49" s="58">
        <v>0.69</v>
      </c>
      <c r="D49" s="58">
        <v>0.7</v>
      </c>
      <c r="E49" s="72">
        <f t="shared" si="0"/>
        <v>1.4492753623188419</v>
      </c>
      <c r="F49" s="58">
        <v>0.86</v>
      </c>
      <c r="G49" s="72">
        <f t="shared" si="1"/>
        <v>22.857142857142861</v>
      </c>
      <c r="H49" s="58">
        <v>0.81</v>
      </c>
      <c r="I49" s="76">
        <f t="shared" si="2"/>
        <v>5.8139534883720856</v>
      </c>
      <c r="J49" s="57">
        <v>37135</v>
      </c>
      <c r="K49" s="58" t="s">
        <v>427</v>
      </c>
      <c r="L49" s="58">
        <v>0.79</v>
      </c>
      <c r="M49" s="58" t="s">
        <v>400</v>
      </c>
      <c r="N49" s="58" t="s">
        <v>418</v>
      </c>
      <c r="O49" s="58" t="s">
        <v>345</v>
      </c>
      <c r="P49" s="58" t="s">
        <v>445</v>
      </c>
      <c r="Q49" s="82"/>
      <c r="R49" s="5"/>
    </row>
    <row r="50" spans="1:18" x14ac:dyDescent="0.2">
      <c r="A50" s="57">
        <v>11536</v>
      </c>
      <c r="B50" s="61" t="s">
        <v>123</v>
      </c>
      <c r="C50" s="61">
        <v>2.93</v>
      </c>
      <c r="D50" s="61">
        <v>2.9</v>
      </c>
      <c r="E50" s="76">
        <f t="shared" si="0"/>
        <v>-1.0238907849829437</v>
      </c>
      <c r="F50" s="61">
        <v>3.38</v>
      </c>
      <c r="G50" s="72">
        <f t="shared" si="1"/>
        <v>16.551724137931036</v>
      </c>
      <c r="H50" s="61">
        <v>3.33</v>
      </c>
      <c r="I50" s="76">
        <f t="shared" si="2"/>
        <v>1.479289940828397</v>
      </c>
      <c r="J50" s="57">
        <v>37135</v>
      </c>
      <c r="K50" s="58" t="s">
        <v>390</v>
      </c>
      <c r="L50" s="58">
        <v>3.2</v>
      </c>
      <c r="M50" s="58" t="s">
        <v>425</v>
      </c>
      <c r="N50" s="58" t="s">
        <v>618</v>
      </c>
      <c r="O50" s="58" t="s">
        <v>345</v>
      </c>
      <c r="P50" s="58" t="s">
        <v>445</v>
      </c>
      <c r="Q50" s="82"/>
      <c r="R50" s="5"/>
    </row>
    <row r="51" spans="1:18" x14ac:dyDescent="0.2">
      <c r="A51" s="33">
        <v>37135</v>
      </c>
      <c r="B51" s="61" t="s">
        <v>619</v>
      </c>
      <c r="C51" s="61">
        <v>14.96</v>
      </c>
      <c r="D51" s="61">
        <v>15.96</v>
      </c>
      <c r="E51" s="38">
        <f t="shared" si="0"/>
        <v>6.6844919786096249</v>
      </c>
      <c r="F51" s="61">
        <v>17.2</v>
      </c>
      <c r="G51" s="38">
        <f t="shared" si="1"/>
        <v>7.7694235588972331</v>
      </c>
      <c r="H51" s="61">
        <v>16.649999999999999</v>
      </c>
      <c r="I51" s="50">
        <f t="shared" si="2"/>
        <v>3.1976744186046555</v>
      </c>
      <c r="J51" s="57">
        <v>37500</v>
      </c>
      <c r="K51" s="31" t="s">
        <v>433</v>
      </c>
      <c r="L51" s="31">
        <v>16.579999999999998</v>
      </c>
      <c r="M51" s="31" t="s">
        <v>425</v>
      </c>
      <c r="N51" s="31" t="s">
        <v>418</v>
      </c>
      <c r="O51" s="31" t="s">
        <v>345</v>
      </c>
      <c r="P51" s="31" t="s">
        <v>379</v>
      </c>
      <c r="Q51" s="3"/>
    </row>
    <row r="52" spans="1:18" x14ac:dyDescent="0.2">
      <c r="A52" s="55">
        <v>37500</v>
      </c>
      <c r="B52" s="77" t="s">
        <v>610</v>
      </c>
      <c r="C52" s="77">
        <v>2.71</v>
      </c>
      <c r="D52" s="77">
        <v>2.73</v>
      </c>
      <c r="E52" s="78">
        <f t="shared" si="0"/>
        <v>0.7380073800738014</v>
      </c>
      <c r="F52" s="77">
        <v>3.64</v>
      </c>
      <c r="G52" s="78">
        <f t="shared" si="1"/>
        <v>33.333333333333336</v>
      </c>
      <c r="H52" s="77">
        <v>3.56</v>
      </c>
      <c r="I52" s="79">
        <f t="shared" si="2"/>
        <v>2.1978021978021998</v>
      </c>
      <c r="J52" s="57">
        <v>39326</v>
      </c>
      <c r="K52" s="77" t="s">
        <v>433</v>
      </c>
      <c r="L52" s="77">
        <v>3.56</v>
      </c>
      <c r="M52" s="77" t="s">
        <v>425</v>
      </c>
      <c r="N52" s="77" t="s">
        <v>418</v>
      </c>
      <c r="O52" s="77" t="s">
        <v>418</v>
      </c>
      <c r="P52" s="77" t="s">
        <v>441</v>
      </c>
      <c r="Q52" s="83"/>
    </row>
    <row r="53" spans="1:18" x14ac:dyDescent="0.2">
      <c r="A53" s="33">
        <v>37500</v>
      </c>
      <c r="B53" s="31" t="s">
        <v>422</v>
      </c>
      <c r="C53" s="31">
        <v>1.05</v>
      </c>
      <c r="D53" s="31">
        <v>1.05</v>
      </c>
      <c r="E53" s="38">
        <f t="shared" si="0"/>
        <v>0</v>
      </c>
      <c r="F53" s="31">
        <v>1.25</v>
      </c>
      <c r="G53" s="38">
        <f t="shared" si="1"/>
        <v>19.047619047619044</v>
      </c>
      <c r="H53" s="31">
        <v>1.21</v>
      </c>
      <c r="I53" s="50">
        <f t="shared" si="2"/>
        <v>3.2000000000000028</v>
      </c>
      <c r="J53" s="57">
        <v>39326</v>
      </c>
      <c r="K53" s="31" t="s">
        <v>433</v>
      </c>
      <c r="L53" s="31">
        <v>1.32</v>
      </c>
      <c r="M53" s="31" t="s">
        <v>400</v>
      </c>
      <c r="N53" s="31" t="s">
        <v>345</v>
      </c>
      <c r="O53" s="31" t="s">
        <v>345</v>
      </c>
      <c r="P53" s="31" t="s">
        <v>435</v>
      </c>
      <c r="Q53" s="31"/>
    </row>
    <row r="54" spans="1:18" x14ac:dyDescent="0.2">
      <c r="A54" s="33">
        <v>37500</v>
      </c>
      <c r="B54" s="31" t="s">
        <v>620</v>
      </c>
      <c r="C54" s="31">
        <v>3.28</v>
      </c>
      <c r="D54" s="31">
        <v>3.65</v>
      </c>
      <c r="E54" s="38">
        <f t="shared" si="0"/>
        <v>11.280487804878053</v>
      </c>
      <c r="F54" s="31">
        <v>3.83</v>
      </c>
      <c r="G54" s="38">
        <f t="shared" si="1"/>
        <v>4.9315068493150731</v>
      </c>
      <c r="H54" s="31">
        <v>3.6</v>
      </c>
      <c r="I54" s="50">
        <f t="shared" si="2"/>
        <v>6.0052219321148819</v>
      </c>
      <c r="J54" s="57">
        <v>39326</v>
      </c>
      <c r="K54" s="31" t="s">
        <v>433</v>
      </c>
      <c r="L54" s="31">
        <v>3.6</v>
      </c>
      <c r="M54" s="31" t="s">
        <v>400</v>
      </c>
      <c r="N54" s="31" t="s">
        <v>418</v>
      </c>
      <c r="O54" s="31" t="s">
        <v>345</v>
      </c>
      <c r="P54" s="31" t="s">
        <v>379</v>
      </c>
      <c r="Q54" s="31"/>
    </row>
    <row r="55" spans="1:18" x14ac:dyDescent="0.2">
      <c r="A55" s="57">
        <v>39326</v>
      </c>
      <c r="B55" s="31" t="s">
        <v>513</v>
      </c>
      <c r="C55" s="31">
        <v>0.34</v>
      </c>
      <c r="D55" s="31">
        <v>0.54</v>
      </c>
      <c r="E55" s="38">
        <f t="shared" si="0"/>
        <v>58.82352941176471</v>
      </c>
      <c r="F55" s="31">
        <v>0.83</v>
      </c>
      <c r="G55" s="38">
        <f t="shared" si="1"/>
        <v>53.703703703703688</v>
      </c>
      <c r="H55" s="31">
        <v>0.8</v>
      </c>
      <c r="I55" s="50">
        <f t="shared" si="2"/>
        <v>3.6144578313252915</v>
      </c>
      <c r="J55" s="57">
        <v>39692</v>
      </c>
      <c r="K55" s="31" t="s">
        <v>433</v>
      </c>
      <c r="L55" s="31">
        <v>0.76</v>
      </c>
      <c r="M55" s="31" t="s">
        <v>425</v>
      </c>
      <c r="N55" s="31" t="s">
        <v>418</v>
      </c>
      <c r="O55" s="31" t="s">
        <v>345</v>
      </c>
      <c r="P55" s="31" t="s">
        <v>379</v>
      </c>
      <c r="Q55" s="31"/>
    </row>
    <row r="56" spans="1:18" x14ac:dyDescent="0.2">
      <c r="A56" s="57">
        <v>39326</v>
      </c>
      <c r="B56" s="31" t="s">
        <v>621</v>
      </c>
      <c r="C56" s="31">
        <v>3.57</v>
      </c>
      <c r="D56" s="31">
        <v>3.55</v>
      </c>
      <c r="E56" s="38">
        <f t="shared" si="0"/>
        <v>-0.5602240896358549</v>
      </c>
      <c r="F56" s="31">
        <v>5.21</v>
      </c>
      <c r="G56" s="38">
        <f t="shared" si="1"/>
        <v>46.760563380281695</v>
      </c>
      <c r="H56" s="31">
        <v>4.28</v>
      </c>
      <c r="I56" s="50">
        <f t="shared" si="2"/>
        <v>17.850287907869479</v>
      </c>
      <c r="J56" s="57">
        <v>39692</v>
      </c>
      <c r="K56" s="31" t="s">
        <v>437</v>
      </c>
      <c r="L56" s="31">
        <v>4.3499999999999996</v>
      </c>
      <c r="M56" s="31" t="s">
        <v>425</v>
      </c>
      <c r="N56" s="31" t="s">
        <v>418</v>
      </c>
      <c r="O56" s="31" t="s">
        <v>21</v>
      </c>
      <c r="P56" s="31" t="s">
        <v>21</v>
      </c>
      <c r="Q56" s="31"/>
    </row>
    <row r="57" spans="1:18" x14ac:dyDescent="0.2">
      <c r="A57" s="57">
        <v>39326</v>
      </c>
      <c r="B57" s="31" t="s">
        <v>518</v>
      </c>
      <c r="C57" s="31">
        <v>2.4500000000000002</v>
      </c>
      <c r="D57" s="31">
        <v>2.5499999999999998</v>
      </c>
      <c r="E57" s="38">
        <f t="shared" si="0"/>
        <v>4.0816326530612095</v>
      </c>
      <c r="F57" s="31">
        <v>2.97</v>
      </c>
      <c r="G57" s="38">
        <f t="shared" si="1"/>
        <v>16.470588235294134</v>
      </c>
      <c r="H57" s="31">
        <v>2.9</v>
      </c>
      <c r="I57" s="50">
        <f t="shared" si="2"/>
        <v>2.3569023569023662</v>
      </c>
      <c r="J57" s="57">
        <v>39692</v>
      </c>
      <c r="K57" s="31" t="s">
        <v>433</v>
      </c>
      <c r="L57" s="31">
        <v>2.94</v>
      </c>
      <c r="M57" s="31" t="s">
        <v>400</v>
      </c>
      <c r="N57" s="31" t="s">
        <v>418</v>
      </c>
      <c r="O57" s="31" t="s">
        <v>345</v>
      </c>
      <c r="P57" s="31" t="s">
        <v>622</v>
      </c>
      <c r="Q57" s="31"/>
    </row>
    <row r="58" spans="1:18" x14ac:dyDescent="0.2">
      <c r="A58" s="57">
        <v>39326</v>
      </c>
      <c r="B58" s="31" t="s">
        <v>439</v>
      </c>
      <c r="C58" s="31">
        <v>0.86</v>
      </c>
      <c r="D58" s="31">
        <v>0.86</v>
      </c>
      <c r="E58" s="38">
        <f t="shared" si="0"/>
        <v>0</v>
      </c>
      <c r="F58" s="31">
        <v>1.06</v>
      </c>
      <c r="G58" s="38">
        <f t="shared" si="1"/>
        <v>23.255813953488381</v>
      </c>
      <c r="H58" s="31">
        <v>0.99</v>
      </c>
      <c r="I58" s="50">
        <f t="shared" si="2"/>
        <v>6.6037735849056656</v>
      </c>
      <c r="J58" s="57">
        <v>39692</v>
      </c>
      <c r="K58" s="31" t="s">
        <v>427</v>
      </c>
      <c r="L58" s="31">
        <v>1.02</v>
      </c>
      <c r="M58" s="31" t="s">
        <v>400</v>
      </c>
      <c r="N58" s="31" t="s">
        <v>418</v>
      </c>
      <c r="O58" s="31" t="s">
        <v>345</v>
      </c>
      <c r="P58" s="31" t="s">
        <v>418</v>
      </c>
      <c r="Q58" s="31"/>
    </row>
    <row r="59" spans="1:18" x14ac:dyDescent="0.2">
      <c r="A59" s="57">
        <v>39326</v>
      </c>
      <c r="B59" s="31" t="s">
        <v>623</v>
      </c>
      <c r="C59" s="31">
        <v>5.96</v>
      </c>
      <c r="D59" s="31">
        <v>5.98</v>
      </c>
      <c r="E59" s="38">
        <f t="shared" si="0"/>
        <v>0.33557046979866545</v>
      </c>
      <c r="F59" s="31">
        <v>6.16</v>
      </c>
      <c r="G59" s="38">
        <f t="shared" si="1"/>
        <v>3.0100334448160484</v>
      </c>
      <c r="H59" s="31">
        <v>6.78</v>
      </c>
      <c r="I59" s="50">
        <f t="shared" si="2"/>
        <v>-10.064935064935067</v>
      </c>
      <c r="J59" s="57">
        <v>39692</v>
      </c>
      <c r="K59" s="31" t="s">
        <v>433</v>
      </c>
      <c r="L59" s="31">
        <v>6.56</v>
      </c>
      <c r="M59" s="31" t="s">
        <v>400</v>
      </c>
      <c r="N59" s="31" t="s">
        <v>418</v>
      </c>
      <c r="O59" s="31" t="s">
        <v>345</v>
      </c>
      <c r="P59" s="31" t="s">
        <v>445</v>
      </c>
      <c r="Q59" s="31"/>
    </row>
    <row r="60" spans="1:18" x14ac:dyDescent="0.2">
      <c r="A60" s="57">
        <v>39692</v>
      </c>
      <c r="B60" s="31" t="s">
        <v>624</v>
      </c>
      <c r="C60" s="31">
        <v>1.2</v>
      </c>
      <c r="D60" s="31">
        <v>1.37</v>
      </c>
      <c r="E60" s="38">
        <f t="shared" si="0"/>
        <v>14.16666666666668</v>
      </c>
      <c r="F60" s="31">
        <v>2</v>
      </c>
      <c r="G60" s="38">
        <f t="shared" si="1"/>
        <v>45.985401459854003</v>
      </c>
      <c r="H60" s="31">
        <v>1.85</v>
      </c>
      <c r="I60" s="50">
        <f t="shared" si="2"/>
        <v>7.4999999999999956</v>
      </c>
      <c r="J60" s="57">
        <v>40057</v>
      </c>
      <c r="K60" s="31" t="s">
        <v>433</v>
      </c>
      <c r="L60" s="31">
        <v>1.77</v>
      </c>
      <c r="M60" s="31" t="s">
        <v>425</v>
      </c>
      <c r="N60" s="31" t="s">
        <v>418</v>
      </c>
      <c r="O60" s="31" t="s">
        <v>345</v>
      </c>
      <c r="P60" s="31" t="s">
        <v>445</v>
      </c>
      <c r="Q60" s="31"/>
    </row>
    <row r="61" spans="1:18" x14ac:dyDescent="0.2">
      <c r="A61" s="57">
        <v>39692</v>
      </c>
      <c r="B61" s="31" t="s">
        <v>588</v>
      </c>
      <c r="C61" s="31">
        <v>6.98</v>
      </c>
      <c r="D61" s="31">
        <v>7.04</v>
      </c>
      <c r="E61" s="38">
        <f t="shared" si="0"/>
        <v>0.85959885386818913</v>
      </c>
      <c r="F61" s="31">
        <v>8.44</v>
      </c>
      <c r="G61" s="38">
        <f t="shared" si="1"/>
        <v>19.88636363636363</v>
      </c>
      <c r="H61" s="31">
        <v>8.23</v>
      </c>
      <c r="I61" s="50">
        <f t="shared" si="2"/>
        <v>2.4881516587677619</v>
      </c>
      <c r="J61" s="57">
        <v>40057</v>
      </c>
      <c r="K61" s="31" t="s">
        <v>437</v>
      </c>
      <c r="L61" s="31">
        <v>8.2200000000000006</v>
      </c>
      <c r="M61" s="31" t="s">
        <v>400</v>
      </c>
      <c r="N61" s="31" t="s">
        <v>418</v>
      </c>
      <c r="O61" s="31" t="s">
        <v>345</v>
      </c>
      <c r="P61" s="31" t="s">
        <v>445</v>
      </c>
      <c r="Q61" s="31"/>
    </row>
    <row r="62" spans="1:18" x14ac:dyDescent="0.2">
      <c r="A62" s="57">
        <v>39692</v>
      </c>
      <c r="B62" s="31" t="s">
        <v>625</v>
      </c>
      <c r="C62" s="31">
        <v>13.81</v>
      </c>
      <c r="D62" s="31">
        <v>13.76</v>
      </c>
      <c r="E62" s="38">
        <f t="shared" si="0"/>
        <v>-0.36205648081101161</v>
      </c>
      <c r="F62" s="31">
        <v>14.24</v>
      </c>
      <c r="G62" s="38">
        <f t="shared" si="1"/>
        <v>3.4883720930232593</v>
      </c>
      <c r="H62" s="31">
        <v>15.85</v>
      </c>
      <c r="I62" s="50">
        <f t="shared" si="2"/>
        <v>-11.306179775280894</v>
      </c>
      <c r="J62" s="57">
        <v>40057</v>
      </c>
      <c r="K62" s="31" t="s">
        <v>433</v>
      </c>
      <c r="L62" s="31">
        <v>16.5</v>
      </c>
      <c r="M62" s="31" t="s">
        <v>400</v>
      </c>
      <c r="N62" s="31" t="s">
        <v>418</v>
      </c>
      <c r="O62" s="31" t="s">
        <v>345</v>
      </c>
      <c r="P62" s="31" t="s">
        <v>381</v>
      </c>
      <c r="Q62" s="31"/>
    </row>
    <row r="63" spans="1:18" x14ac:dyDescent="0.2">
      <c r="A63" s="57">
        <v>39692</v>
      </c>
      <c r="B63" s="31" t="s">
        <v>424</v>
      </c>
      <c r="C63" s="31">
        <v>1.06</v>
      </c>
      <c r="D63" s="31">
        <v>1.0900000000000001</v>
      </c>
      <c r="E63" s="38">
        <f t="shared" si="0"/>
        <v>2.8301886792452855</v>
      </c>
      <c r="F63" s="31">
        <v>1.22</v>
      </c>
      <c r="G63" s="38">
        <f t="shared" si="1"/>
        <v>11.926605504587146</v>
      </c>
      <c r="H63" s="31">
        <v>1.19</v>
      </c>
      <c r="I63" s="50">
        <f t="shared" si="2"/>
        <v>2.4590163934426252</v>
      </c>
      <c r="J63" s="57">
        <v>40057</v>
      </c>
      <c r="K63" s="31" t="s">
        <v>433</v>
      </c>
      <c r="L63" s="31">
        <v>1.3</v>
      </c>
      <c r="M63" s="31" t="s">
        <v>400</v>
      </c>
      <c r="N63" s="31" t="s">
        <v>418</v>
      </c>
      <c r="O63" s="31" t="s">
        <v>345</v>
      </c>
      <c r="P63" s="31" t="s">
        <v>445</v>
      </c>
      <c r="Q63" s="31"/>
    </row>
    <row r="64" spans="1:18" x14ac:dyDescent="0.2">
      <c r="A64" s="57">
        <v>39692</v>
      </c>
      <c r="B64" s="31" t="s">
        <v>626</v>
      </c>
      <c r="C64" s="31">
        <v>7.12</v>
      </c>
      <c r="D64" s="31">
        <v>7.15</v>
      </c>
      <c r="E64" s="38">
        <f t="shared" si="0"/>
        <v>0.42134831460674504</v>
      </c>
      <c r="F64" s="31">
        <v>8.2899999999999991</v>
      </c>
      <c r="G64" s="38">
        <f t="shared" si="1"/>
        <v>15.944055944055927</v>
      </c>
      <c r="H64" s="31">
        <v>7.88</v>
      </c>
      <c r="I64" s="50">
        <f t="shared" si="2"/>
        <v>4.9457177322074708</v>
      </c>
      <c r="J64" s="57">
        <v>40057</v>
      </c>
      <c r="K64" s="31" t="s">
        <v>427</v>
      </c>
      <c r="L64" s="31">
        <v>7.9</v>
      </c>
      <c r="M64" s="31" t="s">
        <v>400</v>
      </c>
      <c r="N64" s="31" t="s">
        <v>418</v>
      </c>
      <c r="O64" s="31" t="s">
        <v>345</v>
      </c>
      <c r="P64" s="31" t="s">
        <v>381</v>
      </c>
      <c r="Q64" s="31"/>
    </row>
    <row r="65" spans="1:17" x14ac:dyDescent="0.2">
      <c r="A65" s="57">
        <v>39692</v>
      </c>
      <c r="B65" s="31" t="s">
        <v>424</v>
      </c>
      <c r="C65" s="31">
        <v>1.1399999999999999</v>
      </c>
      <c r="D65" s="31">
        <v>1.3</v>
      </c>
      <c r="E65" s="38">
        <f t="shared" si="0"/>
        <v>14.035087719298259</v>
      </c>
      <c r="F65" s="31">
        <v>1.42</v>
      </c>
      <c r="G65" s="38">
        <f t="shared" si="1"/>
        <v>9.2307692307692211</v>
      </c>
      <c r="H65" s="31">
        <v>1.39</v>
      </c>
      <c r="I65" s="50">
        <f t="shared" si="2"/>
        <v>2.1126760563380302</v>
      </c>
      <c r="J65" s="57">
        <v>40057</v>
      </c>
      <c r="K65" s="31" t="s">
        <v>433</v>
      </c>
      <c r="L65" s="31">
        <v>1.35</v>
      </c>
      <c r="M65" s="31" t="s">
        <v>425</v>
      </c>
      <c r="N65" s="31" t="s">
        <v>418</v>
      </c>
      <c r="O65" s="31" t="s">
        <v>345</v>
      </c>
      <c r="P65" s="31" t="s">
        <v>598</v>
      </c>
      <c r="Q65" s="31"/>
    </row>
    <row r="66" spans="1:17" x14ac:dyDescent="0.2">
      <c r="A66" s="57">
        <v>39692</v>
      </c>
      <c r="B66" s="31" t="s">
        <v>627</v>
      </c>
      <c r="C66" s="31">
        <v>3.13</v>
      </c>
      <c r="D66" s="31">
        <v>3.26</v>
      </c>
      <c r="E66" s="38">
        <f t="shared" si="0"/>
        <v>4.1533546325878561</v>
      </c>
      <c r="F66" s="31">
        <v>3.5</v>
      </c>
      <c r="G66" s="38">
        <f t="shared" si="1"/>
        <v>7.3619631901840563</v>
      </c>
      <c r="H66" s="31">
        <v>3.75</v>
      </c>
      <c r="I66" s="50">
        <f t="shared" si="2"/>
        <v>-7.1428571428571423</v>
      </c>
      <c r="J66" s="57">
        <v>40057</v>
      </c>
      <c r="K66" s="31" t="s">
        <v>437</v>
      </c>
      <c r="L66" s="31">
        <v>3.59</v>
      </c>
      <c r="M66" s="31" t="s">
        <v>425</v>
      </c>
      <c r="N66" s="31" t="s">
        <v>345</v>
      </c>
      <c r="O66" s="31" t="s">
        <v>418</v>
      </c>
      <c r="P66" s="31" t="s">
        <v>441</v>
      </c>
      <c r="Q66" s="31"/>
    </row>
    <row r="67" spans="1:17" x14ac:dyDescent="0.2">
      <c r="A67" s="57">
        <v>39692</v>
      </c>
      <c r="B67" s="31" t="s">
        <v>628</v>
      </c>
      <c r="C67" s="31">
        <v>3.03</v>
      </c>
      <c r="D67" s="31">
        <v>3.21</v>
      </c>
      <c r="E67" s="38">
        <f t="shared" si="0"/>
        <v>5.9405940594059468</v>
      </c>
      <c r="F67" s="31">
        <v>3.63</v>
      </c>
      <c r="G67" s="38">
        <f t="shared" si="1"/>
        <v>13.084112149532709</v>
      </c>
      <c r="H67" s="31">
        <v>3.49</v>
      </c>
      <c r="I67" s="50">
        <f t="shared" si="2"/>
        <v>3.8567493112947568</v>
      </c>
      <c r="J67" s="57">
        <v>40057</v>
      </c>
      <c r="K67" s="31" t="s">
        <v>437</v>
      </c>
      <c r="L67" s="31">
        <v>3.55</v>
      </c>
      <c r="M67" s="31" t="s">
        <v>400</v>
      </c>
      <c r="N67" s="31" t="s">
        <v>418</v>
      </c>
      <c r="O67" s="31" t="s">
        <v>418</v>
      </c>
      <c r="P67" s="31" t="s">
        <v>441</v>
      </c>
      <c r="Q67" s="31"/>
    </row>
    <row r="68" spans="1:17" x14ac:dyDescent="0.2">
      <c r="A68" s="57">
        <v>39692</v>
      </c>
      <c r="B68" s="31" t="s">
        <v>629</v>
      </c>
      <c r="C68" s="31">
        <v>14.78</v>
      </c>
      <c r="D68" s="31">
        <v>14.2</v>
      </c>
      <c r="E68" s="38">
        <f t="shared" si="0"/>
        <v>-3.9242219215155623</v>
      </c>
      <c r="F68" s="31">
        <v>17.7</v>
      </c>
      <c r="G68" s="38">
        <f t="shared" si="1"/>
        <v>24.647887323943664</v>
      </c>
      <c r="H68" s="31">
        <v>16.84</v>
      </c>
      <c r="I68" s="50">
        <f t="shared" si="2"/>
        <v>4.8587570621468892</v>
      </c>
      <c r="J68" s="57">
        <v>40057</v>
      </c>
      <c r="K68" s="31" t="s">
        <v>433</v>
      </c>
      <c r="L68" s="31">
        <v>17.149999999999999</v>
      </c>
      <c r="M68" s="31" t="s">
        <v>400</v>
      </c>
      <c r="N68" s="31" t="s">
        <v>418</v>
      </c>
      <c r="O68" s="31" t="s">
        <v>418</v>
      </c>
      <c r="P68" s="31" t="s">
        <v>441</v>
      </c>
      <c r="Q68" s="31"/>
    </row>
    <row r="69" spans="1:17" x14ac:dyDescent="0.2">
      <c r="A69" s="57">
        <v>39692</v>
      </c>
      <c r="B69" s="31" t="s">
        <v>630</v>
      </c>
      <c r="C69" s="31">
        <v>7.2</v>
      </c>
      <c r="D69" s="31">
        <v>7.39</v>
      </c>
      <c r="E69" s="38">
        <f t="shared" si="0"/>
        <v>2.6388888888888817</v>
      </c>
      <c r="F69" s="31">
        <v>8.41</v>
      </c>
      <c r="G69" s="38">
        <f t="shared" si="1"/>
        <v>13.802435723951293</v>
      </c>
      <c r="H69" s="31">
        <v>8.01</v>
      </c>
      <c r="I69" s="50">
        <f t="shared" si="2"/>
        <v>4.7562425683709915</v>
      </c>
      <c r="J69" s="57">
        <v>40057</v>
      </c>
      <c r="K69" s="31" t="s">
        <v>437</v>
      </c>
      <c r="L69" s="31">
        <v>8.02</v>
      </c>
      <c r="M69" s="31">
        <v>8.02</v>
      </c>
      <c r="N69" s="31" t="s">
        <v>345</v>
      </c>
      <c r="O69" s="31" t="s">
        <v>418</v>
      </c>
      <c r="P69" s="31" t="s">
        <v>441</v>
      </c>
      <c r="Q69" s="31"/>
    </row>
    <row r="70" spans="1:17" x14ac:dyDescent="0.2">
      <c r="A70" s="57">
        <v>39692</v>
      </c>
      <c r="B70" s="31" t="s">
        <v>631</v>
      </c>
      <c r="C70" s="31">
        <v>3.25</v>
      </c>
      <c r="D70" s="31">
        <v>3.29</v>
      </c>
      <c r="E70" s="38">
        <f t="shared" si="0"/>
        <v>1.2307692307692317</v>
      </c>
      <c r="F70" s="31">
        <v>3.29</v>
      </c>
      <c r="G70" s="38">
        <f t="shared" si="1"/>
        <v>0</v>
      </c>
      <c r="H70" s="31">
        <v>3.6</v>
      </c>
      <c r="I70" s="50">
        <f t="shared" si="2"/>
        <v>-9.4224924012158073</v>
      </c>
      <c r="J70" s="57">
        <v>40057</v>
      </c>
      <c r="K70" s="31" t="s">
        <v>437</v>
      </c>
      <c r="L70" s="31">
        <v>3.49</v>
      </c>
      <c r="M70" s="31" t="s">
        <v>425</v>
      </c>
      <c r="N70" s="31" t="s">
        <v>418</v>
      </c>
      <c r="O70" s="31" t="s">
        <v>345</v>
      </c>
      <c r="P70" s="31" t="s">
        <v>445</v>
      </c>
      <c r="Q70" s="31"/>
    </row>
    <row r="71" spans="1:17" x14ac:dyDescent="0.2">
      <c r="A71" s="57">
        <v>41883</v>
      </c>
      <c r="B71" s="31" t="s">
        <v>632</v>
      </c>
      <c r="C71" s="31">
        <v>5.95</v>
      </c>
      <c r="D71" s="31">
        <v>6.09</v>
      </c>
      <c r="E71" s="37">
        <f t="shared" si="0"/>
        <v>2.3529411764705825</v>
      </c>
      <c r="F71" s="31">
        <v>7.04</v>
      </c>
      <c r="G71" s="37">
        <f t="shared" si="1"/>
        <v>15.599343185550085</v>
      </c>
      <c r="H71" s="31">
        <v>6.62</v>
      </c>
      <c r="I71" s="37">
        <f t="shared" si="2"/>
        <v>5.9659090909090899</v>
      </c>
      <c r="J71" s="57">
        <v>42248</v>
      </c>
      <c r="K71" s="31" t="s">
        <v>433</v>
      </c>
      <c r="L71" s="31">
        <v>6.61</v>
      </c>
      <c r="M71" s="31" t="s">
        <v>400</v>
      </c>
      <c r="N71" s="31" t="s">
        <v>418</v>
      </c>
      <c r="O71" s="31" t="s">
        <v>345</v>
      </c>
      <c r="P71" s="31" t="s">
        <v>435</v>
      </c>
      <c r="Q71" s="31"/>
    </row>
    <row r="72" spans="1:17" x14ac:dyDescent="0.2">
      <c r="A72" s="57">
        <v>41883</v>
      </c>
      <c r="B72" s="31" t="s">
        <v>633</v>
      </c>
      <c r="C72" s="31">
        <v>18.47</v>
      </c>
      <c r="D72" s="31">
        <v>18.93</v>
      </c>
      <c r="E72" s="37">
        <f t="shared" si="0"/>
        <v>2.4905251759610225</v>
      </c>
      <c r="F72" s="31">
        <v>21.42</v>
      </c>
      <c r="G72" s="37">
        <f t="shared" si="1"/>
        <v>13.153724247226636</v>
      </c>
      <c r="H72" s="31">
        <v>20.54</v>
      </c>
      <c r="I72" s="37">
        <f t="shared" si="2"/>
        <v>4.1083099906629439</v>
      </c>
      <c r="J72" s="57">
        <v>42248</v>
      </c>
      <c r="K72" s="31" t="s">
        <v>437</v>
      </c>
      <c r="L72" s="31">
        <v>20.65</v>
      </c>
      <c r="M72" s="31" t="s">
        <v>400</v>
      </c>
      <c r="N72" s="31" t="s">
        <v>418</v>
      </c>
      <c r="O72" s="31" t="s">
        <v>345</v>
      </c>
      <c r="P72" s="31" t="s">
        <v>447</v>
      </c>
      <c r="Q72" s="31"/>
    </row>
    <row r="73" spans="1:17" x14ac:dyDescent="0.2">
      <c r="A73" s="57">
        <v>41883</v>
      </c>
      <c r="B73" s="31" t="s">
        <v>444</v>
      </c>
      <c r="C73" s="31">
        <v>1.31</v>
      </c>
      <c r="D73" s="31">
        <v>1.31</v>
      </c>
      <c r="E73" s="38">
        <f t="shared" si="0"/>
        <v>0</v>
      </c>
      <c r="F73" s="31">
        <v>1.65</v>
      </c>
      <c r="G73" s="37">
        <f t="shared" si="1"/>
        <v>25.954198473282432</v>
      </c>
      <c r="H73" s="31">
        <v>1.45</v>
      </c>
      <c r="I73" s="50">
        <f t="shared" si="2"/>
        <v>12.121212121212119</v>
      </c>
      <c r="J73" s="57">
        <v>42248</v>
      </c>
      <c r="K73" s="31" t="s">
        <v>427</v>
      </c>
      <c r="L73" s="31">
        <v>1.47</v>
      </c>
      <c r="M73" s="31" t="s">
        <v>449</v>
      </c>
      <c r="N73" s="31" t="s">
        <v>418</v>
      </c>
      <c r="O73" s="31" t="s">
        <v>345</v>
      </c>
      <c r="P73" s="31" t="s">
        <v>445</v>
      </c>
      <c r="Q73" s="31"/>
    </row>
    <row r="74" spans="1:17" x14ac:dyDescent="0.2">
      <c r="A74" s="57">
        <v>44440</v>
      </c>
      <c r="B74" s="31" t="s">
        <v>549</v>
      </c>
      <c r="C74" s="31">
        <v>1.85</v>
      </c>
      <c r="D74" s="31">
        <v>1.89</v>
      </c>
      <c r="E74" s="37">
        <f t="shared" si="0"/>
        <v>2.1621621621621521</v>
      </c>
      <c r="F74" s="31">
        <v>2.58</v>
      </c>
      <c r="G74" s="37">
        <f t="shared" si="1"/>
        <v>36.50793650793652</v>
      </c>
      <c r="H74" s="31">
        <v>2.37</v>
      </c>
      <c r="I74" s="34">
        <f t="shared" si="2"/>
        <v>8.1395348837209287</v>
      </c>
      <c r="J74" s="57">
        <v>44805</v>
      </c>
      <c r="K74" s="31" t="s">
        <v>378</v>
      </c>
      <c r="L74" s="31">
        <v>2.2999999999999998</v>
      </c>
      <c r="M74" s="31" t="s">
        <v>425</v>
      </c>
      <c r="N74" s="31" t="s">
        <v>418</v>
      </c>
      <c r="O74" s="31" t="s">
        <v>345</v>
      </c>
      <c r="P74" s="31" t="s">
        <v>445</v>
      </c>
      <c r="Q74" s="31"/>
    </row>
    <row r="75" spans="1:17" x14ac:dyDescent="0.2">
      <c r="A75" s="33">
        <v>44805</v>
      </c>
      <c r="B75" s="31" t="s">
        <v>392</v>
      </c>
      <c r="C75" s="31">
        <v>6.9</v>
      </c>
      <c r="D75" s="31">
        <v>6.9</v>
      </c>
      <c r="E75" s="38">
        <f t="shared" si="0"/>
        <v>0</v>
      </c>
      <c r="F75" s="31">
        <v>10.5</v>
      </c>
      <c r="G75" s="37">
        <f t="shared" ref="G75:G100" si="3">(F75-D75)/D75*100</f>
        <v>52.173913043478251</v>
      </c>
      <c r="H75" s="31">
        <v>9.44</v>
      </c>
      <c r="I75" s="34">
        <f t="shared" si="2"/>
        <v>10.0952380952381</v>
      </c>
      <c r="J75" s="57">
        <v>45170</v>
      </c>
      <c r="K75" s="31" t="s">
        <v>427</v>
      </c>
      <c r="L75" s="31">
        <v>10.35</v>
      </c>
      <c r="M75" s="31" t="s">
        <v>400</v>
      </c>
      <c r="N75" s="31" t="s">
        <v>418</v>
      </c>
      <c r="O75" s="31" t="s">
        <v>418</v>
      </c>
      <c r="P75" s="31" t="s">
        <v>441</v>
      </c>
      <c r="Q75" s="31"/>
    </row>
    <row r="76" spans="1:17" x14ac:dyDescent="0.2">
      <c r="A76" s="33">
        <v>44805</v>
      </c>
      <c r="B76" s="31" t="s">
        <v>415</v>
      </c>
      <c r="C76" s="31">
        <v>2.61</v>
      </c>
      <c r="D76" s="31">
        <v>3</v>
      </c>
      <c r="E76" s="38">
        <f t="shared" si="0"/>
        <v>14.942528735632191</v>
      </c>
      <c r="F76" s="31">
        <v>3.54</v>
      </c>
      <c r="G76" s="37">
        <f t="shared" si="3"/>
        <v>18.000000000000004</v>
      </c>
      <c r="H76" s="31">
        <v>3.28</v>
      </c>
      <c r="I76" s="34">
        <f t="shared" ref="I76:I100" si="4">(F76-H76)/F76*100</f>
        <v>7.3446327683615875</v>
      </c>
      <c r="J76" s="57">
        <v>45170</v>
      </c>
      <c r="K76" s="31" t="s">
        <v>433</v>
      </c>
      <c r="L76" s="31">
        <v>3.22</v>
      </c>
      <c r="M76" s="31" t="s">
        <v>425</v>
      </c>
      <c r="N76" s="31" t="s">
        <v>418</v>
      </c>
      <c r="O76" s="31" t="s">
        <v>345</v>
      </c>
      <c r="P76" s="31" t="s">
        <v>381</v>
      </c>
      <c r="Q76" s="31"/>
    </row>
    <row r="77" spans="1:17" x14ac:dyDescent="0.2">
      <c r="A77" s="33">
        <v>44805</v>
      </c>
      <c r="B77" s="31" t="s">
        <v>634</v>
      </c>
      <c r="C77" s="31">
        <v>8.1</v>
      </c>
      <c r="D77" s="31">
        <v>8.14</v>
      </c>
      <c r="E77" s="38">
        <f t="shared" si="0"/>
        <v>0.49382716049383862</v>
      </c>
      <c r="F77" s="31">
        <v>10.83</v>
      </c>
      <c r="G77" s="37">
        <f t="shared" si="3"/>
        <v>33.046683046683043</v>
      </c>
      <c r="H77" s="31">
        <v>9.7799999999999994</v>
      </c>
      <c r="I77" s="34">
        <f t="shared" si="4"/>
        <v>9.6952908587257678</v>
      </c>
      <c r="J77" s="57">
        <v>45170</v>
      </c>
      <c r="K77" s="31" t="s">
        <v>437</v>
      </c>
      <c r="L77" s="31">
        <v>9.2100000000000009</v>
      </c>
      <c r="M77" s="31" t="s">
        <v>425</v>
      </c>
      <c r="N77" s="31" t="s">
        <v>418</v>
      </c>
      <c r="O77" s="31" t="s">
        <v>418</v>
      </c>
      <c r="P77" s="31" t="s">
        <v>441</v>
      </c>
      <c r="Q77" s="31"/>
    </row>
    <row r="78" spans="1:17" x14ac:dyDescent="0.2">
      <c r="A78" s="33">
        <v>44805</v>
      </c>
      <c r="B78" s="31" t="s">
        <v>635</v>
      </c>
      <c r="C78" s="31">
        <v>12.82</v>
      </c>
      <c r="D78" s="31">
        <v>13</v>
      </c>
      <c r="E78" s="38">
        <f t="shared" si="0"/>
        <v>1.4040561622464875</v>
      </c>
      <c r="F78" s="31">
        <v>16.34</v>
      </c>
      <c r="G78" s="37">
        <f t="shared" si="3"/>
        <v>25.692307692307693</v>
      </c>
      <c r="H78" s="31">
        <v>15.3</v>
      </c>
      <c r="I78" s="50">
        <f t="shared" si="4"/>
        <v>6.3647490820073385</v>
      </c>
      <c r="J78" s="57">
        <v>45170</v>
      </c>
      <c r="K78" s="31" t="s">
        <v>437</v>
      </c>
      <c r="L78" s="31">
        <v>15.24</v>
      </c>
      <c r="M78" s="31" t="s">
        <v>425</v>
      </c>
      <c r="N78" s="31" t="s">
        <v>418</v>
      </c>
      <c r="O78" s="31" t="s">
        <v>418</v>
      </c>
      <c r="P78" s="31" t="s">
        <v>441</v>
      </c>
      <c r="Q78" s="31"/>
    </row>
    <row r="79" spans="1:17" x14ac:dyDescent="0.2">
      <c r="A79" s="33">
        <v>44805</v>
      </c>
      <c r="B79" s="31" t="s">
        <v>636</v>
      </c>
      <c r="C79" s="31">
        <v>1.1499999999999999</v>
      </c>
      <c r="D79" s="31">
        <v>1.17</v>
      </c>
      <c r="E79" s="38">
        <f t="shared" si="0"/>
        <v>1.7391304347826104</v>
      </c>
      <c r="F79" s="31">
        <v>1.4</v>
      </c>
      <c r="G79" s="37">
        <f t="shared" si="3"/>
        <v>19.658119658119659</v>
      </c>
      <c r="H79" s="31">
        <v>1.33</v>
      </c>
      <c r="I79" s="50">
        <f t="shared" si="4"/>
        <v>4.9999999999999893</v>
      </c>
      <c r="J79" s="57">
        <v>45170</v>
      </c>
      <c r="K79" s="31" t="s">
        <v>437</v>
      </c>
      <c r="L79" s="31">
        <v>1.34</v>
      </c>
      <c r="M79" s="31" t="s">
        <v>400</v>
      </c>
      <c r="N79" s="31" t="s">
        <v>418</v>
      </c>
      <c r="O79" s="31" t="s">
        <v>418</v>
      </c>
      <c r="P79" s="31" t="s">
        <v>463</v>
      </c>
      <c r="Q79" s="31"/>
    </row>
    <row r="80" spans="1:17" x14ac:dyDescent="0.2">
      <c r="A80" s="33">
        <v>44805</v>
      </c>
      <c r="B80" s="31" t="s">
        <v>637</v>
      </c>
      <c r="C80" s="31">
        <v>2.3199999999999998</v>
      </c>
      <c r="D80" s="31">
        <v>2.36</v>
      </c>
      <c r="E80" s="38">
        <f t="shared" si="0"/>
        <v>1.7241379310344844</v>
      </c>
      <c r="F80" s="31">
        <v>2.85</v>
      </c>
      <c r="G80" s="37">
        <f t="shared" si="3"/>
        <v>20.762711864406789</v>
      </c>
      <c r="H80" s="31">
        <v>2.65</v>
      </c>
      <c r="I80" s="50">
        <f t="shared" si="4"/>
        <v>7.0175438596491295</v>
      </c>
      <c r="J80" s="57">
        <v>45170</v>
      </c>
      <c r="K80" s="31" t="s">
        <v>437</v>
      </c>
      <c r="L80" s="31">
        <v>2.65</v>
      </c>
      <c r="M80" s="31" t="s">
        <v>449</v>
      </c>
      <c r="N80" s="31" t="s">
        <v>618</v>
      </c>
      <c r="O80" s="31" t="s">
        <v>418</v>
      </c>
      <c r="P80" s="31" t="s">
        <v>441</v>
      </c>
      <c r="Q80" s="31"/>
    </row>
    <row r="81" spans="1:17" x14ac:dyDescent="0.2">
      <c r="A81" s="33">
        <v>44805</v>
      </c>
      <c r="B81" s="31" t="s">
        <v>638</v>
      </c>
      <c r="C81" s="31">
        <v>2.7</v>
      </c>
      <c r="D81" s="31">
        <v>2.73</v>
      </c>
      <c r="E81" s="38">
        <f t="shared" si="0"/>
        <v>1.1111111111111038</v>
      </c>
      <c r="F81" s="31">
        <v>3.18</v>
      </c>
      <c r="G81" s="37">
        <f t="shared" si="3"/>
        <v>16.483516483516489</v>
      </c>
      <c r="H81" s="31">
        <v>3.02</v>
      </c>
      <c r="I81" s="50">
        <f t="shared" si="4"/>
        <v>5.0314465408805074</v>
      </c>
      <c r="J81" s="57">
        <v>45170</v>
      </c>
      <c r="K81" s="31" t="s">
        <v>437</v>
      </c>
      <c r="L81" s="31">
        <v>3.02</v>
      </c>
      <c r="M81" s="31" t="s">
        <v>449</v>
      </c>
      <c r="N81" s="31" t="s">
        <v>418</v>
      </c>
      <c r="O81" s="31" t="s">
        <v>418</v>
      </c>
      <c r="P81" s="31" t="s">
        <v>441</v>
      </c>
      <c r="Q81" s="31"/>
    </row>
    <row r="82" spans="1:17" x14ac:dyDescent="0.2">
      <c r="A82" s="33">
        <v>44805</v>
      </c>
      <c r="B82" s="31" t="s">
        <v>639</v>
      </c>
      <c r="C82" s="31">
        <v>9.64</v>
      </c>
      <c r="D82" s="31">
        <v>10.1</v>
      </c>
      <c r="E82" s="38">
        <f t="shared" si="0"/>
        <v>4.7717842323651354</v>
      </c>
      <c r="F82" s="31">
        <v>10.87</v>
      </c>
      <c r="G82" s="37">
        <f t="shared" si="3"/>
        <v>7.6237623762376199</v>
      </c>
      <c r="H82" s="31">
        <v>10.7</v>
      </c>
      <c r="I82" s="50">
        <f t="shared" si="4"/>
        <v>1.5639374425022994</v>
      </c>
      <c r="J82" s="57">
        <v>45170</v>
      </c>
      <c r="K82" s="31" t="s">
        <v>437</v>
      </c>
      <c r="L82" s="31">
        <v>10.65</v>
      </c>
      <c r="M82" s="31" t="s">
        <v>425</v>
      </c>
      <c r="N82" s="31" t="s">
        <v>418</v>
      </c>
      <c r="O82" s="31" t="s">
        <v>418</v>
      </c>
      <c r="P82" s="31" t="s">
        <v>441</v>
      </c>
      <c r="Q82" s="31"/>
    </row>
    <row r="83" spans="1:17" x14ac:dyDescent="0.2">
      <c r="A83" s="33">
        <v>46631</v>
      </c>
      <c r="B83" s="31" t="s">
        <v>529</v>
      </c>
      <c r="C83" s="31">
        <v>2.65</v>
      </c>
      <c r="D83" s="31">
        <v>2.65</v>
      </c>
      <c r="E83" s="38">
        <f t="shared" si="0"/>
        <v>0</v>
      </c>
      <c r="F83" s="31">
        <v>8</v>
      </c>
      <c r="G83" s="37">
        <f t="shared" si="3"/>
        <v>201.88679245283018</v>
      </c>
      <c r="H83" s="31">
        <v>5.15</v>
      </c>
      <c r="I83" s="50">
        <f t="shared" si="4"/>
        <v>35.624999999999993</v>
      </c>
      <c r="J83" s="57">
        <v>46997</v>
      </c>
      <c r="K83" s="31" t="s">
        <v>427</v>
      </c>
      <c r="L83" s="31">
        <v>5.81</v>
      </c>
      <c r="M83" s="31" t="s">
        <v>425</v>
      </c>
      <c r="N83" s="31" t="s">
        <v>345</v>
      </c>
      <c r="O83" s="31" t="s">
        <v>418</v>
      </c>
      <c r="P83" s="31" t="s">
        <v>441</v>
      </c>
      <c r="Q83" s="31"/>
    </row>
    <row r="84" spans="1:17" x14ac:dyDescent="0.2">
      <c r="A84" s="33">
        <v>46997</v>
      </c>
      <c r="B84" s="31" t="s">
        <v>415</v>
      </c>
      <c r="C84" s="31">
        <v>3.14</v>
      </c>
      <c r="D84" s="31">
        <v>4.05</v>
      </c>
      <c r="E84" s="38">
        <f t="shared" si="0"/>
        <v>28.980891719745212</v>
      </c>
      <c r="F84" s="31">
        <v>4.05</v>
      </c>
      <c r="G84" s="37">
        <f t="shared" si="3"/>
        <v>0</v>
      </c>
      <c r="H84" s="31">
        <v>4.13</v>
      </c>
      <c r="I84" s="50">
        <f t="shared" si="4"/>
        <v>-1.9753086419753103</v>
      </c>
      <c r="J84" s="33">
        <v>11202</v>
      </c>
      <c r="K84" s="31" t="s">
        <v>427</v>
      </c>
      <c r="L84" s="31">
        <v>4</v>
      </c>
      <c r="M84" s="31" t="s">
        <v>425</v>
      </c>
      <c r="N84" s="31" t="s">
        <v>418</v>
      </c>
      <c r="O84" s="31" t="s">
        <v>345</v>
      </c>
      <c r="P84" s="31" t="s">
        <v>445</v>
      </c>
      <c r="Q84" s="31"/>
    </row>
    <row r="85" spans="1:17" x14ac:dyDescent="0.2">
      <c r="A85" s="33">
        <v>11202</v>
      </c>
      <c r="B85" s="31" t="s">
        <v>490</v>
      </c>
      <c r="C85" s="31">
        <v>2.4900000000000002</v>
      </c>
      <c r="D85" s="31">
        <v>2.6</v>
      </c>
      <c r="E85" s="38">
        <f t="shared" si="0"/>
        <v>4.4176706827309182</v>
      </c>
      <c r="F85" s="31">
        <v>4.2300000000000004</v>
      </c>
      <c r="G85" s="37">
        <f t="shared" si="3"/>
        <v>62.692307692307701</v>
      </c>
      <c r="H85" s="31">
        <v>3.7</v>
      </c>
      <c r="I85" s="50">
        <f t="shared" si="4"/>
        <v>12.529550827423172</v>
      </c>
      <c r="J85" s="33">
        <v>37165</v>
      </c>
      <c r="K85" s="31" t="s">
        <v>427</v>
      </c>
      <c r="L85" s="31">
        <v>4.1500000000000004</v>
      </c>
      <c r="M85" s="31" t="s">
        <v>400</v>
      </c>
      <c r="N85" s="31" t="s">
        <v>345</v>
      </c>
      <c r="O85" s="31" t="s">
        <v>418</v>
      </c>
      <c r="P85" s="31" t="s">
        <v>441</v>
      </c>
      <c r="Q85" s="31"/>
    </row>
    <row r="86" spans="1:17" x14ac:dyDescent="0.2">
      <c r="A86" s="33">
        <v>37165</v>
      </c>
      <c r="B86" s="31" t="s">
        <v>635</v>
      </c>
      <c r="C86" s="31">
        <v>17.34</v>
      </c>
      <c r="D86" s="31">
        <v>17.5</v>
      </c>
      <c r="E86" s="38">
        <f t="shared" si="0"/>
        <v>0.92272202998846686</v>
      </c>
      <c r="F86" s="31">
        <v>20.25</v>
      </c>
      <c r="G86" s="37">
        <f t="shared" si="3"/>
        <v>15.714285714285714</v>
      </c>
      <c r="H86" s="31">
        <v>19.25</v>
      </c>
      <c r="I86" s="50">
        <f t="shared" si="4"/>
        <v>4.9382716049382713</v>
      </c>
      <c r="J86" s="33">
        <v>37165</v>
      </c>
      <c r="K86" s="31" t="s">
        <v>433</v>
      </c>
      <c r="L86" s="31">
        <v>19.04</v>
      </c>
      <c r="M86" s="31" t="s">
        <v>425</v>
      </c>
      <c r="N86" s="31" t="s">
        <v>418</v>
      </c>
      <c r="O86" s="31" t="s">
        <v>418</v>
      </c>
      <c r="P86" s="31" t="s">
        <v>441</v>
      </c>
      <c r="Q86" s="31"/>
    </row>
    <row r="87" spans="1:17" x14ac:dyDescent="0.2">
      <c r="A87" s="33">
        <v>38626</v>
      </c>
      <c r="B87" s="31" t="s">
        <v>632</v>
      </c>
      <c r="C87" s="31">
        <v>7.02</v>
      </c>
      <c r="D87" s="31">
        <v>7.69</v>
      </c>
      <c r="E87" s="38">
        <f t="shared" si="0"/>
        <v>9.544159544159557</v>
      </c>
      <c r="F87" s="31">
        <v>9.7799999999999994</v>
      </c>
      <c r="G87" s="37">
        <f t="shared" si="3"/>
        <v>27.178153446033797</v>
      </c>
      <c r="H87" s="31">
        <v>8.8699999999999992</v>
      </c>
      <c r="I87" s="50">
        <f t="shared" si="4"/>
        <v>9.3047034764826204</v>
      </c>
      <c r="J87" s="33">
        <v>38991</v>
      </c>
      <c r="K87" s="31" t="s">
        <v>427</v>
      </c>
      <c r="L87" s="31">
        <v>8.67</v>
      </c>
      <c r="M87" s="31" t="s">
        <v>425</v>
      </c>
      <c r="N87" s="31" t="s">
        <v>345</v>
      </c>
      <c r="O87" s="31" t="s">
        <v>418</v>
      </c>
      <c r="P87" s="31" t="s">
        <v>441</v>
      </c>
      <c r="Q87" s="31"/>
    </row>
    <row r="88" spans="1:17" x14ac:dyDescent="0.2">
      <c r="A88" s="33">
        <v>38626</v>
      </c>
      <c r="B88" s="31" t="s">
        <v>640</v>
      </c>
      <c r="C88" s="31">
        <v>9.01</v>
      </c>
      <c r="D88" s="31">
        <v>9.31</v>
      </c>
      <c r="E88" s="38">
        <f t="shared" si="0"/>
        <v>3.3296337402885761</v>
      </c>
      <c r="F88" s="31">
        <v>11.49</v>
      </c>
      <c r="G88" s="37">
        <f t="shared" si="3"/>
        <v>23.415682062298597</v>
      </c>
      <c r="H88" s="31">
        <v>11</v>
      </c>
      <c r="I88" s="50">
        <f t="shared" si="4"/>
        <v>4.2645778938207153</v>
      </c>
      <c r="J88" s="33">
        <v>38991</v>
      </c>
      <c r="K88" s="31" t="s">
        <v>437</v>
      </c>
      <c r="L88" s="31">
        <v>11</v>
      </c>
      <c r="M88" s="31" t="s">
        <v>400</v>
      </c>
      <c r="N88" s="31" t="s">
        <v>418</v>
      </c>
      <c r="O88" s="31" t="s">
        <v>418</v>
      </c>
      <c r="P88" s="31" t="s">
        <v>441</v>
      </c>
      <c r="Q88" s="31"/>
    </row>
    <row r="89" spans="1:17" x14ac:dyDescent="0.2">
      <c r="A89" s="33">
        <v>38626</v>
      </c>
      <c r="B89" s="31" t="s">
        <v>641</v>
      </c>
      <c r="C89" s="31">
        <v>13.63</v>
      </c>
      <c r="D89" s="31">
        <v>13.93</v>
      </c>
      <c r="E89" s="38">
        <f t="shared" si="0"/>
        <v>2.2010271460014592</v>
      </c>
      <c r="F89" s="31">
        <v>15.82</v>
      </c>
      <c r="G89" s="37">
        <f t="shared" si="3"/>
        <v>13.567839195979904</v>
      </c>
      <c r="H89" s="31">
        <v>15.1</v>
      </c>
      <c r="I89" s="50">
        <f t="shared" si="4"/>
        <v>4.5512010113780068</v>
      </c>
      <c r="J89" s="33">
        <v>38991</v>
      </c>
      <c r="K89" s="31" t="s">
        <v>427</v>
      </c>
      <c r="L89" s="31">
        <v>15.25</v>
      </c>
      <c r="M89" s="31" t="s">
        <v>400</v>
      </c>
      <c r="N89" s="31" t="s">
        <v>418</v>
      </c>
      <c r="O89" s="31" t="s">
        <v>345</v>
      </c>
      <c r="P89" s="31" t="s">
        <v>445</v>
      </c>
      <c r="Q89" s="31"/>
    </row>
    <row r="90" spans="1:17" x14ac:dyDescent="0.2">
      <c r="A90" s="33">
        <v>40452</v>
      </c>
      <c r="B90" s="31" t="s">
        <v>392</v>
      </c>
      <c r="C90" s="31">
        <v>7.58</v>
      </c>
      <c r="D90" s="31">
        <v>7.65</v>
      </c>
      <c r="E90" s="38">
        <f t="shared" si="0"/>
        <v>0.92348284960422544</v>
      </c>
      <c r="F90" s="31">
        <v>9.39</v>
      </c>
      <c r="G90" s="37">
        <f t="shared" si="3"/>
        <v>22.745098039215687</v>
      </c>
      <c r="H90" s="31">
        <v>8.8000000000000007</v>
      </c>
      <c r="I90" s="50">
        <f t="shared" si="4"/>
        <v>6.2832800851970152</v>
      </c>
      <c r="J90" s="33">
        <v>40817</v>
      </c>
      <c r="K90" s="31" t="s">
        <v>433</v>
      </c>
      <c r="L90" s="31">
        <v>8.5</v>
      </c>
      <c r="M90" s="31" t="s">
        <v>425</v>
      </c>
      <c r="N90" s="31" t="s">
        <v>345</v>
      </c>
      <c r="O90" s="31" t="s">
        <v>418</v>
      </c>
      <c r="P90" s="31" t="s">
        <v>441</v>
      </c>
      <c r="Q90" s="31"/>
    </row>
    <row r="91" spans="1:17" x14ac:dyDescent="0.2">
      <c r="A91" s="33">
        <v>40452</v>
      </c>
      <c r="B91" s="31" t="s">
        <v>642</v>
      </c>
      <c r="C91" s="31">
        <v>3.23</v>
      </c>
      <c r="D91" s="31">
        <v>3.28</v>
      </c>
      <c r="E91" s="38">
        <f t="shared" si="0"/>
        <v>1.5479876160990658</v>
      </c>
      <c r="F91" s="31">
        <v>3.74</v>
      </c>
      <c r="G91" s="37">
        <f t="shared" si="3"/>
        <v>14.024390243902452</v>
      </c>
      <c r="H91" s="31">
        <v>3.58</v>
      </c>
      <c r="I91" s="50">
        <f t="shared" si="4"/>
        <v>4.2780748663101633</v>
      </c>
      <c r="J91" s="33">
        <v>40817</v>
      </c>
      <c r="K91" s="31" t="s">
        <v>427</v>
      </c>
      <c r="L91" s="31">
        <v>3.57</v>
      </c>
      <c r="M91" s="31" t="s">
        <v>425</v>
      </c>
      <c r="N91" s="31" t="s">
        <v>418</v>
      </c>
      <c r="O91" s="31" t="s">
        <v>345</v>
      </c>
      <c r="P91" s="31" t="s">
        <v>441</v>
      </c>
      <c r="Q91" s="31"/>
    </row>
    <row r="92" spans="1:17" x14ac:dyDescent="0.2">
      <c r="A92" s="33">
        <v>40817</v>
      </c>
      <c r="B92" s="31" t="s">
        <v>643</v>
      </c>
      <c r="C92" s="31">
        <v>15.19</v>
      </c>
      <c r="D92" s="31">
        <v>15.37</v>
      </c>
      <c r="E92" s="38">
        <f t="shared" si="0"/>
        <v>1.1849901250822892</v>
      </c>
      <c r="F92" s="31">
        <v>17.32</v>
      </c>
      <c r="G92" s="37">
        <f t="shared" si="3"/>
        <v>12.687052700065069</v>
      </c>
      <c r="H92" s="31">
        <v>16.72</v>
      </c>
      <c r="I92" s="50">
        <f t="shared" si="4"/>
        <v>3.464203233256359</v>
      </c>
      <c r="J92" s="33">
        <v>41183</v>
      </c>
      <c r="K92" s="31" t="s">
        <v>437</v>
      </c>
      <c r="L92" s="31">
        <v>16.73</v>
      </c>
      <c r="M92" s="31" t="s">
        <v>425</v>
      </c>
      <c r="N92" s="31" t="s">
        <v>418</v>
      </c>
      <c r="O92" s="31" t="s">
        <v>418</v>
      </c>
      <c r="P92" s="31" t="s">
        <v>441</v>
      </c>
      <c r="Q92" s="31"/>
    </row>
    <row r="93" spans="1:17" x14ac:dyDescent="0.2">
      <c r="A93" s="33">
        <v>40817</v>
      </c>
      <c r="B93" s="31" t="s">
        <v>610</v>
      </c>
      <c r="C93" s="31">
        <v>3.59</v>
      </c>
      <c r="D93" s="31">
        <v>3.6</v>
      </c>
      <c r="E93" s="38">
        <f t="shared" si="0"/>
        <v>0.27855153203343264</v>
      </c>
      <c r="F93" s="31">
        <v>4.21</v>
      </c>
      <c r="G93" s="37">
        <f t="shared" si="3"/>
        <v>16.944444444444439</v>
      </c>
      <c r="H93" s="31">
        <v>3.95</v>
      </c>
      <c r="I93" s="50">
        <f t="shared" si="4"/>
        <v>6.1757719714964319</v>
      </c>
      <c r="J93" s="33">
        <v>41183</v>
      </c>
      <c r="K93" s="31" t="s">
        <v>437</v>
      </c>
      <c r="L93" s="31">
        <v>3.96</v>
      </c>
      <c r="M93" s="31" t="s">
        <v>400</v>
      </c>
      <c r="N93" s="31" t="s">
        <v>345</v>
      </c>
      <c r="O93" s="31" t="s">
        <v>418</v>
      </c>
      <c r="P93" s="31" t="s">
        <v>441</v>
      </c>
      <c r="Q93" s="31"/>
    </row>
    <row r="94" spans="1:17" x14ac:dyDescent="0.2">
      <c r="A94" s="33">
        <v>43374</v>
      </c>
      <c r="B94" s="31" t="s">
        <v>554</v>
      </c>
      <c r="C94" s="31">
        <v>1.87</v>
      </c>
      <c r="D94" s="31">
        <v>2.1</v>
      </c>
      <c r="E94" s="38">
        <f t="shared" si="0"/>
        <v>12.299465240641709</v>
      </c>
      <c r="F94" s="31">
        <v>2.4500000000000002</v>
      </c>
      <c r="G94" s="37">
        <f t="shared" si="3"/>
        <v>16.666666666666671</v>
      </c>
      <c r="H94" s="31">
        <v>2.2999999999999998</v>
      </c>
      <c r="I94" s="50">
        <f t="shared" si="4"/>
        <v>6.1224489795918506</v>
      </c>
      <c r="J94" s="33">
        <v>43739</v>
      </c>
      <c r="K94" s="31" t="s">
        <v>437</v>
      </c>
      <c r="L94" s="31">
        <v>2.25</v>
      </c>
      <c r="M94" s="31" t="s">
        <v>425</v>
      </c>
      <c r="N94" s="31" t="s">
        <v>345</v>
      </c>
      <c r="O94" s="31" t="s">
        <v>418</v>
      </c>
      <c r="P94" s="31" t="s">
        <v>441</v>
      </c>
      <c r="Q94" s="31"/>
    </row>
    <row r="95" spans="1:17" x14ac:dyDescent="0.2">
      <c r="A95" s="33">
        <v>44105</v>
      </c>
      <c r="B95" s="31" t="s">
        <v>644</v>
      </c>
      <c r="C95" s="31">
        <v>2.21</v>
      </c>
      <c r="D95" s="31">
        <v>3.33</v>
      </c>
      <c r="E95" s="38">
        <f t="shared" si="0"/>
        <v>50.67873303167422</v>
      </c>
      <c r="F95" s="31">
        <v>4.7699999999999996</v>
      </c>
      <c r="G95" s="37">
        <f t="shared" si="3"/>
        <v>43.243243243243228</v>
      </c>
      <c r="H95" s="31">
        <v>4.29</v>
      </c>
      <c r="I95" s="50">
        <f t="shared" si="4"/>
        <v>10.062893081760997</v>
      </c>
      <c r="J95" s="33">
        <v>44470</v>
      </c>
      <c r="K95" s="31" t="s">
        <v>427</v>
      </c>
      <c r="L95" s="31">
        <v>3.7</v>
      </c>
      <c r="M95" s="31" t="s">
        <v>425</v>
      </c>
      <c r="N95" s="31" t="s">
        <v>418</v>
      </c>
      <c r="O95" s="31" t="s">
        <v>418</v>
      </c>
      <c r="P95" s="31" t="s">
        <v>441</v>
      </c>
      <c r="Q95" s="31"/>
    </row>
    <row r="96" spans="1:17" x14ac:dyDescent="0.2">
      <c r="A96" s="33">
        <v>44105</v>
      </c>
      <c r="B96" s="31" t="s">
        <v>645</v>
      </c>
      <c r="C96" s="31">
        <v>7.76</v>
      </c>
      <c r="D96" s="31">
        <v>7.77</v>
      </c>
      <c r="E96" s="38">
        <f t="shared" si="0"/>
        <v>0.12886597938144057</v>
      </c>
      <c r="F96" s="31">
        <v>9.44</v>
      </c>
      <c r="G96" s="37">
        <f t="shared" si="3"/>
        <v>21.492921492921493</v>
      </c>
      <c r="H96" s="31">
        <v>8.6999999999999993</v>
      </c>
      <c r="I96" s="50">
        <f t="shared" si="4"/>
        <v>7.8389830508474603</v>
      </c>
      <c r="J96" s="33">
        <v>44470</v>
      </c>
      <c r="K96" s="31" t="s">
        <v>437</v>
      </c>
      <c r="L96" s="31">
        <v>8.77</v>
      </c>
      <c r="M96" s="31" t="s">
        <v>400</v>
      </c>
      <c r="N96" s="31" t="s">
        <v>418</v>
      </c>
      <c r="O96" s="31" t="s">
        <v>345</v>
      </c>
      <c r="P96" s="31" t="s">
        <v>445</v>
      </c>
      <c r="Q96" s="31"/>
    </row>
    <row r="97" spans="1:17" x14ac:dyDescent="0.2">
      <c r="A97" s="33">
        <v>45566</v>
      </c>
      <c r="B97" s="31" t="s">
        <v>646</v>
      </c>
      <c r="C97" s="31">
        <v>1.75</v>
      </c>
      <c r="D97" s="31">
        <v>1.85</v>
      </c>
      <c r="E97" s="38">
        <f t="shared" si="0"/>
        <v>5.7142857142857197</v>
      </c>
      <c r="F97" s="31">
        <v>3.53</v>
      </c>
      <c r="G97" s="37">
        <f t="shared" si="3"/>
        <v>90.810810810810793</v>
      </c>
      <c r="H97" s="31">
        <v>3.09</v>
      </c>
      <c r="I97" s="50">
        <f t="shared" si="4"/>
        <v>12.464589235127479</v>
      </c>
      <c r="J97" s="33">
        <v>45931</v>
      </c>
      <c r="K97" s="31" t="s">
        <v>427</v>
      </c>
      <c r="L97" s="31">
        <v>3.04</v>
      </c>
      <c r="M97" s="31" t="s">
        <v>400</v>
      </c>
      <c r="N97" s="31" t="s">
        <v>331</v>
      </c>
      <c r="O97" s="31" t="s">
        <v>418</v>
      </c>
      <c r="P97" s="31" t="s">
        <v>441</v>
      </c>
      <c r="Q97" s="31"/>
    </row>
    <row r="98" spans="1:17" x14ac:dyDescent="0.2">
      <c r="A98" s="33">
        <v>45931</v>
      </c>
      <c r="B98" s="31" t="s">
        <v>647</v>
      </c>
      <c r="C98" s="31">
        <v>1.18</v>
      </c>
      <c r="D98" s="31">
        <v>1.26</v>
      </c>
      <c r="E98" s="38">
        <f t="shared" si="0"/>
        <v>6.7796610169491593</v>
      </c>
      <c r="F98" s="31">
        <v>1.49</v>
      </c>
      <c r="G98" s="37">
        <f t="shared" si="3"/>
        <v>18.253968253968253</v>
      </c>
      <c r="H98" s="31">
        <v>1.45</v>
      </c>
      <c r="I98" s="50">
        <f t="shared" si="4"/>
        <v>2.6845637583892641</v>
      </c>
      <c r="J98" s="33">
        <v>46296</v>
      </c>
      <c r="K98" s="31" t="s">
        <v>427</v>
      </c>
      <c r="L98" s="31">
        <v>1.5</v>
      </c>
      <c r="M98" s="31" t="s">
        <v>400</v>
      </c>
      <c r="N98" s="31" t="s">
        <v>418</v>
      </c>
      <c r="O98" s="31" t="s">
        <v>345</v>
      </c>
      <c r="P98" s="31" t="s">
        <v>381</v>
      </c>
      <c r="Q98" s="31"/>
    </row>
    <row r="99" spans="1:17" x14ac:dyDescent="0.2">
      <c r="A99" s="33">
        <v>46296</v>
      </c>
      <c r="B99" s="31" t="s">
        <v>648</v>
      </c>
      <c r="C99" s="31">
        <v>6.41</v>
      </c>
      <c r="D99" s="31">
        <v>6.81</v>
      </c>
      <c r="E99" s="38">
        <f t="shared" si="0"/>
        <v>6.2402496099843914</v>
      </c>
      <c r="F99" s="31">
        <v>7.57</v>
      </c>
      <c r="G99" s="37">
        <f t="shared" si="3"/>
        <v>11.160058737151259</v>
      </c>
      <c r="H99" s="31">
        <v>7.68</v>
      </c>
      <c r="I99" s="50">
        <f t="shared" si="4"/>
        <v>-1.4531043593130704</v>
      </c>
      <c r="J99" s="33">
        <v>46661</v>
      </c>
      <c r="K99" s="31" t="s">
        <v>427</v>
      </c>
      <c r="L99" s="31">
        <v>7.11</v>
      </c>
      <c r="M99" s="31" t="s">
        <v>400</v>
      </c>
      <c r="N99" s="31" t="s">
        <v>418</v>
      </c>
      <c r="O99" s="31" t="s">
        <v>345</v>
      </c>
      <c r="P99" s="31" t="s">
        <v>381</v>
      </c>
      <c r="Q99" s="31"/>
    </row>
    <row r="100" spans="1:17" x14ac:dyDescent="0.2">
      <c r="A100" s="33">
        <v>46661</v>
      </c>
      <c r="B100" s="31" t="s">
        <v>649</v>
      </c>
      <c r="C100" s="31">
        <v>3.52</v>
      </c>
      <c r="D100" s="31">
        <v>5.01</v>
      </c>
      <c r="E100" s="38">
        <f t="shared" si="0"/>
        <v>42.329545454545446</v>
      </c>
      <c r="F100" s="31">
        <v>4.42</v>
      </c>
      <c r="G100" s="37">
        <f t="shared" si="3"/>
        <v>-11.776447105788421</v>
      </c>
      <c r="H100" s="31">
        <v>4.21</v>
      </c>
      <c r="I100" s="50">
        <f t="shared" si="4"/>
        <v>4.7511312217194561</v>
      </c>
      <c r="J100" s="33">
        <v>47027</v>
      </c>
      <c r="K100" s="31" t="s">
        <v>427</v>
      </c>
      <c r="L100" s="31">
        <v>4.1900000000000004</v>
      </c>
      <c r="M100" s="31" t="s">
        <v>400</v>
      </c>
      <c r="N100" s="31" t="s">
        <v>345</v>
      </c>
      <c r="O100" s="31" t="s">
        <v>418</v>
      </c>
      <c r="P100" s="31" t="s">
        <v>441</v>
      </c>
      <c r="Q100" s="31"/>
    </row>
    <row r="101" spans="1:17" x14ac:dyDescent="0.2">
      <c r="A101" s="33">
        <v>47027</v>
      </c>
      <c r="B101" s="31"/>
      <c r="C101" s="31"/>
      <c r="D101" s="31"/>
      <c r="E101" s="38"/>
      <c r="F101" s="31"/>
      <c r="G101" s="37"/>
      <c r="H101" s="31"/>
      <c r="I101" s="50"/>
      <c r="J101" s="33">
        <v>37196</v>
      </c>
      <c r="K101" s="31"/>
      <c r="L101" s="31"/>
      <c r="M101" s="31"/>
      <c r="N101" s="31"/>
      <c r="O101" s="31"/>
      <c r="P101" s="31"/>
      <c r="Q101" s="31"/>
    </row>
    <row r="102" spans="1:17" x14ac:dyDescent="0.2">
      <c r="A102" s="33"/>
      <c r="B102" s="31"/>
      <c r="C102" s="31"/>
      <c r="D102" s="31"/>
      <c r="E102" s="38"/>
      <c r="F102" s="31"/>
      <c r="G102" s="37"/>
      <c r="H102" s="31"/>
      <c r="I102" s="50"/>
      <c r="J102" s="31"/>
      <c r="K102" s="31"/>
      <c r="L102" s="31"/>
      <c r="M102" s="31"/>
      <c r="N102" s="31"/>
      <c r="O102" s="31"/>
      <c r="P102" s="31"/>
      <c r="Q102" s="31"/>
    </row>
    <row r="103" spans="1:17" x14ac:dyDescent="0.2">
      <c r="A103" s="33"/>
      <c r="B103" s="31"/>
      <c r="C103" s="31"/>
      <c r="D103" s="31"/>
      <c r="E103" s="38"/>
      <c r="F103" s="31"/>
      <c r="G103" s="37"/>
      <c r="H103" s="31"/>
      <c r="I103" s="50"/>
      <c r="J103" s="31"/>
      <c r="K103" s="31"/>
      <c r="L103" s="31"/>
      <c r="M103" s="31"/>
      <c r="N103" s="31"/>
      <c r="O103" s="31"/>
      <c r="P103" s="31"/>
      <c r="Q103" s="31"/>
    </row>
    <row r="104" spans="1:17" x14ac:dyDescent="0.2">
      <c r="A104" s="33"/>
      <c r="B104" s="31"/>
      <c r="C104" s="31"/>
      <c r="D104" s="31"/>
      <c r="E104" s="38"/>
      <c r="F104" s="31"/>
      <c r="G104" s="37"/>
      <c r="H104" s="31"/>
      <c r="I104" s="50"/>
      <c r="J104" s="31"/>
      <c r="K104" s="31"/>
      <c r="L104" s="31"/>
      <c r="M104" s="31"/>
      <c r="N104" s="31"/>
      <c r="O104" s="31"/>
      <c r="P104" s="31"/>
      <c r="Q104" s="31"/>
    </row>
    <row r="105" spans="1:17" x14ac:dyDescent="0.2">
      <c r="A105" s="33"/>
      <c r="B105" s="31"/>
      <c r="C105" s="31"/>
      <c r="D105" s="31"/>
      <c r="E105" s="38"/>
      <c r="F105" s="31"/>
      <c r="G105" s="37"/>
      <c r="H105" s="31"/>
      <c r="I105" s="50"/>
      <c r="J105" s="31"/>
      <c r="K105" s="31"/>
      <c r="L105" s="31"/>
      <c r="M105" s="31"/>
      <c r="N105" s="31"/>
      <c r="O105" s="31"/>
      <c r="P105" s="31"/>
      <c r="Q105" s="31"/>
    </row>
    <row r="106" spans="1:17" x14ac:dyDescent="0.2">
      <c r="A106" s="33"/>
      <c r="B106" s="31"/>
      <c r="C106" s="31"/>
      <c r="D106" s="31"/>
      <c r="E106" s="38"/>
      <c r="F106" s="31"/>
      <c r="G106" s="37"/>
      <c r="H106" s="31"/>
      <c r="I106" s="50"/>
      <c r="J106" s="31"/>
      <c r="K106" s="31"/>
      <c r="L106" s="31"/>
      <c r="M106" s="31"/>
      <c r="N106" s="31"/>
      <c r="O106" s="31"/>
      <c r="P106" s="31"/>
      <c r="Q106" s="31"/>
    </row>
    <row r="107" spans="1:17" x14ac:dyDescent="0.2">
      <c r="A107" s="33"/>
      <c r="B107" s="31"/>
      <c r="C107" s="31"/>
      <c r="D107" s="31"/>
      <c r="E107" s="38"/>
      <c r="F107" s="31"/>
      <c r="G107" s="37"/>
      <c r="H107" s="31"/>
      <c r="I107" s="50"/>
      <c r="J107" s="31"/>
      <c r="K107" s="31"/>
      <c r="L107" s="31"/>
      <c r="M107" s="31"/>
      <c r="N107" s="31"/>
      <c r="O107" s="31"/>
      <c r="P107" s="31"/>
      <c r="Q107" s="31"/>
    </row>
    <row r="108" spans="1:17" x14ac:dyDescent="0.2">
      <c r="A108" s="33"/>
      <c r="B108" s="31"/>
      <c r="C108" s="31"/>
      <c r="D108" s="31"/>
      <c r="E108" s="38"/>
      <c r="F108" s="31"/>
      <c r="G108" s="37"/>
      <c r="H108" s="31"/>
      <c r="I108" s="50"/>
      <c r="J108" s="31"/>
      <c r="K108" s="31"/>
      <c r="L108" s="31"/>
      <c r="M108" s="31"/>
      <c r="N108" s="31"/>
      <c r="O108" s="31"/>
      <c r="P108" s="31"/>
      <c r="Q108" s="31"/>
    </row>
    <row r="109" spans="1:17" x14ac:dyDescent="0.2">
      <c r="A109" s="33"/>
      <c r="B109" s="31"/>
      <c r="C109" s="31"/>
      <c r="D109" s="31"/>
      <c r="E109" s="38"/>
      <c r="F109" s="31"/>
      <c r="G109" s="37"/>
      <c r="H109" s="31"/>
      <c r="I109" s="50"/>
      <c r="J109" s="31"/>
      <c r="K109" s="31"/>
      <c r="L109" s="31"/>
      <c r="M109" s="31"/>
      <c r="N109" s="31"/>
      <c r="O109" s="31"/>
      <c r="P109" s="31"/>
      <c r="Q109" s="31"/>
    </row>
    <row r="110" spans="1:17" x14ac:dyDescent="0.2">
      <c r="A110" s="33"/>
      <c r="B110" s="31"/>
      <c r="C110" s="31"/>
      <c r="D110" s="31"/>
      <c r="E110" s="38"/>
      <c r="F110" s="31"/>
      <c r="G110" s="37"/>
      <c r="H110" s="31"/>
      <c r="I110" s="50"/>
      <c r="J110" s="31"/>
      <c r="K110" s="31"/>
      <c r="L110" s="31"/>
      <c r="M110" s="31"/>
      <c r="N110" s="31"/>
      <c r="O110" s="31"/>
      <c r="P110" s="31"/>
      <c r="Q110" s="31"/>
    </row>
    <row r="111" spans="1:17" x14ac:dyDescent="0.2">
      <c r="A111" s="31" t="s">
        <v>107</v>
      </c>
      <c r="B111" s="31" t="s">
        <v>650</v>
      </c>
      <c r="C111" s="31"/>
      <c r="D111" s="31"/>
      <c r="E111" s="38"/>
      <c r="F111" s="31"/>
      <c r="G111" s="38"/>
      <c r="H111" s="31"/>
      <c r="I111" s="50"/>
      <c r="J111" s="31"/>
      <c r="K111" s="31"/>
      <c r="L111" s="31"/>
      <c r="M111" s="31"/>
      <c r="N111" s="31"/>
      <c r="O111" s="31"/>
      <c r="P111" s="31"/>
      <c r="Q111" s="31"/>
    </row>
    <row r="112" spans="1:17" x14ac:dyDescent="0.2">
      <c r="A112" s="18">
        <v>41487</v>
      </c>
      <c r="B112" t="s">
        <v>651</v>
      </c>
      <c r="G112" s="14" t="s">
        <v>652</v>
      </c>
    </row>
    <row r="113" spans="1:9" x14ac:dyDescent="0.2">
      <c r="A113" s="18">
        <v>41487</v>
      </c>
      <c r="B113" t="s">
        <v>653</v>
      </c>
      <c r="G113" s="14" t="b">
        <v>1</v>
      </c>
    </row>
    <row r="114" spans="1:9" x14ac:dyDescent="0.2">
      <c r="A114" s="18">
        <v>44044</v>
      </c>
      <c r="B114" t="s">
        <v>654</v>
      </c>
      <c r="G114" s="14" t="s">
        <v>655</v>
      </c>
    </row>
    <row r="115" spans="1:9" x14ac:dyDescent="0.2">
      <c r="A115" t="s">
        <v>656</v>
      </c>
      <c r="B115" t="s">
        <v>657</v>
      </c>
    </row>
    <row r="116" spans="1:9" x14ac:dyDescent="0.2">
      <c r="A116" s="18">
        <v>46235</v>
      </c>
      <c r="B116" t="s">
        <v>658</v>
      </c>
    </row>
    <row r="117" spans="1:9" x14ac:dyDescent="0.2">
      <c r="A117" s="18">
        <v>39692</v>
      </c>
      <c r="B117" t="s">
        <v>659</v>
      </c>
    </row>
    <row r="119" spans="1:9" x14ac:dyDescent="0.2">
      <c r="A119" s="88" t="s">
        <v>660</v>
      </c>
    </row>
    <row r="121" spans="1:9" ht="24" x14ac:dyDescent="0.3">
      <c r="A121" s="70" t="s">
        <v>661</v>
      </c>
      <c r="C121" s="35" t="s">
        <v>662</v>
      </c>
      <c r="G121" s="30"/>
      <c r="I121" s="30"/>
    </row>
    <row r="122" spans="1:9" x14ac:dyDescent="0.2">
      <c r="C122" s="35"/>
      <c r="G122" s="30"/>
      <c r="I122" s="30"/>
    </row>
    <row r="123" spans="1:9" ht="19" x14ac:dyDescent="0.25">
      <c r="A123" s="6" t="s">
        <v>663</v>
      </c>
      <c r="B123" s="6"/>
      <c r="C123" s="67"/>
      <c r="D123" s="6"/>
      <c r="E123" s="68"/>
      <c r="F123" s="6"/>
      <c r="G123" s="69"/>
      <c r="H123" s="6"/>
      <c r="I123" s="69"/>
    </row>
    <row r="124" spans="1:9" x14ac:dyDescent="0.2">
      <c r="C124" s="35"/>
      <c r="G124" s="30"/>
      <c r="I124" s="30"/>
    </row>
    <row r="125" spans="1:9" x14ac:dyDescent="0.2">
      <c r="C125" s="35"/>
      <c r="G125" s="30"/>
      <c r="I125" s="30"/>
    </row>
    <row r="126" spans="1:9" x14ac:dyDescent="0.2">
      <c r="C126" s="35"/>
      <c r="G126" s="30"/>
      <c r="I126" s="30"/>
    </row>
    <row r="127" spans="1:9" x14ac:dyDescent="0.2">
      <c r="C127" s="35"/>
      <c r="G127" s="30"/>
      <c r="I127" s="30"/>
    </row>
    <row r="128" spans="1:9" x14ac:dyDescent="0.2">
      <c r="C128" s="35"/>
      <c r="G128" s="30"/>
      <c r="I128" s="30"/>
    </row>
    <row r="129" spans="3:9" x14ac:dyDescent="0.2">
      <c r="C129" s="35"/>
      <c r="G129" s="30"/>
      <c r="I129" s="30"/>
    </row>
    <row r="130" spans="3:9" x14ac:dyDescent="0.2">
      <c r="C130" s="35"/>
      <c r="G130" s="30"/>
      <c r="I130" s="30"/>
    </row>
    <row r="131" spans="3:9" x14ac:dyDescent="0.2">
      <c r="C131" s="35"/>
      <c r="G131" s="30"/>
      <c r="I131" s="30"/>
    </row>
    <row r="132" spans="3:9" x14ac:dyDescent="0.2">
      <c r="C132" s="35"/>
      <c r="G132" s="30"/>
      <c r="I132" s="30"/>
    </row>
    <row r="133" spans="3:9" x14ac:dyDescent="0.2">
      <c r="C133" s="35"/>
      <c r="G133" s="30"/>
      <c r="I133" s="30"/>
    </row>
    <row r="134" spans="3:9" x14ac:dyDescent="0.2">
      <c r="C134" s="35"/>
      <c r="G134" s="30"/>
      <c r="I134" s="30"/>
    </row>
    <row r="135" spans="3:9" x14ac:dyDescent="0.2">
      <c r="C135" s="35"/>
      <c r="G135" s="30"/>
      <c r="I135" s="30"/>
    </row>
    <row r="136" spans="3:9" x14ac:dyDescent="0.2">
      <c r="C136" s="35"/>
      <c r="G136" s="30"/>
      <c r="I136" s="30"/>
    </row>
    <row r="173" spans="1:1" x14ac:dyDescent="0.2">
      <c r="A173" t="s">
        <v>664</v>
      </c>
    </row>
    <row r="218" spans="1:4" x14ac:dyDescent="0.2">
      <c r="A218" t="s">
        <v>665</v>
      </c>
      <c r="D218" t="s">
        <v>398</v>
      </c>
    </row>
  </sheetData>
  <pageMargins left="0.7" right="0.7" top="0.75" bottom="0.75" header="0.3" footer="0.3"/>
  <pageSetup paperSize="9" orientation="portrait" horizontalDpi="0" verticalDpi="0"/>
  <drawing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48"/>
  <sheetViews>
    <sheetView topLeftCell="A8" workbookViewId="0">
      <selection activeCell="P37" sqref="P37"/>
    </sheetView>
  </sheetViews>
  <sheetFormatPr baseColWidth="10" defaultColWidth="11" defaultRowHeight="16" x14ac:dyDescent="0.2"/>
  <cols>
    <col min="5" max="5" width="13.83203125" style="14" customWidth="1"/>
    <col min="6" max="6" width="13.83203125" customWidth="1"/>
    <col min="7" max="7" width="14.1640625" style="14" customWidth="1"/>
    <col min="8" max="8" width="15.33203125" customWidth="1"/>
    <col min="9" max="9" width="17.6640625" style="14" customWidth="1"/>
    <col min="10" max="10" width="13.6640625" style="75" customWidth="1"/>
    <col min="11" max="11" width="12.5" style="75" customWidth="1"/>
    <col min="12" max="12" width="15.6640625" style="75" customWidth="1"/>
    <col min="13" max="13" width="20.83203125" style="75" customWidth="1"/>
    <col min="14" max="14" width="14.1640625" style="75" customWidth="1"/>
    <col min="15" max="15" width="18.83203125" style="75" customWidth="1"/>
    <col min="16" max="16" width="18.33203125" customWidth="1"/>
  </cols>
  <sheetData>
    <row r="1" spans="1:17" ht="39" x14ac:dyDescent="0.2">
      <c r="A1" s="13" t="s">
        <v>666</v>
      </c>
      <c r="C1" s="35"/>
      <c r="J1" s="94"/>
      <c r="K1" s="94"/>
      <c r="N1" s="94"/>
    </row>
    <row r="2" spans="1:17" x14ac:dyDescent="0.2">
      <c r="C2" s="35"/>
      <c r="J2" s="94"/>
      <c r="K2" s="94"/>
      <c r="N2" s="94"/>
    </row>
    <row r="3" spans="1:17" x14ac:dyDescent="0.2">
      <c r="A3" s="31" t="s">
        <v>107</v>
      </c>
      <c r="B3" s="31" t="s">
        <v>108</v>
      </c>
      <c r="C3" s="36" t="s">
        <v>359</v>
      </c>
      <c r="D3" s="31" t="s">
        <v>153</v>
      </c>
      <c r="E3" s="37" t="s">
        <v>360</v>
      </c>
      <c r="F3" s="31" t="s">
        <v>158</v>
      </c>
      <c r="G3" s="37" t="s">
        <v>361</v>
      </c>
      <c r="H3" s="31" t="s">
        <v>161</v>
      </c>
      <c r="I3" s="37" t="s">
        <v>362</v>
      </c>
      <c r="J3" s="32" t="s">
        <v>107</v>
      </c>
      <c r="K3" s="32" t="s">
        <v>364</v>
      </c>
      <c r="L3" s="31" t="s">
        <v>365</v>
      </c>
      <c r="M3" s="32" t="s">
        <v>366</v>
      </c>
      <c r="N3" s="31" t="s">
        <v>367</v>
      </c>
      <c r="O3" s="32" t="s">
        <v>368</v>
      </c>
      <c r="P3" s="32" t="s">
        <v>573</v>
      </c>
      <c r="Q3" s="32" t="s">
        <v>574</v>
      </c>
    </row>
    <row r="4" spans="1:17" x14ac:dyDescent="0.2">
      <c r="A4" s="33">
        <v>43313</v>
      </c>
      <c r="B4" s="31" t="s">
        <v>667</v>
      </c>
      <c r="C4" s="31">
        <v>8.2799999999999994</v>
      </c>
      <c r="D4" s="31">
        <v>11.57</v>
      </c>
      <c r="E4" s="38">
        <f t="shared" ref="E4:E37" si="0">(D4-C4)/C4*100</f>
        <v>39.73429951690823</v>
      </c>
      <c r="F4" s="31">
        <v>11.57</v>
      </c>
      <c r="G4" s="38">
        <f>(F4-D4)/D4*100</f>
        <v>0</v>
      </c>
      <c r="H4" s="31">
        <v>11.51</v>
      </c>
      <c r="I4" s="50">
        <f>(F4-H4)/F4*100</f>
        <v>0.51858254105445545</v>
      </c>
      <c r="J4" s="32" t="s">
        <v>595</v>
      </c>
      <c r="K4" s="31" t="s">
        <v>668</v>
      </c>
      <c r="L4" s="31">
        <v>11.47</v>
      </c>
      <c r="M4" s="32" t="s">
        <v>425</v>
      </c>
      <c r="N4" s="31" t="s">
        <v>418</v>
      </c>
      <c r="O4" s="32" t="s">
        <v>441</v>
      </c>
      <c r="P4" s="32" t="s">
        <v>406</v>
      </c>
      <c r="Q4" s="32"/>
    </row>
    <row r="5" spans="1:17" x14ac:dyDescent="0.2">
      <c r="A5" s="33">
        <v>43678</v>
      </c>
      <c r="B5" s="31" t="s">
        <v>669</v>
      </c>
      <c r="C5" s="31">
        <v>19.510000000000002</v>
      </c>
      <c r="D5" s="31">
        <v>22</v>
      </c>
      <c r="E5" s="38">
        <f t="shared" si="0"/>
        <v>12.762685802152735</v>
      </c>
      <c r="F5" s="31">
        <v>23.98</v>
      </c>
      <c r="G5" s="38">
        <f>(F5-D5)/D5*100</f>
        <v>9.0000000000000018</v>
      </c>
      <c r="H5" s="31">
        <v>23.9</v>
      </c>
      <c r="I5" s="50">
        <f t="shared" ref="I5:I37" si="1">(F5-H5)/F5*100</f>
        <v>0.3336113427856624</v>
      </c>
      <c r="J5" s="31" t="s">
        <v>434</v>
      </c>
      <c r="K5" s="31" t="s">
        <v>373</v>
      </c>
      <c r="L5" s="31">
        <v>24.18</v>
      </c>
      <c r="M5" s="31" t="s">
        <v>400</v>
      </c>
      <c r="N5" s="31" t="s">
        <v>418</v>
      </c>
      <c r="O5" s="31" t="s">
        <v>345</v>
      </c>
      <c r="P5" s="31" t="s">
        <v>406</v>
      </c>
      <c r="Q5" s="3"/>
    </row>
    <row r="6" spans="1:17" x14ac:dyDescent="0.2">
      <c r="A6" s="33">
        <v>43678</v>
      </c>
      <c r="B6" s="31" t="s">
        <v>670</v>
      </c>
      <c r="C6" s="31">
        <v>2.0499999999999998</v>
      </c>
      <c r="D6" s="31">
        <v>2.41</v>
      </c>
      <c r="E6" s="38">
        <f t="shared" si="0"/>
        <v>17.560975609756117</v>
      </c>
      <c r="F6" s="31">
        <v>2.7</v>
      </c>
      <c r="G6" s="38">
        <f t="shared" ref="G6:G37" si="2">(F6-D6)/D6*100</f>
        <v>12.033195020746888</v>
      </c>
      <c r="H6" s="31">
        <v>2.2799999999999998</v>
      </c>
      <c r="I6" s="50">
        <f t="shared" si="1"/>
        <v>15.55555555555557</v>
      </c>
      <c r="J6" s="31" t="s">
        <v>434</v>
      </c>
      <c r="K6" s="31" t="s">
        <v>671</v>
      </c>
      <c r="L6" s="31">
        <v>2.25</v>
      </c>
      <c r="M6" s="31" t="s">
        <v>425</v>
      </c>
      <c r="N6" s="31" t="s">
        <v>418</v>
      </c>
      <c r="O6" s="31" t="s">
        <v>345</v>
      </c>
      <c r="P6" s="31" t="s">
        <v>445</v>
      </c>
      <c r="Q6" s="3"/>
    </row>
    <row r="7" spans="1:17" x14ac:dyDescent="0.2">
      <c r="A7" s="33">
        <v>43678</v>
      </c>
      <c r="B7" s="31" t="s">
        <v>672</v>
      </c>
      <c r="C7" s="31">
        <v>7.54</v>
      </c>
      <c r="D7" s="31">
        <v>8.18</v>
      </c>
      <c r="E7" s="38">
        <f t="shared" si="0"/>
        <v>8.4880636604774491</v>
      </c>
      <c r="F7" s="31">
        <v>8.42</v>
      </c>
      <c r="G7" s="38">
        <f t="shared" si="2"/>
        <v>2.9339853300733525</v>
      </c>
      <c r="H7" s="31">
        <v>8.32</v>
      </c>
      <c r="I7" s="50">
        <f t="shared" si="1"/>
        <v>1.1876484560570029</v>
      </c>
      <c r="J7" s="31" t="s">
        <v>434</v>
      </c>
      <c r="K7" s="31" t="s">
        <v>433</v>
      </c>
      <c r="L7" s="31">
        <v>7.43</v>
      </c>
      <c r="M7" s="31" t="s">
        <v>425</v>
      </c>
      <c r="N7" s="31" t="s">
        <v>345</v>
      </c>
      <c r="O7" s="31" t="s">
        <v>418</v>
      </c>
      <c r="P7" s="31" t="s">
        <v>441</v>
      </c>
      <c r="Q7" s="3"/>
    </row>
    <row r="8" spans="1:17" x14ac:dyDescent="0.2">
      <c r="A8" s="33">
        <v>44774</v>
      </c>
      <c r="B8" s="31" t="s">
        <v>673</v>
      </c>
      <c r="C8" s="31">
        <v>0.78</v>
      </c>
      <c r="D8" s="31">
        <v>1.19</v>
      </c>
      <c r="E8" s="38">
        <f t="shared" si="0"/>
        <v>52.564102564102555</v>
      </c>
      <c r="F8" s="31">
        <v>1.22</v>
      </c>
      <c r="G8" s="38">
        <f t="shared" si="2"/>
        <v>2.5210084033613471</v>
      </c>
      <c r="H8" s="31">
        <v>0.9</v>
      </c>
      <c r="I8" s="37">
        <f t="shared" si="1"/>
        <v>26.229508196721309</v>
      </c>
      <c r="J8" s="31" t="s">
        <v>440</v>
      </c>
      <c r="K8" s="31" t="s">
        <v>373</v>
      </c>
      <c r="L8" s="31">
        <v>0.86</v>
      </c>
      <c r="M8" s="31" t="s">
        <v>425</v>
      </c>
      <c r="N8" s="31" t="s">
        <v>418</v>
      </c>
      <c r="O8" s="31" t="s">
        <v>345</v>
      </c>
      <c r="P8" s="31" t="s">
        <v>445</v>
      </c>
      <c r="Q8" s="3"/>
    </row>
    <row r="9" spans="1:17" x14ac:dyDescent="0.2">
      <c r="A9" s="33">
        <v>45139</v>
      </c>
      <c r="B9" s="31" t="s">
        <v>189</v>
      </c>
      <c r="C9" s="31">
        <v>1.87</v>
      </c>
      <c r="D9" s="31">
        <v>2.27</v>
      </c>
      <c r="E9" s="38">
        <f t="shared" si="0"/>
        <v>21.390374331550795</v>
      </c>
      <c r="F9" s="31">
        <v>2.27</v>
      </c>
      <c r="G9" s="38">
        <f t="shared" si="2"/>
        <v>0</v>
      </c>
      <c r="H9" s="31">
        <v>2.35</v>
      </c>
      <c r="I9" s="37">
        <f t="shared" si="1"/>
        <v>-3.5242290748898708</v>
      </c>
      <c r="J9" s="31" t="s">
        <v>451</v>
      </c>
      <c r="K9" s="31" t="s">
        <v>437</v>
      </c>
      <c r="L9" s="31">
        <v>2.2000000000000002</v>
      </c>
      <c r="M9" s="31" t="s">
        <v>400</v>
      </c>
      <c r="N9" s="31" t="s">
        <v>418</v>
      </c>
      <c r="O9" s="31" t="s">
        <v>674</v>
      </c>
      <c r="P9" s="31" t="s">
        <v>406</v>
      </c>
      <c r="Q9" s="3"/>
    </row>
    <row r="10" spans="1:17" x14ac:dyDescent="0.2">
      <c r="A10" s="33">
        <v>46235</v>
      </c>
      <c r="B10" s="31" t="s">
        <v>675</v>
      </c>
      <c r="C10" s="31">
        <v>14.9</v>
      </c>
      <c r="D10" s="31">
        <v>17.829999999999998</v>
      </c>
      <c r="E10" s="38">
        <f t="shared" si="0"/>
        <v>19.664429530201328</v>
      </c>
      <c r="F10" s="31">
        <v>18.68</v>
      </c>
      <c r="G10" s="38">
        <f t="shared" si="2"/>
        <v>4.7672462142456613</v>
      </c>
      <c r="H10" s="31">
        <v>18.190000000000001</v>
      </c>
      <c r="I10" s="37">
        <f t="shared" si="1"/>
        <v>2.6231263383297563</v>
      </c>
      <c r="J10" s="31" t="s">
        <v>459</v>
      </c>
      <c r="K10" s="31" t="s">
        <v>437</v>
      </c>
      <c r="L10" s="31">
        <v>18.190000000000001</v>
      </c>
      <c r="M10" s="31" t="s">
        <v>449</v>
      </c>
      <c r="N10" s="31" t="s">
        <v>418</v>
      </c>
      <c r="O10" s="31" t="s">
        <v>418</v>
      </c>
      <c r="P10" s="31" t="s">
        <v>441</v>
      </c>
      <c r="Q10" s="3"/>
    </row>
    <row r="11" spans="1:17" x14ac:dyDescent="0.2">
      <c r="A11" s="33">
        <v>46235</v>
      </c>
      <c r="B11" s="31" t="s">
        <v>616</v>
      </c>
      <c r="C11" s="31">
        <v>1.76</v>
      </c>
      <c r="D11" s="31">
        <v>2.4500000000000002</v>
      </c>
      <c r="E11" s="38">
        <f t="shared" si="0"/>
        <v>39.204545454545467</v>
      </c>
      <c r="F11" s="31">
        <v>2.58</v>
      </c>
      <c r="G11" s="38">
        <f t="shared" si="2"/>
        <v>5.3061224489795871</v>
      </c>
      <c r="H11" s="31">
        <v>2.36</v>
      </c>
      <c r="I11" s="37">
        <f t="shared" si="1"/>
        <v>8.5271317829457427</v>
      </c>
      <c r="J11" s="31" t="s">
        <v>467</v>
      </c>
      <c r="K11" s="31" t="s">
        <v>373</v>
      </c>
      <c r="L11" s="31">
        <v>2.4</v>
      </c>
      <c r="M11" s="31" t="s">
        <v>400</v>
      </c>
      <c r="N11" s="31" t="s">
        <v>418</v>
      </c>
      <c r="O11" s="31" t="s">
        <v>345</v>
      </c>
      <c r="P11" s="31" t="s">
        <v>406</v>
      </c>
      <c r="Q11" s="3"/>
    </row>
    <row r="12" spans="1:17" x14ac:dyDescent="0.2">
      <c r="A12" s="33">
        <v>46235</v>
      </c>
      <c r="B12" s="31" t="s">
        <v>608</v>
      </c>
      <c r="C12" s="31">
        <v>20.82</v>
      </c>
      <c r="D12" s="31">
        <v>22.05</v>
      </c>
      <c r="E12" s="38">
        <f t="shared" si="0"/>
        <v>5.9077809798270913</v>
      </c>
      <c r="F12" s="31">
        <v>24.29</v>
      </c>
      <c r="G12" s="38">
        <f t="shared" si="2"/>
        <v>10.158730158730151</v>
      </c>
      <c r="H12" s="31">
        <v>23.39</v>
      </c>
      <c r="I12" s="37">
        <f t="shared" si="1"/>
        <v>3.705228489090155</v>
      </c>
      <c r="J12" s="31" t="s">
        <v>467</v>
      </c>
      <c r="K12" s="31" t="s">
        <v>668</v>
      </c>
      <c r="L12" s="31">
        <v>23.49</v>
      </c>
      <c r="M12" s="31" t="s">
        <v>425</v>
      </c>
      <c r="N12" s="31" t="s">
        <v>418</v>
      </c>
      <c r="O12" s="31" t="s">
        <v>345</v>
      </c>
      <c r="P12" s="31" t="s">
        <v>406</v>
      </c>
      <c r="Q12" s="3"/>
    </row>
    <row r="13" spans="1:17" x14ac:dyDescent="0.2">
      <c r="A13" s="31" t="s">
        <v>467</v>
      </c>
      <c r="B13" s="31" t="s">
        <v>676</v>
      </c>
      <c r="C13" s="31">
        <v>1.21</v>
      </c>
      <c r="D13" s="31">
        <v>2.91</v>
      </c>
      <c r="E13" s="38">
        <f t="shared" si="0"/>
        <v>140.49586776859508</v>
      </c>
      <c r="F13" s="31">
        <v>3.2</v>
      </c>
      <c r="G13" s="37">
        <f t="shared" si="2"/>
        <v>9.9656357388316152</v>
      </c>
      <c r="H13" s="31">
        <v>2.0299999999999998</v>
      </c>
      <c r="I13" s="37">
        <f t="shared" si="1"/>
        <v>36.562500000000007</v>
      </c>
      <c r="J13" s="31" t="s">
        <v>469</v>
      </c>
      <c r="K13" s="31" t="s">
        <v>427</v>
      </c>
      <c r="L13" s="31">
        <v>2</v>
      </c>
      <c r="M13" s="31" t="s">
        <v>425</v>
      </c>
      <c r="N13" s="31" t="s">
        <v>418</v>
      </c>
      <c r="O13" s="31" t="s">
        <v>345</v>
      </c>
      <c r="P13" s="31" t="s">
        <v>445</v>
      </c>
      <c r="Q13" s="3"/>
    </row>
    <row r="14" spans="1:17" x14ac:dyDescent="0.2">
      <c r="A14" s="31" t="s">
        <v>469</v>
      </c>
      <c r="B14" s="31" t="s">
        <v>424</v>
      </c>
      <c r="C14" s="31">
        <v>0.95</v>
      </c>
      <c r="D14" s="31">
        <v>1.23</v>
      </c>
      <c r="E14" s="38">
        <f t="shared" si="0"/>
        <v>29.473684210526319</v>
      </c>
      <c r="F14" s="31">
        <v>1.28</v>
      </c>
      <c r="G14" s="37">
        <f t="shared" si="2"/>
        <v>4.0650406504065071</v>
      </c>
      <c r="H14" s="31">
        <v>1.02</v>
      </c>
      <c r="I14" s="37">
        <f t="shared" si="1"/>
        <v>20.3125</v>
      </c>
      <c r="J14" s="33">
        <v>48061</v>
      </c>
      <c r="K14" s="31" t="s">
        <v>437</v>
      </c>
      <c r="L14" s="31">
        <v>1.06</v>
      </c>
      <c r="M14" s="31">
        <v>1.1000000000000001</v>
      </c>
      <c r="N14" s="31" t="s">
        <v>418</v>
      </c>
      <c r="O14" s="31" t="s">
        <v>345</v>
      </c>
      <c r="P14" s="31" t="s">
        <v>406</v>
      </c>
      <c r="Q14" s="3"/>
    </row>
    <row r="15" spans="1:17" x14ac:dyDescent="0.2">
      <c r="A15" s="33">
        <v>11536</v>
      </c>
      <c r="B15" s="31" t="s">
        <v>677</v>
      </c>
      <c r="C15" s="31">
        <v>16.07</v>
      </c>
      <c r="D15" s="31">
        <v>18.95</v>
      </c>
      <c r="E15" s="38">
        <f t="shared" si="0"/>
        <v>17.921593030491593</v>
      </c>
      <c r="F15" s="31">
        <v>18.95</v>
      </c>
      <c r="G15" s="37">
        <f t="shared" si="2"/>
        <v>0</v>
      </c>
      <c r="H15" s="31">
        <v>18.489999999999998</v>
      </c>
      <c r="I15" s="37">
        <f t="shared" si="1"/>
        <v>2.4274406332453871</v>
      </c>
      <c r="J15" s="33">
        <v>37135</v>
      </c>
      <c r="K15" s="31" t="s">
        <v>437</v>
      </c>
      <c r="L15" s="31">
        <v>18.5</v>
      </c>
      <c r="M15" s="31" t="s">
        <v>400</v>
      </c>
      <c r="N15" s="31" t="s">
        <v>418</v>
      </c>
      <c r="O15" s="31" t="s">
        <v>345</v>
      </c>
      <c r="P15" s="31" t="s">
        <v>445</v>
      </c>
      <c r="Q15" s="3"/>
    </row>
    <row r="16" spans="1:17" x14ac:dyDescent="0.2">
      <c r="A16" s="33">
        <v>11536</v>
      </c>
      <c r="B16" s="31" t="s">
        <v>399</v>
      </c>
      <c r="C16" s="31">
        <v>1.4</v>
      </c>
      <c r="D16" s="31">
        <v>1.9</v>
      </c>
      <c r="E16" s="38">
        <f t="shared" si="0"/>
        <v>35.714285714285715</v>
      </c>
      <c r="F16" s="31">
        <v>1.92</v>
      </c>
      <c r="G16" s="37">
        <f t="shared" si="2"/>
        <v>1.0526315789473695</v>
      </c>
      <c r="H16" s="31">
        <v>1.61</v>
      </c>
      <c r="I16" s="37">
        <f t="shared" si="1"/>
        <v>16.145833333333325</v>
      </c>
      <c r="J16" s="33">
        <v>37135</v>
      </c>
      <c r="K16" s="31" t="s">
        <v>437</v>
      </c>
      <c r="L16" s="31">
        <v>1.59</v>
      </c>
      <c r="M16" s="31" t="s">
        <v>425</v>
      </c>
      <c r="N16" s="31" t="s">
        <v>418</v>
      </c>
      <c r="O16" s="31" t="s">
        <v>418</v>
      </c>
      <c r="P16" s="31" t="s">
        <v>441</v>
      </c>
      <c r="Q16" s="3"/>
    </row>
    <row r="17" spans="1:17" x14ac:dyDescent="0.2">
      <c r="A17" s="33">
        <v>37500</v>
      </c>
      <c r="B17" s="31" t="s">
        <v>678</v>
      </c>
      <c r="C17" s="31">
        <v>1.66</v>
      </c>
      <c r="D17" s="31">
        <v>2.56</v>
      </c>
      <c r="E17" s="38">
        <f t="shared" si="0"/>
        <v>54.216867469879524</v>
      </c>
      <c r="F17" s="31">
        <v>2.8</v>
      </c>
      <c r="G17" s="37">
        <f t="shared" si="2"/>
        <v>9.3749999999999911</v>
      </c>
      <c r="H17" s="31">
        <v>2.58</v>
      </c>
      <c r="I17" s="37">
        <f t="shared" si="1"/>
        <v>7.8571428571428488</v>
      </c>
      <c r="J17" s="33">
        <v>37469</v>
      </c>
      <c r="K17" s="31" t="s">
        <v>437</v>
      </c>
      <c r="L17" s="31">
        <v>2.58</v>
      </c>
      <c r="M17" s="31" t="s">
        <v>449</v>
      </c>
      <c r="N17" s="31" t="s">
        <v>418</v>
      </c>
      <c r="O17" s="31" t="s">
        <v>441</v>
      </c>
      <c r="P17" s="31" t="s">
        <v>441</v>
      </c>
      <c r="Q17" s="3"/>
    </row>
    <row r="18" spans="1:17" x14ac:dyDescent="0.2">
      <c r="A18" s="33">
        <v>39326</v>
      </c>
      <c r="B18" s="31" t="s">
        <v>542</v>
      </c>
      <c r="C18" s="31">
        <v>10.91</v>
      </c>
      <c r="D18" s="31">
        <v>13.42</v>
      </c>
      <c r="E18" s="37">
        <f t="shared" si="0"/>
        <v>23.006416131988999</v>
      </c>
      <c r="F18" s="31">
        <v>14.42</v>
      </c>
      <c r="G18" s="37">
        <f t="shared" si="2"/>
        <v>7.4515648286140088</v>
      </c>
      <c r="H18" s="31">
        <v>14.22</v>
      </c>
      <c r="I18" s="37">
        <f t="shared" si="1"/>
        <v>1.3869625520110906</v>
      </c>
      <c r="J18" s="33">
        <v>39692</v>
      </c>
      <c r="K18" s="31" t="s">
        <v>373</v>
      </c>
      <c r="L18" s="31">
        <v>13.98</v>
      </c>
      <c r="M18" s="31" t="s">
        <v>425</v>
      </c>
      <c r="N18" s="31" t="s">
        <v>418</v>
      </c>
      <c r="O18" s="31" t="s">
        <v>418</v>
      </c>
      <c r="P18" s="31" t="s">
        <v>441</v>
      </c>
      <c r="Q18" s="3"/>
    </row>
    <row r="19" spans="1:17" x14ac:dyDescent="0.2">
      <c r="A19" s="33">
        <v>39692</v>
      </c>
      <c r="B19" s="31" t="s">
        <v>679</v>
      </c>
      <c r="C19" s="31">
        <v>1.82</v>
      </c>
      <c r="D19" s="31">
        <v>2</v>
      </c>
      <c r="E19" s="37">
        <f t="shared" si="0"/>
        <v>9.8901098901098869</v>
      </c>
      <c r="F19" s="31">
        <v>2.2799999999999998</v>
      </c>
      <c r="G19" s="37">
        <f t="shared" si="2"/>
        <v>13.999999999999989</v>
      </c>
      <c r="H19" s="31">
        <v>2.14</v>
      </c>
      <c r="I19" s="37">
        <f t="shared" si="1"/>
        <v>6.1403508771929687</v>
      </c>
      <c r="J19" s="33">
        <v>40057</v>
      </c>
      <c r="K19" s="31" t="s">
        <v>427</v>
      </c>
      <c r="L19" s="31">
        <v>2.1</v>
      </c>
      <c r="M19" s="31" t="s">
        <v>425</v>
      </c>
      <c r="N19" s="31" t="s">
        <v>418</v>
      </c>
      <c r="O19" s="31" t="s">
        <v>345</v>
      </c>
      <c r="P19" s="31" t="s">
        <v>445</v>
      </c>
      <c r="Q19" s="3"/>
    </row>
    <row r="20" spans="1:17" x14ac:dyDescent="0.2">
      <c r="A20" s="33">
        <v>39692</v>
      </c>
      <c r="B20" s="31" t="s">
        <v>607</v>
      </c>
      <c r="C20" s="31">
        <v>17.41</v>
      </c>
      <c r="D20" s="31">
        <v>21.15</v>
      </c>
      <c r="E20" s="37">
        <f t="shared" si="0"/>
        <v>21.481906950028709</v>
      </c>
      <c r="F20" s="31">
        <v>21.18</v>
      </c>
      <c r="G20" s="37">
        <f t="shared" si="2"/>
        <v>0.14184397163121107</v>
      </c>
      <c r="H20" s="31">
        <v>18.850000000000001</v>
      </c>
      <c r="I20" s="37">
        <f t="shared" si="1"/>
        <v>11.000944287063259</v>
      </c>
      <c r="J20" s="33">
        <v>40057</v>
      </c>
      <c r="K20" s="31" t="s">
        <v>437</v>
      </c>
      <c r="L20" s="31">
        <v>20.399999999999999</v>
      </c>
      <c r="M20" s="31" t="s">
        <v>400</v>
      </c>
      <c r="N20" s="31" t="s">
        <v>418</v>
      </c>
      <c r="O20" s="31" t="s">
        <v>345</v>
      </c>
      <c r="P20" s="31" t="s">
        <v>445</v>
      </c>
      <c r="Q20" s="3"/>
    </row>
    <row r="21" spans="1:17" x14ac:dyDescent="0.2">
      <c r="A21" s="33">
        <v>41518</v>
      </c>
      <c r="B21" s="31" t="s">
        <v>680</v>
      </c>
      <c r="C21" s="31">
        <v>0.3</v>
      </c>
      <c r="D21" s="31">
        <v>9.8800000000000008</v>
      </c>
      <c r="E21" s="37">
        <f t="shared" si="0"/>
        <v>3193.3333333333335</v>
      </c>
      <c r="F21" s="31">
        <v>10.25</v>
      </c>
      <c r="G21" s="37">
        <f t="shared" si="2"/>
        <v>3.7449392712550522</v>
      </c>
      <c r="H21" s="31">
        <v>10.85</v>
      </c>
      <c r="I21" s="37">
        <f t="shared" si="1"/>
        <v>-5.8536585365853631</v>
      </c>
      <c r="J21" s="33">
        <v>41883</v>
      </c>
      <c r="K21" s="31" t="s">
        <v>433</v>
      </c>
      <c r="L21" s="31">
        <v>10.56</v>
      </c>
      <c r="M21" s="31" t="s">
        <v>425</v>
      </c>
      <c r="N21" s="31" t="s">
        <v>418</v>
      </c>
      <c r="O21" s="31" t="s">
        <v>418</v>
      </c>
      <c r="P21" s="31" t="s">
        <v>441</v>
      </c>
      <c r="Q21" s="3"/>
    </row>
    <row r="22" spans="1:17" x14ac:dyDescent="0.2">
      <c r="A22" s="33">
        <v>41518</v>
      </c>
      <c r="B22" s="31" t="s">
        <v>681</v>
      </c>
      <c r="C22" s="31">
        <v>7.45</v>
      </c>
      <c r="D22" s="31">
        <v>8.9499999999999993</v>
      </c>
      <c r="E22" s="37">
        <f t="shared" si="0"/>
        <v>20.134228187919451</v>
      </c>
      <c r="F22" s="31">
        <v>8.98</v>
      </c>
      <c r="G22" s="37">
        <f t="shared" si="2"/>
        <v>0.33519553072626973</v>
      </c>
      <c r="H22" s="31">
        <v>8.98</v>
      </c>
      <c r="I22" s="37">
        <f t="shared" si="1"/>
        <v>0</v>
      </c>
      <c r="J22" s="33">
        <v>41883</v>
      </c>
      <c r="K22" s="31" t="s">
        <v>437</v>
      </c>
      <c r="L22" s="31">
        <v>8.9499999999999993</v>
      </c>
      <c r="M22" s="31" t="s">
        <v>449</v>
      </c>
      <c r="N22" s="31" t="s">
        <v>418</v>
      </c>
      <c r="O22" s="31" t="s">
        <v>418</v>
      </c>
      <c r="P22" s="31" t="s">
        <v>441</v>
      </c>
      <c r="Q22" s="3"/>
    </row>
    <row r="23" spans="1:17" x14ac:dyDescent="0.2">
      <c r="A23" s="33">
        <v>41518</v>
      </c>
      <c r="B23" s="31" t="s">
        <v>682</v>
      </c>
      <c r="C23" s="31">
        <v>6.04</v>
      </c>
      <c r="D23" s="31">
        <v>7.18</v>
      </c>
      <c r="E23" s="37">
        <f t="shared" si="0"/>
        <v>18.874172185430456</v>
      </c>
      <c r="F23" s="31">
        <v>7.45</v>
      </c>
      <c r="G23" s="37">
        <f t="shared" si="2"/>
        <v>3.7604456824512598</v>
      </c>
      <c r="H23" s="31">
        <v>7.17</v>
      </c>
      <c r="I23" s="37">
        <f t="shared" si="1"/>
        <v>3.7583892617449695</v>
      </c>
      <c r="J23" s="33">
        <v>41883</v>
      </c>
      <c r="K23" s="31" t="s">
        <v>437</v>
      </c>
      <c r="L23" s="31">
        <v>7.1</v>
      </c>
      <c r="M23" s="31" t="s">
        <v>425</v>
      </c>
      <c r="N23" s="31" t="s">
        <v>418</v>
      </c>
      <c r="O23" s="31" t="s">
        <v>418</v>
      </c>
      <c r="P23" s="31" t="s">
        <v>441</v>
      </c>
      <c r="Q23" s="3"/>
    </row>
    <row r="24" spans="1:17" x14ac:dyDescent="0.2">
      <c r="A24" s="33">
        <v>42248</v>
      </c>
      <c r="B24" s="31" t="s">
        <v>683</v>
      </c>
      <c r="C24" s="31">
        <v>8.1</v>
      </c>
      <c r="D24" s="31">
        <v>23.99</v>
      </c>
      <c r="E24" s="37">
        <f t="shared" si="0"/>
        <v>196.17283950617283</v>
      </c>
      <c r="F24" s="31">
        <v>20.97</v>
      </c>
      <c r="G24" s="37">
        <f t="shared" si="2"/>
        <v>-12.588578574406</v>
      </c>
      <c r="H24" s="31">
        <v>20.83</v>
      </c>
      <c r="I24" s="37">
        <f t="shared" si="1"/>
        <v>0.6676204101096832</v>
      </c>
      <c r="J24" s="33">
        <v>42614</v>
      </c>
      <c r="K24" s="31" t="s">
        <v>437</v>
      </c>
      <c r="L24" s="31">
        <v>20.85</v>
      </c>
      <c r="M24" s="31" t="s">
        <v>449</v>
      </c>
      <c r="N24" s="31" t="s">
        <v>418</v>
      </c>
      <c r="O24" s="31" t="s">
        <v>418</v>
      </c>
      <c r="P24" s="31" t="s">
        <v>441</v>
      </c>
      <c r="Q24" s="3"/>
    </row>
    <row r="25" spans="1:17" x14ac:dyDescent="0.2">
      <c r="A25" s="33">
        <v>42979</v>
      </c>
      <c r="B25" s="31" t="s">
        <v>684</v>
      </c>
      <c r="C25" s="31">
        <v>7.0000000000000007E-2</v>
      </c>
      <c r="D25" s="31">
        <v>5.4</v>
      </c>
      <c r="E25" s="37">
        <f t="shared" si="0"/>
        <v>7614.2857142857138</v>
      </c>
      <c r="F25" s="31">
        <v>5.6</v>
      </c>
      <c r="G25" s="37">
        <f t="shared" si="2"/>
        <v>3.7037037037036904</v>
      </c>
      <c r="H25" s="31">
        <v>3.87</v>
      </c>
      <c r="I25" s="37">
        <f t="shared" si="1"/>
        <v>30.892857142857139</v>
      </c>
      <c r="J25" s="33">
        <v>42614</v>
      </c>
      <c r="K25" s="31" t="s">
        <v>437</v>
      </c>
      <c r="L25" s="31">
        <v>3.95</v>
      </c>
      <c r="M25" s="31" t="s">
        <v>449</v>
      </c>
      <c r="N25" s="31" t="s">
        <v>418</v>
      </c>
      <c r="O25" s="31" t="s">
        <v>524</v>
      </c>
      <c r="P25" s="31" t="s">
        <v>685</v>
      </c>
      <c r="Q25" s="3"/>
    </row>
    <row r="26" spans="1:17" x14ac:dyDescent="0.2">
      <c r="A26" s="33">
        <v>42979</v>
      </c>
      <c r="B26" s="31" t="s">
        <v>506</v>
      </c>
      <c r="C26" s="31">
        <v>21.24</v>
      </c>
      <c r="D26" s="31">
        <v>23.99</v>
      </c>
      <c r="E26" s="37">
        <f t="shared" si="0"/>
        <v>12.947269303201509</v>
      </c>
      <c r="F26" s="31">
        <v>24.45</v>
      </c>
      <c r="G26" s="37">
        <f t="shared" si="2"/>
        <v>1.9174656106711165</v>
      </c>
      <c r="H26" s="31">
        <v>24.34</v>
      </c>
      <c r="I26" s="37">
        <f t="shared" si="1"/>
        <v>0.44989775051124514</v>
      </c>
      <c r="J26" s="33">
        <v>42614</v>
      </c>
      <c r="K26" s="31" t="s">
        <v>668</v>
      </c>
      <c r="L26" s="31">
        <v>24.5</v>
      </c>
      <c r="M26" s="31" t="s">
        <v>400</v>
      </c>
      <c r="N26" s="31" t="s">
        <v>418</v>
      </c>
      <c r="O26" s="31" t="s">
        <v>345</v>
      </c>
      <c r="P26" s="31" t="s">
        <v>447</v>
      </c>
      <c r="Q26" s="3"/>
    </row>
    <row r="27" spans="1:17" x14ac:dyDescent="0.2">
      <c r="A27" s="33">
        <v>43709</v>
      </c>
      <c r="B27" s="31" t="s">
        <v>686</v>
      </c>
      <c r="C27" s="31">
        <v>16.93</v>
      </c>
      <c r="D27" s="31">
        <v>22</v>
      </c>
      <c r="E27" s="37">
        <f t="shared" si="0"/>
        <v>29.946839929119907</v>
      </c>
      <c r="F27" s="31">
        <v>22.35</v>
      </c>
      <c r="G27" s="37">
        <f t="shared" si="2"/>
        <v>1.5909090909090973</v>
      </c>
      <c r="H27" s="31">
        <v>22.04</v>
      </c>
      <c r="I27" s="37">
        <f t="shared" si="1"/>
        <v>1.3870246085011286</v>
      </c>
      <c r="J27" s="33">
        <v>44075</v>
      </c>
      <c r="K27" s="31" t="s">
        <v>437</v>
      </c>
      <c r="L27" s="31">
        <v>22.44</v>
      </c>
      <c r="M27" s="31" t="s">
        <v>400</v>
      </c>
      <c r="N27" s="31" t="s">
        <v>418</v>
      </c>
      <c r="O27" s="31" t="s">
        <v>418</v>
      </c>
      <c r="P27" s="31" t="s">
        <v>441</v>
      </c>
      <c r="Q27" s="3"/>
    </row>
    <row r="28" spans="1:17" x14ac:dyDescent="0.2">
      <c r="A28" s="33">
        <v>43709</v>
      </c>
      <c r="B28" s="31" t="s">
        <v>687</v>
      </c>
      <c r="C28" s="31">
        <v>15.25</v>
      </c>
      <c r="D28" s="31">
        <v>17.579999999999998</v>
      </c>
      <c r="E28" s="37">
        <f t="shared" si="0"/>
        <v>15.278688524590153</v>
      </c>
      <c r="F28" s="31">
        <v>18.73</v>
      </c>
      <c r="G28" s="37">
        <f t="shared" si="2"/>
        <v>6.5415244596132096</v>
      </c>
      <c r="H28" s="31">
        <v>16.899999999999999</v>
      </c>
      <c r="I28" s="37">
        <f t="shared" si="1"/>
        <v>9.7704217832354612</v>
      </c>
      <c r="J28" s="33">
        <v>44075</v>
      </c>
      <c r="K28" s="31" t="s">
        <v>427</v>
      </c>
      <c r="L28" s="31">
        <v>17.29</v>
      </c>
      <c r="M28" s="31" t="s">
        <v>400</v>
      </c>
      <c r="N28" s="31" t="s">
        <v>418</v>
      </c>
      <c r="O28" s="31" t="s">
        <v>345</v>
      </c>
      <c r="P28" s="31" t="s">
        <v>447</v>
      </c>
      <c r="Q28" s="3"/>
    </row>
    <row r="29" spans="1:17" x14ac:dyDescent="0.2">
      <c r="A29" s="33">
        <v>43709</v>
      </c>
      <c r="B29" s="31" t="s">
        <v>688</v>
      </c>
      <c r="C29" s="31">
        <v>10.19</v>
      </c>
      <c r="D29" s="31">
        <v>11</v>
      </c>
      <c r="E29" s="37">
        <f t="shared" si="0"/>
        <v>7.9489695780176701</v>
      </c>
      <c r="F29" s="31">
        <v>11.73</v>
      </c>
      <c r="G29" s="37">
        <f t="shared" si="2"/>
        <v>6.6363636363636402</v>
      </c>
      <c r="H29" s="31">
        <v>11.25</v>
      </c>
      <c r="I29" s="37">
        <f t="shared" si="1"/>
        <v>4.0920716112532007</v>
      </c>
      <c r="J29" s="33">
        <v>44075</v>
      </c>
      <c r="K29" s="31" t="s">
        <v>437</v>
      </c>
      <c r="L29" s="31">
        <v>11.34</v>
      </c>
      <c r="M29" s="31" t="s">
        <v>400</v>
      </c>
      <c r="N29" s="31" t="s">
        <v>418</v>
      </c>
      <c r="O29" s="31" t="s">
        <v>418</v>
      </c>
      <c r="P29" s="31" t="s">
        <v>441</v>
      </c>
      <c r="Q29" s="3"/>
    </row>
    <row r="30" spans="1:17" x14ac:dyDescent="0.2">
      <c r="A30" s="33">
        <v>47362</v>
      </c>
      <c r="B30" s="31" t="s">
        <v>637</v>
      </c>
      <c r="C30" s="31">
        <v>2.4900000000000002</v>
      </c>
      <c r="D30" s="31">
        <v>3.33</v>
      </c>
      <c r="E30" s="37">
        <f t="shared" si="0"/>
        <v>33.734939759036138</v>
      </c>
      <c r="F30" s="31">
        <v>3.35</v>
      </c>
      <c r="G30" s="37">
        <f t="shared" si="2"/>
        <v>0.60060060060060116</v>
      </c>
      <c r="H30" s="31">
        <v>3.06</v>
      </c>
      <c r="I30" s="37">
        <f t="shared" si="1"/>
        <v>8.6567164179104488</v>
      </c>
      <c r="J30" s="33">
        <v>47727</v>
      </c>
      <c r="K30" s="31" t="s">
        <v>437</v>
      </c>
      <c r="L30" s="31">
        <v>3.1</v>
      </c>
      <c r="M30" s="31" t="s">
        <v>425</v>
      </c>
      <c r="N30" s="31" t="s">
        <v>418</v>
      </c>
      <c r="O30" s="31" t="s">
        <v>345</v>
      </c>
      <c r="P30" s="31" t="s">
        <v>445</v>
      </c>
      <c r="Q30" s="3"/>
    </row>
    <row r="31" spans="1:17" x14ac:dyDescent="0.2">
      <c r="A31" s="33">
        <v>47362</v>
      </c>
      <c r="B31" s="31" t="s">
        <v>689</v>
      </c>
      <c r="C31" s="31">
        <v>17.29</v>
      </c>
      <c r="D31" s="31">
        <v>18.739999999999998</v>
      </c>
      <c r="E31" s="37">
        <f t="shared" si="0"/>
        <v>8.386350491613646</v>
      </c>
      <c r="F31" s="31">
        <v>20.12</v>
      </c>
      <c r="G31" s="37">
        <f t="shared" si="2"/>
        <v>7.3639274279615936</v>
      </c>
      <c r="H31" s="31">
        <v>19.100000000000001</v>
      </c>
      <c r="I31" s="37">
        <f t="shared" si="1"/>
        <v>5.0695825049701764</v>
      </c>
      <c r="J31" s="33">
        <v>47727</v>
      </c>
      <c r="K31" s="31" t="s">
        <v>437</v>
      </c>
      <c r="L31" s="31">
        <v>19.11</v>
      </c>
      <c r="M31" s="31" t="s">
        <v>400</v>
      </c>
      <c r="N31" s="31" t="s">
        <v>418</v>
      </c>
      <c r="O31" s="31" t="s">
        <v>418</v>
      </c>
      <c r="P31" s="31" t="s">
        <v>441</v>
      </c>
      <c r="Q31" s="3"/>
    </row>
    <row r="32" spans="1:17" x14ac:dyDescent="0.2">
      <c r="A32" s="33">
        <v>37895</v>
      </c>
      <c r="B32" s="31" t="s">
        <v>690</v>
      </c>
      <c r="C32" s="31">
        <v>1.91</v>
      </c>
      <c r="D32" s="31">
        <v>2.4</v>
      </c>
      <c r="E32" s="37">
        <f t="shared" si="0"/>
        <v>25.654450261780106</v>
      </c>
      <c r="F32" s="31">
        <v>2.87</v>
      </c>
      <c r="G32" s="37">
        <f t="shared" si="2"/>
        <v>19.583333333333343</v>
      </c>
      <c r="H32" s="31">
        <v>2.6</v>
      </c>
      <c r="I32" s="37">
        <f t="shared" si="1"/>
        <v>9.4076655052264808</v>
      </c>
      <c r="J32" s="33">
        <v>38261</v>
      </c>
      <c r="K32" s="31" t="s">
        <v>373</v>
      </c>
      <c r="L32" s="31">
        <v>2.61</v>
      </c>
      <c r="M32" s="31" t="s">
        <v>400</v>
      </c>
      <c r="N32" s="31" t="s">
        <v>418</v>
      </c>
      <c r="O32" s="31" t="s">
        <v>345</v>
      </c>
      <c r="P32" s="31" t="s">
        <v>447</v>
      </c>
      <c r="Q32" s="3"/>
    </row>
    <row r="33" spans="1:17" x14ac:dyDescent="0.2">
      <c r="A33" s="33">
        <v>38261</v>
      </c>
      <c r="B33" s="54" t="s">
        <v>691</v>
      </c>
      <c r="C33" s="54">
        <v>2.15</v>
      </c>
      <c r="D33" s="54">
        <v>2.81</v>
      </c>
      <c r="E33" s="37">
        <f t="shared" si="0"/>
        <v>30.69767441860466</v>
      </c>
      <c r="F33" s="54">
        <v>2.96</v>
      </c>
      <c r="G33" s="37">
        <f t="shared" si="2"/>
        <v>5.3380782918149432</v>
      </c>
      <c r="H33" s="54">
        <v>2.71</v>
      </c>
      <c r="I33" s="37">
        <f t="shared" si="1"/>
        <v>8.4459459459459456</v>
      </c>
      <c r="J33" s="33">
        <v>38626</v>
      </c>
      <c r="K33" s="31" t="s">
        <v>437</v>
      </c>
      <c r="L33" s="31">
        <v>2.64</v>
      </c>
      <c r="M33" s="31" t="s">
        <v>425</v>
      </c>
      <c r="N33" s="31" t="s">
        <v>418</v>
      </c>
      <c r="O33" s="31" t="s">
        <v>418</v>
      </c>
      <c r="P33" s="54" t="s">
        <v>441</v>
      </c>
      <c r="Q33" s="3"/>
    </row>
    <row r="34" spans="1:17" x14ac:dyDescent="0.2">
      <c r="A34" s="33">
        <v>41548</v>
      </c>
      <c r="B34" s="54" t="s">
        <v>562</v>
      </c>
      <c r="C34" s="54">
        <v>1.1200000000000001</v>
      </c>
      <c r="D34" s="54">
        <v>1.43</v>
      </c>
      <c r="E34" s="37">
        <f t="shared" si="0"/>
        <v>27.678571428571413</v>
      </c>
      <c r="F34" s="54">
        <v>1.51</v>
      </c>
      <c r="G34" s="37">
        <f t="shared" si="2"/>
        <v>5.5944055944056004</v>
      </c>
      <c r="H34" s="54">
        <v>1.41</v>
      </c>
      <c r="I34" s="37">
        <f t="shared" si="1"/>
        <v>6.622516556291397</v>
      </c>
      <c r="J34" s="33">
        <v>41913</v>
      </c>
      <c r="K34" s="31" t="s">
        <v>437</v>
      </c>
      <c r="L34" s="31">
        <v>1.45</v>
      </c>
      <c r="M34" s="31" t="s">
        <v>449</v>
      </c>
      <c r="N34" s="31" t="s">
        <v>345</v>
      </c>
      <c r="O34" s="31" t="s">
        <v>418</v>
      </c>
      <c r="P34" s="31" t="s">
        <v>441</v>
      </c>
      <c r="Q34" s="3"/>
    </row>
    <row r="35" spans="1:17" x14ac:dyDescent="0.2">
      <c r="A35" s="33">
        <v>41548</v>
      </c>
      <c r="B35" s="54" t="s">
        <v>692</v>
      </c>
      <c r="C35" s="54">
        <v>6.31</v>
      </c>
      <c r="D35" s="54">
        <v>8</v>
      </c>
      <c r="E35" s="37">
        <f t="shared" si="0"/>
        <v>26.782884310618076</v>
      </c>
      <c r="F35" s="54">
        <v>8.24</v>
      </c>
      <c r="G35" s="37">
        <f t="shared" si="2"/>
        <v>3.0000000000000027</v>
      </c>
      <c r="H35" s="54">
        <v>7.28</v>
      </c>
      <c r="I35" s="37">
        <f t="shared" si="1"/>
        <v>11.650485436893202</v>
      </c>
      <c r="J35" s="33">
        <v>41913</v>
      </c>
      <c r="K35" s="31" t="s">
        <v>425</v>
      </c>
      <c r="L35" s="31">
        <v>7.2</v>
      </c>
      <c r="M35" s="31" t="s">
        <v>425</v>
      </c>
      <c r="N35" s="31" t="s">
        <v>418</v>
      </c>
      <c r="O35" s="31" t="s">
        <v>345</v>
      </c>
      <c r="P35" s="31" t="s">
        <v>674</v>
      </c>
      <c r="Q35" s="3"/>
    </row>
    <row r="36" spans="1:17" x14ac:dyDescent="0.2">
      <c r="A36" s="33">
        <v>41548</v>
      </c>
      <c r="B36" s="54" t="s">
        <v>693</v>
      </c>
      <c r="C36" s="54">
        <v>0.76</v>
      </c>
      <c r="D36" s="54">
        <v>0.9</v>
      </c>
      <c r="E36" s="37">
        <f t="shared" si="0"/>
        <v>18.421052631578949</v>
      </c>
      <c r="F36" s="54">
        <v>1.03</v>
      </c>
      <c r="G36" s="37">
        <f t="shared" si="2"/>
        <v>14.444444444444446</v>
      </c>
      <c r="H36" s="54">
        <v>0.85</v>
      </c>
      <c r="I36" s="37">
        <f t="shared" si="1"/>
        <v>17.475728155339809</v>
      </c>
      <c r="J36" s="33">
        <v>41913</v>
      </c>
      <c r="K36" s="31" t="s">
        <v>437</v>
      </c>
      <c r="L36" s="31">
        <v>0.84</v>
      </c>
      <c r="M36" s="31" t="s">
        <v>400</v>
      </c>
      <c r="N36" s="31" t="s">
        <v>418</v>
      </c>
      <c r="O36" s="31" t="s">
        <v>345</v>
      </c>
      <c r="P36" s="31" t="s">
        <v>674</v>
      </c>
      <c r="Q36" s="3"/>
    </row>
    <row r="37" spans="1:17" x14ac:dyDescent="0.2">
      <c r="A37" s="33">
        <v>44105</v>
      </c>
      <c r="B37" s="54" t="s">
        <v>694</v>
      </c>
      <c r="C37" s="54">
        <v>11.26</v>
      </c>
      <c r="D37" s="54">
        <v>13.25</v>
      </c>
      <c r="E37" s="37">
        <f t="shared" si="0"/>
        <v>17.673179396092365</v>
      </c>
      <c r="F37" s="54">
        <v>13.85</v>
      </c>
      <c r="G37" s="37">
        <f t="shared" si="2"/>
        <v>4.52830188679245</v>
      </c>
      <c r="H37" s="54">
        <v>13.33</v>
      </c>
      <c r="I37" s="37">
        <f t="shared" si="1"/>
        <v>3.7545126353790583</v>
      </c>
      <c r="J37" s="33">
        <v>44470</v>
      </c>
      <c r="K37" s="31" t="s">
        <v>427</v>
      </c>
      <c r="L37" s="31">
        <v>14.02</v>
      </c>
      <c r="M37" s="31" t="s">
        <v>400</v>
      </c>
      <c r="N37" s="31" t="s">
        <v>418</v>
      </c>
      <c r="O37" s="31" t="s">
        <v>418</v>
      </c>
      <c r="P37" s="31" t="s">
        <v>441</v>
      </c>
      <c r="Q37" s="3"/>
    </row>
    <row r="38" spans="1:17" x14ac:dyDescent="0.2">
      <c r="A38" s="31"/>
      <c r="B38" s="31"/>
      <c r="C38" s="31"/>
      <c r="D38" s="31"/>
      <c r="E38" s="37"/>
      <c r="F38" s="31"/>
      <c r="G38" s="37"/>
      <c r="H38" s="31"/>
      <c r="I38" s="37"/>
      <c r="J38" s="31"/>
      <c r="K38" s="31"/>
      <c r="L38" s="31"/>
      <c r="M38" s="31"/>
      <c r="N38" s="31"/>
      <c r="O38" s="31"/>
      <c r="P38" s="31"/>
      <c r="Q38" s="3"/>
    </row>
    <row r="39" spans="1:17" x14ac:dyDescent="0.2">
      <c r="A39" s="31"/>
      <c r="B39" s="31"/>
      <c r="C39" s="31"/>
      <c r="D39" s="31"/>
      <c r="E39" s="37"/>
      <c r="F39" s="31"/>
      <c r="G39" s="37"/>
      <c r="H39" s="31"/>
      <c r="I39" s="37"/>
      <c r="J39" s="31"/>
      <c r="K39" s="31"/>
      <c r="L39" s="31"/>
      <c r="M39" s="31"/>
      <c r="N39" s="31"/>
      <c r="O39" s="31"/>
      <c r="P39" s="31"/>
      <c r="Q39" s="3"/>
    </row>
    <row r="40" spans="1:17" x14ac:dyDescent="0.2">
      <c r="A40" s="3"/>
      <c r="B40" s="3"/>
      <c r="C40" s="3"/>
      <c r="D40" s="3"/>
      <c r="E40" s="21"/>
      <c r="F40" s="3"/>
      <c r="G40" s="21"/>
      <c r="H40" s="3"/>
      <c r="I40" s="21"/>
      <c r="J40" s="31"/>
      <c r="K40" s="31"/>
      <c r="L40" s="31"/>
      <c r="M40" s="31"/>
      <c r="N40" s="31"/>
      <c r="O40" s="31"/>
      <c r="P40" s="3"/>
      <c r="Q40" s="3"/>
    </row>
    <row r="41" spans="1:17" x14ac:dyDescent="0.2">
      <c r="A41" s="3"/>
      <c r="B41" s="3"/>
      <c r="C41" s="3"/>
      <c r="D41" s="3"/>
      <c r="E41" s="21"/>
      <c r="F41" s="3"/>
      <c r="G41" s="21"/>
      <c r="H41" s="3"/>
      <c r="I41" s="21"/>
      <c r="J41" s="31"/>
      <c r="K41" s="31"/>
      <c r="L41" s="31"/>
      <c r="M41" s="31"/>
      <c r="N41" s="31"/>
      <c r="O41" s="31"/>
      <c r="P41" s="3"/>
      <c r="Q41" s="3"/>
    </row>
    <row r="42" spans="1:17" x14ac:dyDescent="0.2">
      <c r="A42" s="3"/>
      <c r="B42" s="3"/>
      <c r="C42" s="3"/>
      <c r="D42" s="3"/>
      <c r="E42" s="21"/>
      <c r="F42" s="3"/>
      <c r="G42" s="21"/>
      <c r="H42" s="3"/>
      <c r="I42" s="21"/>
      <c r="J42" s="31"/>
      <c r="K42" s="31"/>
      <c r="L42" s="31"/>
      <c r="M42" s="31"/>
      <c r="N42" s="31"/>
      <c r="O42" s="31"/>
      <c r="P42" s="3"/>
      <c r="Q42" s="3"/>
    </row>
    <row r="46" spans="1:17" x14ac:dyDescent="0.2">
      <c r="A46" t="s">
        <v>107</v>
      </c>
      <c r="B46" t="s">
        <v>650</v>
      </c>
    </row>
    <row r="47" spans="1:17" x14ac:dyDescent="0.2">
      <c r="A47" s="18">
        <v>46235</v>
      </c>
      <c r="B47" t="s">
        <v>695</v>
      </c>
    </row>
    <row r="48" spans="1:17" x14ac:dyDescent="0.2">
      <c r="A48" s="18">
        <v>46235</v>
      </c>
      <c r="B48" t="s">
        <v>696</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
  <sheetViews>
    <sheetView workbookViewId="0"/>
  </sheetViews>
  <sheetFormatPr baseColWidth="10" defaultColWidth="11"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20"/>
  <sheetViews>
    <sheetView workbookViewId="0">
      <selection activeCell="A4" sqref="A4"/>
    </sheetView>
  </sheetViews>
  <sheetFormatPr baseColWidth="10" defaultColWidth="11" defaultRowHeight="16" x14ac:dyDescent="0.2"/>
  <cols>
    <col min="5" max="5" width="15" customWidth="1"/>
    <col min="7" max="7" width="15.33203125" customWidth="1"/>
    <col min="9" max="10" width="14" customWidth="1"/>
    <col min="12" max="12" width="12.1640625" customWidth="1"/>
    <col min="13" max="13" width="16.1640625" customWidth="1"/>
    <col min="14" max="14" width="23.83203125" customWidth="1"/>
    <col min="15" max="15" width="16.6640625" customWidth="1"/>
    <col min="16" max="16" width="17.1640625" customWidth="1"/>
    <col min="17" max="17" width="16.1640625" customWidth="1"/>
  </cols>
  <sheetData>
    <row r="1" spans="1:17" ht="39" x14ac:dyDescent="0.2">
      <c r="A1" s="13" t="s">
        <v>697</v>
      </c>
      <c r="C1" s="35"/>
      <c r="E1" s="14"/>
      <c r="G1" s="30"/>
      <c r="I1" s="30"/>
      <c r="J1" s="30"/>
      <c r="K1" s="30"/>
      <c r="L1" s="30"/>
      <c r="O1" s="30"/>
    </row>
    <row r="2" spans="1:17" x14ac:dyDescent="0.2">
      <c r="C2" s="35"/>
      <c r="E2" s="14"/>
      <c r="G2" s="30"/>
      <c r="I2" s="30"/>
      <c r="J2" s="30"/>
      <c r="K2" s="30"/>
      <c r="L2" s="30"/>
      <c r="O2" s="30"/>
    </row>
    <row r="3" spans="1:17" x14ac:dyDescent="0.2">
      <c r="A3" s="31" t="s">
        <v>107</v>
      </c>
      <c r="B3" s="31" t="s">
        <v>108</v>
      </c>
      <c r="C3" s="36" t="s">
        <v>359</v>
      </c>
      <c r="D3" s="31" t="s">
        <v>153</v>
      </c>
      <c r="E3" s="37" t="s">
        <v>360</v>
      </c>
      <c r="F3" s="31" t="s">
        <v>158</v>
      </c>
      <c r="G3" s="32" t="s">
        <v>361</v>
      </c>
      <c r="H3" s="31" t="s">
        <v>161</v>
      </c>
      <c r="I3" s="32" t="s">
        <v>362</v>
      </c>
      <c r="J3" s="32" t="s">
        <v>698</v>
      </c>
      <c r="K3" s="32" t="s">
        <v>107</v>
      </c>
      <c r="L3" s="32" t="s">
        <v>364</v>
      </c>
      <c r="M3" s="31" t="s">
        <v>365</v>
      </c>
      <c r="N3" s="32" t="s">
        <v>699</v>
      </c>
      <c r="O3" s="31" t="s">
        <v>700</v>
      </c>
      <c r="P3" s="32" t="s">
        <v>701</v>
      </c>
      <c r="Q3" s="32" t="s">
        <v>702</v>
      </c>
    </row>
    <row r="4" spans="1:17" x14ac:dyDescent="0.2">
      <c r="A4" s="33"/>
      <c r="B4" s="31"/>
      <c r="C4" s="36"/>
      <c r="D4" s="31"/>
      <c r="E4" s="38" t="e">
        <f>(D4-C4)/D4*100</f>
        <v>#DIV/0!</v>
      </c>
      <c r="F4" s="31"/>
      <c r="G4" s="39" t="e">
        <f>(F4-D4)/F4*100</f>
        <v>#DIV/0!</v>
      </c>
      <c r="H4" s="31"/>
      <c r="I4" s="34" t="e">
        <f>(F4-H4)/F4*100</f>
        <v>#DIV/0!</v>
      </c>
      <c r="J4" s="34"/>
      <c r="K4" s="32"/>
      <c r="L4" s="31" t="s">
        <v>703</v>
      </c>
      <c r="M4" s="31"/>
      <c r="N4" s="32"/>
      <c r="O4" s="31"/>
      <c r="P4" s="32"/>
      <c r="Q4" s="32"/>
    </row>
    <row r="5" spans="1:17" x14ac:dyDescent="0.2">
      <c r="A5" s="33"/>
      <c r="B5" s="31"/>
      <c r="C5" s="36"/>
      <c r="D5" s="31"/>
      <c r="E5" s="38"/>
      <c r="F5" s="31"/>
      <c r="G5" s="39"/>
      <c r="H5" s="31"/>
      <c r="I5" s="34"/>
      <c r="J5" s="34"/>
      <c r="K5" s="32"/>
      <c r="L5" s="32"/>
      <c r="M5" s="31"/>
      <c r="N5" s="32"/>
      <c r="O5" s="31"/>
      <c r="P5" s="31"/>
      <c r="Q5" s="31"/>
    </row>
    <row r="6" spans="1:17" x14ac:dyDescent="0.2">
      <c r="A6" s="33"/>
      <c r="B6" s="31"/>
      <c r="C6" s="36"/>
      <c r="D6" s="31"/>
      <c r="E6" s="38"/>
      <c r="F6" s="31"/>
      <c r="G6" s="39"/>
      <c r="H6" s="31"/>
      <c r="I6" s="34"/>
      <c r="J6" s="34"/>
      <c r="K6" s="34"/>
      <c r="L6" s="31"/>
      <c r="M6" s="31"/>
      <c r="N6" s="32"/>
      <c r="O6" s="31"/>
      <c r="P6" s="31"/>
      <c r="Q6" s="31"/>
    </row>
    <row r="7" spans="1:17" x14ac:dyDescent="0.2">
      <c r="A7" s="33"/>
      <c r="B7" s="31"/>
      <c r="C7" s="36"/>
      <c r="D7" s="31"/>
      <c r="E7" s="38"/>
      <c r="F7" s="31"/>
      <c r="G7" s="39"/>
      <c r="H7" s="31"/>
      <c r="I7" s="34"/>
      <c r="J7" s="34"/>
      <c r="K7" s="32"/>
      <c r="L7" s="31"/>
      <c r="M7" s="31"/>
      <c r="N7" s="32"/>
      <c r="O7" s="31"/>
      <c r="P7" s="31"/>
      <c r="Q7" s="31"/>
    </row>
    <row r="8" spans="1:17" x14ac:dyDescent="0.2">
      <c r="A8" s="33"/>
      <c r="B8" s="31"/>
      <c r="C8" s="36"/>
      <c r="D8" s="31"/>
      <c r="E8" s="38"/>
      <c r="F8" s="31"/>
      <c r="G8" s="39"/>
      <c r="H8" s="31"/>
      <c r="I8" s="34"/>
      <c r="J8" s="34"/>
      <c r="K8" s="32"/>
      <c r="L8" s="31"/>
      <c r="M8" s="31"/>
      <c r="N8" s="32"/>
      <c r="O8" s="31"/>
      <c r="P8" s="31"/>
      <c r="Q8" s="31"/>
    </row>
    <row r="9" spans="1:17" x14ac:dyDescent="0.2">
      <c r="A9" s="33"/>
      <c r="B9" s="31"/>
      <c r="C9" s="36"/>
      <c r="D9" s="31"/>
      <c r="E9" s="38"/>
      <c r="F9" s="31"/>
      <c r="G9" s="39"/>
      <c r="H9" s="31"/>
      <c r="I9" s="34"/>
      <c r="J9" s="34"/>
      <c r="K9" s="32"/>
      <c r="L9" s="31"/>
      <c r="M9" s="31"/>
      <c r="N9" s="32"/>
      <c r="O9" s="31"/>
      <c r="P9" s="31"/>
      <c r="Q9" s="31"/>
    </row>
    <row r="10" spans="1:17" x14ac:dyDescent="0.2">
      <c r="A10" s="31"/>
      <c r="B10" s="31"/>
      <c r="C10" s="36"/>
      <c r="D10" s="31"/>
      <c r="E10" s="37"/>
      <c r="F10" s="31"/>
      <c r="G10" s="32"/>
      <c r="H10" s="31"/>
      <c r="I10" s="32"/>
      <c r="J10" s="32"/>
      <c r="K10" s="32"/>
      <c r="L10" s="31"/>
      <c r="M10" s="31"/>
      <c r="N10" s="32"/>
      <c r="O10" s="31"/>
      <c r="P10" s="31"/>
      <c r="Q10" s="31"/>
    </row>
    <row r="11" spans="1:17" x14ac:dyDescent="0.2">
      <c r="A11" s="31"/>
      <c r="B11" s="31"/>
      <c r="C11" s="36"/>
      <c r="D11" s="31"/>
      <c r="E11" s="37"/>
      <c r="F11" s="31"/>
      <c r="G11" s="32"/>
      <c r="H11" s="31"/>
      <c r="I11" s="32"/>
      <c r="J11" s="32"/>
      <c r="K11" s="32"/>
      <c r="L11" s="31"/>
      <c r="M11" s="31"/>
      <c r="N11" s="32"/>
      <c r="O11" s="31"/>
      <c r="P11" s="31"/>
      <c r="Q11" s="31"/>
    </row>
    <row r="12" spans="1:17" x14ac:dyDescent="0.2">
      <c r="A12" s="31"/>
      <c r="B12" s="31"/>
      <c r="C12" s="36"/>
      <c r="D12" s="31"/>
      <c r="E12" s="37"/>
      <c r="F12" s="31"/>
      <c r="G12" s="32"/>
      <c r="H12" s="31"/>
      <c r="I12" s="32"/>
      <c r="J12" s="32"/>
      <c r="K12" s="32"/>
      <c r="L12" s="31"/>
      <c r="M12" s="31"/>
      <c r="N12" s="32"/>
      <c r="O12" s="31"/>
      <c r="P12" s="31"/>
      <c r="Q12" s="31"/>
    </row>
    <row r="13" spans="1:17" x14ac:dyDescent="0.2">
      <c r="A13" s="31"/>
      <c r="B13" s="31"/>
      <c r="C13" s="36"/>
      <c r="D13" s="31"/>
      <c r="E13" s="37"/>
      <c r="F13" s="31"/>
      <c r="G13" s="32"/>
      <c r="H13" s="31"/>
      <c r="I13" s="32"/>
      <c r="J13" s="32"/>
      <c r="K13" s="32"/>
      <c r="L13" s="31"/>
      <c r="M13" s="31"/>
      <c r="N13" s="32"/>
      <c r="O13" s="31"/>
      <c r="P13" s="31"/>
      <c r="Q13" s="31"/>
    </row>
    <row r="14" spans="1:17" x14ac:dyDescent="0.2">
      <c r="A14" s="31"/>
      <c r="B14" s="31"/>
      <c r="C14" s="36"/>
      <c r="D14" s="31"/>
      <c r="E14" s="37"/>
      <c r="F14" s="31"/>
      <c r="G14" s="32"/>
      <c r="H14" s="31"/>
      <c r="I14" s="32"/>
      <c r="J14" s="32"/>
      <c r="K14" s="32"/>
      <c r="L14" s="31"/>
      <c r="M14" s="31"/>
      <c r="N14" s="32"/>
      <c r="O14" s="31"/>
      <c r="P14" s="31"/>
      <c r="Q14" s="31"/>
    </row>
    <row r="15" spans="1:17" x14ac:dyDescent="0.2">
      <c r="A15" s="31"/>
      <c r="B15" s="31"/>
      <c r="C15" s="36"/>
      <c r="D15" s="31"/>
      <c r="E15" s="37"/>
      <c r="F15" s="31"/>
      <c r="G15" s="32"/>
      <c r="H15" s="31"/>
      <c r="I15" s="32"/>
      <c r="J15" s="32"/>
      <c r="K15" s="32"/>
      <c r="L15" s="31"/>
      <c r="M15" s="31"/>
      <c r="N15" s="32"/>
      <c r="O15" s="31"/>
      <c r="P15" s="31"/>
      <c r="Q15" s="31"/>
    </row>
    <row r="16" spans="1:17" x14ac:dyDescent="0.2">
      <c r="A16" s="31"/>
      <c r="B16" s="31"/>
      <c r="C16" s="36"/>
      <c r="D16" s="31"/>
      <c r="E16" s="37"/>
      <c r="F16" s="31"/>
      <c r="G16" s="32"/>
      <c r="H16" s="31"/>
      <c r="I16" s="32"/>
      <c r="J16" s="32"/>
      <c r="K16" s="32"/>
      <c r="L16" s="31"/>
      <c r="M16" s="31"/>
      <c r="N16" s="32"/>
      <c r="O16" s="31"/>
      <c r="P16" s="31"/>
      <c r="Q16" s="31"/>
    </row>
    <row r="17" spans="1:17" x14ac:dyDescent="0.2">
      <c r="A17" s="31"/>
      <c r="B17" s="31"/>
      <c r="C17" s="36"/>
      <c r="D17" s="31"/>
      <c r="E17" s="37"/>
      <c r="F17" s="31"/>
      <c r="G17" s="32"/>
      <c r="H17" s="31"/>
      <c r="I17" s="32"/>
      <c r="J17" s="32"/>
      <c r="K17" s="32"/>
      <c r="L17" s="31"/>
      <c r="M17" s="31"/>
      <c r="N17" s="32"/>
      <c r="O17" s="31"/>
      <c r="P17" s="31"/>
      <c r="Q17" s="31"/>
    </row>
    <row r="18" spans="1:17" x14ac:dyDescent="0.2">
      <c r="A18" s="31"/>
      <c r="B18" s="31"/>
      <c r="C18" s="36"/>
      <c r="D18" s="31"/>
      <c r="E18" s="37"/>
      <c r="F18" s="31"/>
      <c r="G18" s="32"/>
      <c r="H18" s="31"/>
      <c r="I18" s="32"/>
      <c r="J18" s="32"/>
      <c r="K18" s="32"/>
      <c r="L18" s="31"/>
      <c r="M18" s="31"/>
      <c r="N18" s="32"/>
      <c r="O18" s="31"/>
      <c r="P18" s="31"/>
      <c r="Q18" s="31"/>
    </row>
    <row r="19" spans="1:17" x14ac:dyDescent="0.2">
      <c r="A19" s="31"/>
      <c r="B19" s="31"/>
      <c r="C19" s="36"/>
      <c r="D19" s="31"/>
      <c r="E19" s="37"/>
      <c r="F19" s="31"/>
      <c r="G19" s="32"/>
      <c r="H19" s="31"/>
      <c r="I19" s="32"/>
      <c r="J19" s="32"/>
      <c r="K19" s="32"/>
      <c r="L19" s="31"/>
      <c r="M19" s="31"/>
      <c r="N19" s="32"/>
      <c r="O19" s="31"/>
      <c r="P19" s="31"/>
      <c r="Q19" s="31"/>
    </row>
    <row r="20" spans="1:17" x14ac:dyDescent="0.2">
      <c r="A20" s="31"/>
      <c r="B20" s="31"/>
      <c r="C20" s="36"/>
      <c r="D20" s="31"/>
      <c r="E20" s="37"/>
      <c r="F20" s="31"/>
      <c r="G20" s="32"/>
      <c r="H20" s="31"/>
      <c r="I20" s="32"/>
      <c r="J20" s="32"/>
      <c r="K20" s="32"/>
      <c r="L20" s="31"/>
      <c r="M20" s="31"/>
      <c r="N20" s="31"/>
      <c r="O20" s="31"/>
      <c r="P20" s="31"/>
      <c r="Q20" s="3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8"/>
  <sheetViews>
    <sheetView workbookViewId="0">
      <selection activeCell="F37" sqref="F37"/>
    </sheetView>
  </sheetViews>
  <sheetFormatPr baseColWidth="10" defaultColWidth="11" defaultRowHeight="16" x14ac:dyDescent="0.2"/>
  <cols>
    <col min="1" max="1" width="12.83203125" customWidth="1"/>
    <col min="2" max="2" width="19.6640625" customWidth="1"/>
    <col min="3" max="3" width="27.1640625" customWidth="1"/>
    <col min="4" max="4" width="31.83203125" customWidth="1"/>
    <col min="5" max="5" width="25.5" customWidth="1"/>
    <col min="6" max="6" width="13.83203125" customWidth="1"/>
    <col min="7" max="7" width="10.83203125" customWidth="1"/>
    <col min="9" max="9" width="10.83203125" customWidth="1"/>
  </cols>
  <sheetData>
    <row r="1" spans="1:6" ht="39" x14ac:dyDescent="0.45">
      <c r="A1" s="1" t="s">
        <v>704</v>
      </c>
    </row>
    <row r="3" spans="1:6" x14ac:dyDescent="0.2">
      <c r="A3" t="s">
        <v>705</v>
      </c>
    </row>
    <row r="5" spans="1:6" x14ac:dyDescent="0.2">
      <c r="A5" s="3" t="s">
        <v>706</v>
      </c>
      <c r="B5" s="3" t="s">
        <v>707</v>
      </c>
      <c r="C5" s="3" t="s">
        <v>708</v>
      </c>
      <c r="D5" s="3" t="s">
        <v>709</v>
      </c>
      <c r="E5" s="3" t="s">
        <v>710</v>
      </c>
    </row>
    <row r="6" spans="1:6" x14ac:dyDescent="0.2">
      <c r="A6" s="3">
        <v>99</v>
      </c>
      <c r="B6" s="3">
        <v>57</v>
      </c>
      <c r="C6" s="3">
        <f>(B6/A6)*100</f>
        <v>57.575757575757578</v>
      </c>
      <c r="D6" s="3">
        <v>33</v>
      </c>
      <c r="E6" s="3">
        <f>(D6/B6)*100</f>
        <v>57.894736842105267</v>
      </c>
    </row>
    <row r="12" spans="1:6" ht="21" x14ac:dyDescent="0.25">
      <c r="A12" s="2" t="s">
        <v>711</v>
      </c>
      <c r="B12" s="16" t="s">
        <v>712</v>
      </c>
      <c r="C12" s="16" t="s">
        <v>713</v>
      </c>
      <c r="D12" s="2" t="s">
        <v>157</v>
      </c>
      <c r="E12" s="2" t="s">
        <v>714</v>
      </c>
      <c r="F12" s="2" t="s">
        <v>143</v>
      </c>
    </row>
    <row r="13" spans="1:6" ht="21" x14ac:dyDescent="0.25">
      <c r="A13" s="66">
        <v>2</v>
      </c>
      <c r="B13" s="15">
        <v>1.87</v>
      </c>
      <c r="C13" s="15">
        <v>2</v>
      </c>
      <c r="D13" s="12">
        <f>IFERROR((C13-B13)/B13*100,)</f>
        <v>6.9518716577540047</v>
      </c>
      <c r="E13" s="71">
        <v>1500</v>
      </c>
      <c r="F13" s="71">
        <f>IFERROR((E13*D13)/100-14,0)</f>
        <v>90.278074866310078</v>
      </c>
    </row>
    <row r="14" spans="1:6" ht="21" x14ac:dyDescent="0.25">
      <c r="A14" s="66">
        <v>2</v>
      </c>
      <c r="B14" s="15">
        <v>1.87</v>
      </c>
      <c r="C14" s="15">
        <v>2.2000000000000002</v>
      </c>
      <c r="D14" s="12">
        <f>IFERROR((C14-B14)/B14*100,)</f>
        <v>17.647058823529417</v>
      </c>
      <c r="E14" s="71">
        <v>1500</v>
      </c>
      <c r="F14" s="71">
        <f>IFERROR((E14*D14)/100-14,0)</f>
        <v>250.70588235294127</v>
      </c>
    </row>
    <row r="15" spans="1:6" ht="21" x14ac:dyDescent="0.25">
      <c r="A15" s="66">
        <v>2</v>
      </c>
      <c r="B15" s="15">
        <v>1.87</v>
      </c>
      <c r="C15" s="15">
        <v>2</v>
      </c>
      <c r="D15" s="12">
        <f t="shared" ref="D15:D22" si="0">IFERROR((C15-B15)/B15*100,)</f>
        <v>6.9518716577540047</v>
      </c>
      <c r="E15" s="71">
        <v>1500</v>
      </c>
      <c r="F15" s="71">
        <f t="shared" ref="F15:F22" si="1">IFERROR((E15*D15)/100-14,0)</f>
        <v>90.278074866310078</v>
      </c>
    </row>
    <row r="16" spans="1:6" ht="21" x14ac:dyDescent="0.25">
      <c r="A16" s="66">
        <v>2</v>
      </c>
      <c r="B16" s="15">
        <v>1.87</v>
      </c>
      <c r="C16" s="15">
        <v>2</v>
      </c>
      <c r="D16" s="12">
        <f t="shared" si="0"/>
        <v>6.9518716577540047</v>
      </c>
      <c r="E16" s="71">
        <v>1500</v>
      </c>
      <c r="F16" s="71">
        <f t="shared" si="1"/>
        <v>90.278074866310078</v>
      </c>
    </row>
    <row r="17" spans="1:6" ht="21" x14ac:dyDescent="0.25">
      <c r="A17" s="66">
        <v>2</v>
      </c>
      <c r="B17" s="15">
        <v>1.87</v>
      </c>
      <c r="C17" s="15">
        <v>2</v>
      </c>
      <c r="D17" s="12">
        <f t="shared" si="0"/>
        <v>6.9518716577540047</v>
      </c>
      <c r="E17" s="71">
        <v>1500</v>
      </c>
      <c r="F17" s="71">
        <f t="shared" si="1"/>
        <v>90.278074866310078</v>
      </c>
    </row>
    <row r="18" spans="1:6" ht="21" x14ac:dyDescent="0.25">
      <c r="A18" s="66">
        <v>2</v>
      </c>
      <c r="B18" s="15">
        <v>1.87</v>
      </c>
      <c r="C18" s="15">
        <v>1.78</v>
      </c>
      <c r="D18" s="12">
        <f t="shared" si="0"/>
        <v>-4.8128342245989346</v>
      </c>
      <c r="E18" s="71">
        <v>1500</v>
      </c>
      <c r="F18" s="71">
        <f t="shared" si="1"/>
        <v>-86.192513368984024</v>
      </c>
    </row>
    <row r="19" spans="1:6" ht="21" x14ac:dyDescent="0.25">
      <c r="A19" s="66">
        <v>2</v>
      </c>
      <c r="B19" s="15">
        <v>1.87</v>
      </c>
      <c r="C19" s="15">
        <v>1.83</v>
      </c>
      <c r="D19" s="12">
        <f t="shared" si="0"/>
        <v>-2.1390374331550817</v>
      </c>
      <c r="E19" s="71">
        <v>1500</v>
      </c>
      <c r="F19" s="71">
        <f t="shared" si="1"/>
        <v>-46.085561497326225</v>
      </c>
    </row>
    <row r="20" spans="1:6" ht="21" x14ac:dyDescent="0.25">
      <c r="A20" s="66">
        <v>2</v>
      </c>
      <c r="B20" s="15">
        <v>1.87</v>
      </c>
      <c r="C20" s="15">
        <v>1.83</v>
      </c>
      <c r="D20" s="12">
        <f t="shared" si="0"/>
        <v>-2.1390374331550817</v>
      </c>
      <c r="E20" s="71">
        <v>1500</v>
      </c>
      <c r="F20" s="71">
        <f t="shared" si="1"/>
        <v>-46.085561497326225</v>
      </c>
    </row>
    <row r="21" spans="1:6" ht="21" x14ac:dyDescent="0.25">
      <c r="A21" s="66">
        <v>2</v>
      </c>
      <c r="B21" s="15">
        <v>1.87</v>
      </c>
      <c r="C21" s="15">
        <v>1.83</v>
      </c>
      <c r="D21" s="12">
        <f t="shared" si="0"/>
        <v>-2.1390374331550817</v>
      </c>
      <c r="E21" s="71">
        <v>1500</v>
      </c>
      <c r="F21" s="71">
        <f t="shared" si="1"/>
        <v>-46.085561497326225</v>
      </c>
    </row>
    <row r="22" spans="1:6" ht="21" x14ac:dyDescent="0.25">
      <c r="A22" s="66">
        <v>2</v>
      </c>
      <c r="B22" s="15">
        <v>1.87</v>
      </c>
      <c r="C22" s="15">
        <v>1.83</v>
      </c>
      <c r="D22" s="12">
        <f t="shared" si="0"/>
        <v>-2.1390374331550817</v>
      </c>
      <c r="E22" s="71">
        <v>1500</v>
      </c>
      <c r="F22" s="71">
        <f t="shared" si="1"/>
        <v>-46.085561497326225</v>
      </c>
    </row>
    <row r="24" spans="1:6" x14ac:dyDescent="0.2">
      <c r="A24" t="s">
        <v>715</v>
      </c>
      <c r="B24" s="91">
        <f>F13+F14+F15+F16+F17+F18+F19+F20+F21+F22</f>
        <v>341.28342245989256</v>
      </c>
    </row>
    <row r="25" spans="1:6" x14ac:dyDescent="0.2">
      <c r="A25" t="s">
        <v>716</v>
      </c>
      <c r="B25" s="92">
        <v>1000000</v>
      </c>
    </row>
    <row r="26" spans="1:6" x14ac:dyDescent="0.2">
      <c r="A26" t="s">
        <v>717</v>
      </c>
      <c r="B26">
        <f>B25/B24</f>
        <v>2930.1159511125079</v>
      </c>
    </row>
    <row r="27" spans="1:6" x14ac:dyDescent="0.2">
      <c r="A27" t="s">
        <v>718</v>
      </c>
      <c r="B27">
        <f>B26/360</f>
        <v>8.1392109753125226</v>
      </c>
    </row>
    <row r="30" spans="1:6" x14ac:dyDescent="0.2">
      <c r="A30" t="s">
        <v>719</v>
      </c>
    </row>
    <row r="32" spans="1:6" x14ac:dyDescent="0.2">
      <c r="A32" s="3"/>
      <c r="B32" s="3" t="s">
        <v>706</v>
      </c>
      <c r="C32" s="3" t="s">
        <v>720</v>
      </c>
      <c r="D32" s="3" t="s">
        <v>721</v>
      </c>
      <c r="E32" s="3" t="s">
        <v>722</v>
      </c>
      <c r="F32" s="3" t="s">
        <v>723</v>
      </c>
    </row>
    <row r="33" spans="1:6" x14ac:dyDescent="0.2">
      <c r="A33" s="3" t="s">
        <v>357</v>
      </c>
      <c r="B33" s="3">
        <v>37</v>
      </c>
      <c r="C33" s="3">
        <v>17</v>
      </c>
      <c r="D33" s="3">
        <v>20</v>
      </c>
      <c r="E33" s="3">
        <v>16</v>
      </c>
      <c r="F33" s="3">
        <v>21</v>
      </c>
    </row>
    <row r="34" spans="1:6" s="14" customFormat="1" x14ac:dyDescent="0.2">
      <c r="A34" s="21" t="s">
        <v>724</v>
      </c>
      <c r="B34" s="21"/>
      <c r="C34" s="21">
        <f>(B33-C33)/B33*100</f>
        <v>54.054054054054056</v>
      </c>
      <c r="D34" s="21">
        <f>(B33-D33)/B33*100</f>
        <v>45.945945945945951</v>
      </c>
      <c r="E34" s="21">
        <f>(B33-E33)/B33*100</f>
        <v>56.756756756756758</v>
      </c>
      <c r="F34" s="21">
        <f>(B33-F33)/B33*100</f>
        <v>43.243243243243242</v>
      </c>
    </row>
    <row r="36" spans="1:6" x14ac:dyDescent="0.2">
      <c r="A36" s="3"/>
      <c r="B36" s="3" t="s">
        <v>720</v>
      </c>
      <c r="C36" s="3" t="s">
        <v>725</v>
      </c>
      <c r="D36" s="3" t="s">
        <v>726</v>
      </c>
      <c r="E36" s="3" t="s">
        <v>727</v>
      </c>
      <c r="F36" s="3"/>
    </row>
    <row r="37" spans="1:6" x14ac:dyDescent="0.2">
      <c r="A37" s="3" t="s">
        <v>357</v>
      </c>
      <c r="B37" s="3">
        <v>17</v>
      </c>
      <c r="C37" s="3">
        <v>6</v>
      </c>
      <c r="D37" s="3">
        <v>20</v>
      </c>
      <c r="E37" s="3">
        <v>10</v>
      </c>
      <c r="F37" s="3"/>
    </row>
    <row r="38" spans="1:6" x14ac:dyDescent="0.2">
      <c r="A38" s="21" t="s">
        <v>724</v>
      </c>
      <c r="B38" s="21"/>
      <c r="C38" s="21">
        <f>(B37-C37)/B37*100</f>
        <v>64.705882352941174</v>
      </c>
      <c r="D38" s="21"/>
      <c r="E38" s="21">
        <f>(B37-E37)/B37*100</f>
        <v>41.17647058823529</v>
      </c>
      <c r="F38" s="2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73"/>
  <sheetViews>
    <sheetView topLeftCell="A2" workbookViewId="0">
      <selection activeCell="B38" sqref="B38"/>
    </sheetView>
  </sheetViews>
  <sheetFormatPr baseColWidth="10" defaultColWidth="11" defaultRowHeight="16" x14ac:dyDescent="0.2"/>
  <cols>
    <col min="2" max="2" width="15.1640625" customWidth="1"/>
    <col min="3" max="3" width="15.6640625" customWidth="1"/>
    <col min="4" max="5" width="12" customWidth="1"/>
    <col min="6" max="6" width="17.83203125" customWidth="1"/>
    <col min="7" max="7" width="13.5" customWidth="1"/>
    <col min="8" max="8" width="26.33203125" customWidth="1"/>
    <col min="9" max="9" width="19.5" style="14" customWidth="1"/>
    <col min="10" max="10" width="29.5" customWidth="1"/>
    <col min="11" max="11" width="20.5" customWidth="1"/>
    <col min="12" max="12" width="41.33203125" style="14" customWidth="1"/>
    <col min="13" max="13" width="39.83203125" customWidth="1"/>
  </cols>
  <sheetData>
    <row r="1" spans="1:13" ht="39" x14ac:dyDescent="0.45">
      <c r="A1" s="1" t="s">
        <v>728</v>
      </c>
    </row>
    <row r="3" spans="1:13" x14ac:dyDescent="0.2">
      <c r="A3" s="22" t="s">
        <v>107</v>
      </c>
      <c r="B3" s="22" t="s">
        <v>729</v>
      </c>
      <c r="C3" s="22" t="s">
        <v>730</v>
      </c>
      <c r="D3" s="22" t="s">
        <v>731</v>
      </c>
      <c r="E3" s="22" t="s">
        <v>732</v>
      </c>
      <c r="F3" s="22" t="s">
        <v>733</v>
      </c>
      <c r="G3" s="22" t="s">
        <v>734</v>
      </c>
      <c r="H3" s="22" t="s">
        <v>735</v>
      </c>
      <c r="I3" s="43" t="s">
        <v>736</v>
      </c>
      <c r="J3" s="23" t="s">
        <v>737</v>
      </c>
      <c r="K3" s="23" t="s">
        <v>738</v>
      </c>
      <c r="L3" s="42" t="s">
        <v>739</v>
      </c>
      <c r="M3" s="23" t="s">
        <v>740</v>
      </c>
    </row>
    <row r="4" spans="1:13" x14ac:dyDescent="0.2">
      <c r="A4" s="19">
        <v>11140</v>
      </c>
      <c r="B4" s="3">
        <v>68</v>
      </c>
      <c r="C4" s="29">
        <v>95.5</v>
      </c>
      <c r="D4" s="40">
        <v>95.4</v>
      </c>
      <c r="E4" s="3">
        <f>D4-C4</f>
        <v>-9.9999999999994316E-2</v>
      </c>
      <c r="F4" s="24">
        <v>0.72916666666666663</v>
      </c>
      <c r="G4" s="41">
        <v>0.66805555555555562</v>
      </c>
      <c r="H4" s="20">
        <f>F4-G4</f>
        <v>6.1111111111111005E-2</v>
      </c>
      <c r="I4" s="21">
        <v>3</v>
      </c>
      <c r="J4" s="21">
        <v>18</v>
      </c>
      <c r="K4" s="3">
        <f>D4-D14</f>
        <v>1.5</v>
      </c>
      <c r="L4" s="21">
        <f>K4/J4</f>
        <v>8.3333333333333329E-2</v>
      </c>
      <c r="M4" s="3"/>
    </row>
    <row r="5" spans="1:13" x14ac:dyDescent="0.2">
      <c r="A5" s="19">
        <v>11505</v>
      </c>
      <c r="B5" s="3">
        <v>67</v>
      </c>
      <c r="C5" s="29">
        <v>95.4</v>
      </c>
      <c r="D5" s="40">
        <v>94.8</v>
      </c>
      <c r="E5" s="3">
        <f t="shared" ref="E5:E68" si="0">D5-C5</f>
        <v>-0.60000000000000853</v>
      </c>
      <c r="F5" s="24">
        <v>0.72222222222222221</v>
      </c>
      <c r="G5" s="20" t="s">
        <v>21</v>
      </c>
      <c r="H5" s="20" t="e">
        <f t="shared" ref="H5:H68" si="1">F5-G5</f>
        <v>#VALUE!</v>
      </c>
      <c r="I5" s="21">
        <v>0</v>
      </c>
      <c r="J5" s="21">
        <f>I5+J4</f>
        <v>18</v>
      </c>
      <c r="K5" s="3">
        <f t="shared" ref="K5:K68" si="2">D5-C5</f>
        <v>-0.60000000000000853</v>
      </c>
      <c r="L5" s="21">
        <f t="shared" ref="L5:L68" si="3">K5/J5</f>
        <v>-3.3333333333333805E-2</v>
      </c>
      <c r="M5" s="3"/>
    </row>
    <row r="6" spans="1:13" x14ac:dyDescent="0.2">
      <c r="A6" s="19">
        <v>37104</v>
      </c>
      <c r="B6" s="3">
        <v>66</v>
      </c>
      <c r="C6" s="29">
        <v>95.3</v>
      </c>
      <c r="D6" s="40">
        <v>94.2</v>
      </c>
      <c r="E6" s="3">
        <f t="shared" si="0"/>
        <v>-1.0999999999999943</v>
      </c>
      <c r="F6" s="24">
        <v>0.71527777777777779</v>
      </c>
      <c r="G6" s="20" t="s">
        <v>21</v>
      </c>
      <c r="H6" s="20" t="e">
        <f t="shared" si="1"/>
        <v>#VALUE!</v>
      </c>
      <c r="I6" s="21"/>
      <c r="J6" s="3"/>
      <c r="K6" s="3">
        <f t="shared" si="2"/>
        <v>-1.0999999999999943</v>
      </c>
      <c r="L6" s="21" t="e">
        <f t="shared" si="3"/>
        <v>#DIV/0!</v>
      </c>
      <c r="M6" s="3"/>
    </row>
    <row r="7" spans="1:13" x14ac:dyDescent="0.2">
      <c r="A7" s="19">
        <v>37469</v>
      </c>
      <c r="B7" s="3">
        <v>65</v>
      </c>
      <c r="C7" s="29">
        <v>95.2</v>
      </c>
      <c r="D7" s="28">
        <v>95.4</v>
      </c>
      <c r="E7" s="3">
        <f t="shared" si="0"/>
        <v>0.20000000000000284</v>
      </c>
      <c r="F7" s="24">
        <v>0.70833333333333304</v>
      </c>
      <c r="G7" s="20" t="s">
        <v>21</v>
      </c>
      <c r="H7" s="20" t="e">
        <f t="shared" si="1"/>
        <v>#VALUE!</v>
      </c>
      <c r="I7" s="21"/>
      <c r="J7" s="3"/>
      <c r="K7" s="3">
        <f t="shared" si="2"/>
        <v>0.20000000000000284</v>
      </c>
      <c r="L7" s="21" t="e">
        <f t="shared" si="3"/>
        <v>#DIV/0!</v>
      </c>
      <c r="M7" s="3"/>
    </row>
    <row r="8" spans="1:13" x14ac:dyDescent="0.2">
      <c r="A8" s="19">
        <v>37834</v>
      </c>
      <c r="B8" s="3">
        <v>64</v>
      </c>
      <c r="C8" s="29">
        <v>95.1</v>
      </c>
      <c r="D8" s="28">
        <v>95.5</v>
      </c>
      <c r="E8" s="3">
        <f t="shared" si="0"/>
        <v>0.40000000000000568</v>
      </c>
      <c r="F8" s="24">
        <v>0.70138888888888895</v>
      </c>
      <c r="G8" s="20" t="s">
        <v>21</v>
      </c>
      <c r="H8" s="20" t="e">
        <f t="shared" si="1"/>
        <v>#VALUE!</v>
      </c>
      <c r="I8" s="21"/>
      <c r="J8" s="3"/>
      <c r="K8" s="3">
        <f t="shared" si="2"/>
        <v>0.40000000000000568</v>
      </c>
      <c r="L8" s="21" t="e">
        <f t="shared" si="3"/>
        <v>#DIV/0!</v>
      </c>
      <c r="M8" s="3"/>
    </row>
    <row r="9" spans="1:13" x14ac:dyDescent="0.2">
      <c r="A9" s="19">
        <v>38200</v>
      </c>
      <c r="B9" s="3">
        <v>63</v>
      </c>
      <c r="C9" s="29">
        <v>95</v>
      </c>
      <c r="D9" s="28">
        <v>95.5</v>
      </c>
      <c r="E9" s="3">
        <f t="shared" si="0"/>
        <v>0.5</v>
      </c>
      <c r="F9" s="24">
        <v>0.69444444444444497</v>
      </c>
      <c r="G9" s="20" t="s">
        <v>21</v>
      </c>
      <c r="H9" s="20" t="e">
        <f t="shared" si="1"/>
        <v>#VALUE!</v>
      </c>
      <c r="I9" s="21"/>
      <c r="J9" s="3"/>
      <c r="K9" s="3">
        <f t="shared" si="2"/>
        <v>0.5</v>
      </c>
      <c r="L9" s="21" t="e">
        <f t="shared" si="3"/>
        <v>#DIV/0!</v>
      </c>
      <c r="M9" s="3"/>
    </row>
    <row r="10" spans="1:13" x14ac:dyDescent="0.2">
      <c r="A10" s="19">
        <v>38565</v>
      </c>
      <c r="B10" s="3">
        <v>62</v>
      </c>
      <c r="C10" s="29">
        <v>94.9</v>
      </c>
      <c r="D10" s="28">
        <v>95.5</v>
      </c>
      <c r="E10" s="3">
        <f t="shared" si="0"/>
        <v>0.59999999999999432</v>
      </c>
      <c r="F10" s="24">
        <v>0.6875</v>
      </c>
      <c r="G10" s="20" t="s">
        <v>21</v>
      </c>
      <c r="H10" s="20" t="e">
        <f t="shared" si="1"/>
        <v>#VALUE!</v>
      </c>
      <c r="I10" s="21"/>
      <c r="J10" s="3"/>
      <c r="K10" s="3">
        <f t="shared" si="2"/>
        <v>0.59999999999999432</v>
      </c>
      <c r="L10" s="21" t="e">
        <f t="shared" si="3"/>
        <v>#DIV/0!</v>
      </c>
      <c r="M10" s="3"/>
    </row>
    <row r="11" spans="1:13" x14ac:dyDescent="0.2">
      <c r="A11" s="19">
        <v>38930</v>
      </c>
      <c r="B11" s="3">
        <v>61</v>
      </c>
      <c r="C11" s="29">
        <v>94.8</v>
      </c>
      <c r="D11" s="28">
        <v>95.5</v>
      </c>
      <c r="E11" s="3">
        <f t="shared" si="0"/>
        <v>0.70000000000000284</v>
      </c>
      <c r="F11" s="24">
        <v>0.68055555555555602</v>
      </c>
      <c r="G11" s="49">
        <v>0.69097222222222221</v>
      </c>
      <c r="H11" s="20">
        <f t="shared" si="1"/>
        <v>-1.0416666666666186E-2</v>
      </c>
      <c r="I11" s="21">
        <v>3</v>
      </c>
      <c r="J11" s="3"/>
      <c r="K11" s="3">
        <f t="shared" si="2"/>
        <v>0.70000000000000284</v>
      </c>
      <c r="L11" s="21" t="e">
        <f t="shared" si="3"/>
        <v>#DIV/0!</v>
      </c>
      <c r="M11" s="3"/>
    </row>
    <row r="12" spans="1:13" x14ac:dyDescent="0.2">
      <c r="A12" s="19">
        <v>39295</v>
      </c>
      <c r="B12" s="3">
        <v>60</v>
      </c>
      <c r="C12" s="29">
        <v>94.7</v>
      </c>
      <c r="D12" s="28">
        <v>95.7</v>
      </c>
      <c r="E12" s="3">
        <f t="shared" si="0"/>
        <v>1</v>
      </c>
      <c r="F12" s="24">
        <v>0.67361111111111105</v>
      </c>
      <c r="G12" s="20" t="s">
        <v>21</v>
      </c>
      <c r="H12" s="20" t="e">
        <f t="shared" si="1"/>
        <v>#VALUE!</v>
      </c>
      <c r="I12" s="21"/>
      <c r="J12" s="3"/>
      <c r="K12" s="3">
        <f t="shared" si="2"/>
        <v>1</v>
      </c>
      <c r="L12" s="21" t="e">
        <f t="shared" si="3"/>
        <v>#DIV/0!</v>
      </c>
      <c r="M12" s="3"/>
    </row>
    <row r="13" spans="1:13" x14ac:dyDescent="0.2">
      <c r="A13" s="19">
        <v>39661</v>
      </c>
      <c r="B13" s="3">
        <v>59</v>
      </c>
      <c r="C13" s="29">
        <v>94.600000000000094</v>
      </c>
      <c r="D13" s="4">
        <v>94.8</v>
      </c>
      <c r="E13" s="3">
        <f t="shared" si="0"/>
        <v>0.19999999999990337</v>
      </c>
      <c r="F13" s="24">
        <v>0.66666666666666696</v>
      </c>
      <c r="G13" s="49">
        <v>0.69791666666666663</v>
      </c>
      <c r="H13" s="20">
        <f t="shared" si="1"/>
        <v>-3.1249999999999667E-2</v>
      </c>
      <c r="I13" s="21"/>
      <c r="J13" s="3"/>
      <c r="K13" s="3">
        <f t="shared" si="2"/>
        <v>0.19999999999990337</v>
      </c>
      <c r="L13" s="21" t="e">
        <f t="shared" si="3"/>
        <v>#DIV/0!</v>
      </c>
      <c r="M13" s="3"/>
    </row>
    <row r="14" spans="1:13" x14ac:dyDescent="0.2">
      <c r="A14" s="19">
        <v>40026</v>
      </c>
      <c r="B14" s="3">
        <v>58</v>
      </c>
      <c r="C14" s="29">
        <v>94.500000000000099</v>
      </c>
      <c r="D14" s="40">
        <v>93.9</v>
      </c>
      <c r="E14" s="3">
        <f t="shared" si="0"/>
        <v>-0.60000000000009379</v>
      </c>
      <c r="F14" s="25">
        <v>0.91666666666666663</v>
      </c>
      <c r="G14" s="41">
        <v>0.84722222222222221</v>
      </c>
      <c r="H14" s="20">
        <f t="shared" si="1"/>
        <v>6.944444444444442E-2</v>
      </c>
      <c r="I14" s="21">
        <v>3</v>
      </c>
      <c r="J14" s="3"/>
      <c r="K14" s="3">
        <f t="shared" si="2"/>
        <v>-0.60000000000009379</v>
      </c>
      <c r="L14" s="21" t="e">
        <f t="shared" si="3"/>
        <v>#DIV/0!</v>
      </c>
      <c r="M14" s="3"/>
    </row>
    <row r="15" spans="1:13" x14ac:dyDescent="0.2">
      <c r="A15" s="19">
        <v>40391</v>
      </c>
      <c r="B15" s="3">
        <v>57</v>
      </c>
      <c r="C15" s="29">
        <v>94.400000000000105</v>
      </c>
      <c r="D15" s="28" t="s">
        <v>21</v>
      </c>
      <c r="E15" s="3" t="e">
        <f t="shared" si="0"/>
        <v>#VALUE!</v>
      </c>
      <c r="F15" s="25">
        <v>0.90972222222222221</v>
      </c>
      <c r="G15" s="20" t="s">
        <v>21</v>
      </c>
      <c r="H15" s="20" t="e">
        <f t="shared" si="1"/>
        <v>#VALUE!</v>
      </c>
      <c r="I15" s="21"/>
      <c r="J15" s="3"/>
      <c r="K15" s="3" t="e">
        <f t="shared" si="2"/>
        <v>#VALUE!</v>
      </c>
      <c r="L15" s="21" t="e">
        <f t="shared" si="3"/>
        <v>#VALUE!</v>
      </c>
      <c r="M15" s="3"/>
    </row>
    <row r="16" spans="1:13" x14ac:dyDescent="0.2">
      <c r="A16" s="19">
        <v>40756</v>
      </c>
      <c r="B16" s="3">
        <v>56</v>
      </c>
      <c r="C16" s="29">
        <v>94.300000000000097</v>
      </c>
      <c r="D16" s="28" t="s">
        <v>21</v>
      </c>
      <c r="E16" s="3" t="e">
        <f t="shared" si="0"/>
        <v>#VALUE!</v>
      </c>
      <c r="F16" s="25">
        <v>0.90277777777777801</v>
      </c>
      <c r="G16" s="20" t="s">
        <v>21</v>
      </c>
      <c r="H16" s="20" t="e">
        <f t="shared" si="1"/>
        <v>#VALUE!</v>
      </c>
      <c r="I16" s="21"/>
      <c r="J16" s="3"/>
      <c r="K16" s="3" t="e">
        <f t="shared" si="2"/>
        <v>#VALUE!</v>
      </c>
      <c r="L16" s="21" t="e">
        <f t="shared" si="3"/>
        <v>#VALUE!</v>
      </c>
      <c r="M16" s="3"/>
    </row>
    <row r="17" spans="1:13" x14ac:dyDescent="0.2">
      <c r="A17" s="19">
        <v>41122</v>
      </c>
      <c r="B17" s="3">
        <v>55</v>
      </c>
      <c r="C17" s="29">
        <v>94.200000000000102</v>
      </c>
      <c r="D17" s="28">
        <v>96.2</v>
      </c>
      <c r="E17" s="3">
        <f t="shared" si="0"/>
        <v>1.9999999999999005</v>
      </c>
      <c r="F17" s="25">
        <v>0.89583333333333304</v>
      </c>
      <c r="G17" s="41">
        <v>0.82500000000000007</v>
      </c>
      <c r="H17" s="20">
        <f t="shared" si="1"/>
        <v>7.0833333333332971E-2</v>
      </c>
      <c r="I17" s="21"/>
      <c r="J17" s="3"/>
      <c r="K17" s="3">
        <f t="shared" si="2"/>
        <v>1.9999999999999005</v>
      </c>
      <c r="L17" s="21" t="e">
        <f t="shared" si="3"/>
        <v>#DIV/0!</v>
      </c>
      <c r="M17" s="3"/>
    </row>
    <row r="18" spans="1:13" x14ac:dyDescent="0.2">
      <c r="A18" s="19">
        <v>41487</v>
      </c>
      <c r="B18" s="3">
        <v>54</v>
      </c>
      <c r="C18" s="29">
        <v>94.100000000000094</v>
      </c>
      <c r="D18" s="28">
        <v>95.4</v>
      </c>
      <c r="E18" s="3">
        <f t="shared" si="0"/>
        <v>1.2999999999999119</v>
      </c>
      <c r="F18" s="25">
        <v>0.88888888888888895</v>
      </c>
      <c r="G18" s="49" t="s">
        <v>741</v>
      </c>
      <c r="H18" s="20" t="e">
        <f t="shared" si="1"/>
        <v>#VALUE!</v>
      </c>
      <c r="I18" s="21"/>
      <c r="J18" s="3"/>
      <c r="K18" s="3">
        <f t="shared" si="2"/>
        <v>1.2999999999999119</v>
      </c>
      <c r="L18" s="21" t="e">
        <f t="shared" si="3"/>
        <v>#DIV/0!</v>
      </c>
      <c r="M18" s="3"/>
    </row>
    <row r="19" spans="1:13" x14ac:dyDescent="0.2">
      <c r="A19" s="19">
        <v>41852</v>
      </c>
      <c r="B19" s="3">
        <v>53</v>
      </c>
      <c r="C19" s="29">
        <v>94.000000000000099</v>
      </c>
      <c r="D19" s="3">
        <v>95.4</v>
      </c>
      <c r="E19" s="3">
        <f t="shared" si="0"/>
        <v>1.3999999999999062</v>
      </c>
      <c r="F19" s="25">
        <v>0.88194444444444497</v>
      </c>
      <c r="G19" s="20" t="s">
        <v>21</v>
      </c>
      <c r="H19" s="20" t="e">
        <f t="shared" si="1"/>
        <v>#VALUE!</v>
      </c>
      <c r="I19" s="21"/>
      <c r="J19" s="3"/>
      <c r="K19" s="3">
        <f t="shared" si="2"/>
        <v>1.3999999999999062</v>
      </c>
      <c r="L19" s="21" t="e">
        <f t="shared" si="3"/>
        <v>#DIV/0!</v>
      </c>
      <c r="M19" s="3"/>
    </row>
    <row r="20" spans="1:13" x14ac:dyDescent="0.2">
      <c r="A20" s="19">
        <v>42217</v>
      </c>
      <c r="B20" s="3">
        <v>52</v>
      </c>
      <c r="C20" s="29">
        <v>93.900000000000105</v>
      </c>
      <c r="D20" s="28" t="s">
        <v>21</v>
      </c>
      <c r="E20" s="3" t="e">
        <f t="shared" si="0"/>
        <v>#VALUE!</v>
      </c>
      <c r="F20" s="25">
        <v>0.875</v>
      </c>
      <c r="G20" s="20" t="s">
        <v>21</v>
      </c>
      <c r="H20" s="20" t="e">
        <f t="shared" si="1"/>
        <v>#VALUE!</v>
      </c>
      <c r="I20" s="21"/>
      <c r="J20" s="3"/>
      <c r="K20" s="3" t="e">
        <f t="shared" si="2"/>
        <v>#VALUE!</v>
      </c>
      <c r="L20" s="21" t="e">
        <f t="shared" si="3"/>
        <v>#VALUE!</v>
      </c>
      <c r="M20" s="3"/>
    </row>
    <row r="21" spans="1:13" x14ac:dyDescent="0.2">
      <c r="A21" s="19">
        <v>42583</v>
      </c>
      <c r="B21" s="3">
        <v>51</v>
      </c>
      <c r="C21" s="29">
        <v>93.800000000000097</v>
      </c>
      <c r="D21" s="3">
        <v>95.4</v>
      </c>
      <c r="E21" s="3">
        <f t="shared" si="0"/>
        <v>1.5999999999999091</v>
      </c>
      <c r="F21" s="25">
        <v>0.86805555555555602</v>
      </c>
      <c r="G21" s="20"/>
      <c r="H21" s="20">
        <f>F21-G21</f>
        <v>0.86805555555555602</v>
      </c>
      <c r="I21" s="21"/>
      <c r="J21" s="3"/>
      <c r="K21" s="3">
        <f t="shared" si="2"/>
        <v>1.5999999999999091</v>
      </c>
      <c r="L21" s="21" t="e">
        <f t="shared" si="3"/>
        <v>#DIV/0!</v>
      </c>
      <c r="M21" s="3"/>
    </row>
    <row r="22" spans="1:13" x14ac:dyDescent="0.2">
      <c r="A22" s="19">
        <v>42948</v>
      </c>
      <c r="B22" s="3">
        <v>50</v>
      </c>
      <c r="C22" s="29">
        <v>93.700000000000102</v>
      </c>
      <c r="D22" s="3"/>
      <c r="E22" s="3">
        <f t="shared" si="0"/>
        <v>-93.700000000000102</v>
      </c>
      <c r="F22" s="25">
        <v>0.86111111111111105</v>
      </c>
      <c r="G22" s="20" t="s">
        <v>21</v>
      </c>
      <c r="H22" s="20" t="e">
        <f t="shared" si="1"/>
        <v>#VALUE!</v>
      </c>
      <c r="I22" s="21"/>
      <c r="J22" s="3"/>
      <c r="K22" s="3">
        <f t="shared" si="2"/>
        <v>-93.700000000000102</v>
      </c>
      <c r="L22" s="21" t="e">
        <f t="shared" si="3"/>
        <v>#DIV/0!</v>
      </c>
      <c r="M22" s="3"/>
    </row>
    <row r="23" spans="1:13" x14ac:dyDescent="0.2">
      <c r="A23" s="19">
        <v>43313</v>
      </c>
      <c r="B23" s="3">
        <v>49</v>
      </c>
      <c r="C23" s="29">
        <v>93.600000000000094</v>
      </c>
      <c r="D23" s="3" t="s">
        <v>21</v>
      </c>
      <c r="E23" s="3" t="e">
        <f t="shared" si="0"/>
        <v>#VALUE!</v>
      </c>
      <c r="F23" s="25">
        <v>0.85416666666666696</v>
      </c>
      <c r="G23" s="20" t="s">
        <v>21</v>
      </c>
      <c r="H23" s="20" t="e">
        <f t="shared" si="1"/>
        <v>#VALUE!</v>
      </c>
      <c r="I23" s="21"/>
      <c r="J23" s="3"/>
      <c r="K23" s="3" t="e">
        <f t="shared" si="2"/>
        <v>#VALUE!</v>
      </c>
      <c r="L23" s="21" t="e">
        <f t="shared" si="3"/>
        <v>#VALUE!</v>
      </c>
      <c r="M23" s="3"/>
    </row>
    <row r="24" spans="1:13" x14ac:dyDescent="0.2">
      <c r="A24" s="19">
        <v>43678</v>
      </c>
      <c r="B24" s="3">
        <v>48</v>
      </c>
      <c r="C24" s="29">
        <v>93.500000000000099</v>
      </c>
      <c r="D24" s="3" t="s">
        <v>21</v>
      </c>
      <c r="E24" s="3" t="e">
        <f t="shared" si="0"/>
        <v>#VALUE!</v>
      </c>
      <c r="F24" s="25">
        <v>0.84722222222222199</v>
      </c>
      <c r="G24" s="41">
        <v>0.82777777777777783</v>
      </c>
      <c r="H24" s="20">
        <f t="shared" si="1"/>
        <v>1.9444444444444153E-2</v>
      </c>
      <c r="I24" s="21"/>
      <c r="J24" s="3"/>
      <c r="K24" s="3" t="e">
        <f t="shared" si="2"/>
        <v>#VALUE!</v>
      </c>
      <c r="L24" s="21" t="e">
        <f t="shared" si="3"/>
        <v>#VALUE!</v>
      </c>
      <c r="M24" s="3"/>
    </row>
    <row r="25" spans="1:13" x14ac:dyDescent="0.2">
      <c r="A25" s="19">
        <v>44044</v>
      </c>
      <c r="B25" s="3">
        <v>47</v>
      </c>
      <c r="C25" s="29">
        <v>93.400000000000105</v>
      </c>
      <c r="D25" s="3" t="s">
        <v>21</v>
      </c>
      <c r="E25" s="3" t="e">
        <f t="shared" si="0"/>
        <v>#VALUE!</v>
      </c>
      <c r="F25" s="25">
        <v>0.84027777777777801</v>
      </c>
      <c r="G25" s="20" t="s">
        <v>21</v>
      </c>
      <c r="H25" s="20" t="e">
        <f t="shared" si="1"/>
        <v>#VALUE!</v>
      </c>
      <c r="I25" s="21"/>
      <c r="J25" s="3"/>
      <c r="K25" s="3" t="e">
        <f t="shared" si="2"/>
        <v>#VALUE!</v>
      </c>
      <c r="L25" s="21" t="e">
        <f t="shared" si="3"/>
        <v>#VALUE!</v>
      </c>
      <c r="M25" s="3"/>
    </row>
    <row r="26" spans="1:13" x14ac:dyDescent="0.2">
      <c r="A26" s="19">
        <v>44409</v>
      </c>
      <c r="B26" s="3">
        <v>46</v>
      </c>
      <c r="C26" s="29">
        <v>93.300000000000097</v>
      </c>
      <c r="D26" s="3" t="s">
        <v>21</v>
      </c>
      <c r="E26" s="3" t="e">
        <f t="shared" si="0"/>
        <v>#VALUE!</v>
      </c>
      <c r="F26" s="25">
        <v>0.83333333333333404</v>
      </c>
      <c r="G26" s="20" t="s">
        <v>21</v>
      </c>
      <c r="H26" s="20" t="e">
        <f t="shared" si="1"/>
        <v>#VALUE!</v>
      </c>
      <c r="I26" s="21"/>
      <c r="J26" s="3"/>
      <c r="K26" s="3" t="e">
        <f t="shared" si="2"/>
        <v>#VALUE!</v>
      </c>
      <c r="L26" s="46" t="e">
        <f t="shared" si="3"/>
        <v>#VALUE!</v>
      </c>
      <c r="M26" s="3"/>
    </row>
    <row r="27" spans="1:13" x14ac:dyDescent="0.2">
      <c r="A27" s="19">
        <v>44774</v>
      </c>
      <c r="B27" s="3">
        <v>45</v>
      </c>
      <c r="C27" s="29">
        <v>93.200000000000102</v>
      </c>
      <c r="D27" s="3" t="s">
        <v>21</v>
      </c>
      <c r="E27" s="3" t="e">
        <f t="shared" si="0"/>
        <v>#VALUE!</v>
      </c>
      <c r="F27" s="25">
        <v>0.82638888888888895</v>
      </c>
      <c r="G27" s="20" t="s">
        <v>21</v>
      </c>
      <c r="H27" s="20" t="e">
        <f t="shared" si="1"/>
        <v>#VALUE!</v>
      </c>
      <c r="I27" s="21"/>
      <c r="J27" s="3"/>
      <c r="K27" s="3" t="e">
        <f>D27-C27</f>
        <v>#VALUE!</v>
      </c>
      <c r="L27" s="46" t="e">
        <f t="shared" si="3"/>
        <v>#VALUE!</v>
      </c>
      <c r="M27" s="3"/>
    </row>
    <row r="28" spans="1:13" x14ac:dyDescent="0.2">
      <c r="A28" s="19">
        <v>45139</v>
      </c>
      <c r="B28" s="3">
        <v>44</v>
      </c>
      <c r="C28" s="29">
        <v>93.100000000000094</v>
      </c>
      <c r="D28" s="3" t="s">
        <v>21</v>
      </c>
      <c r="E28" s="3" t="e">
        <f t="shared" si="0"/>
        <v>#VALUE!</v>
      </c>
      <c r="F28" s="25">
        <v>0.81944444444444497</v>
      </c>
      <c r="G28" s="20" t="s">
        <v>21</v>
      </c>
      <c r="H28" s="20" t="e">
        <f t="shared" si="1"/>
        <v>#VALUE!</v>
      </c>
      <c r="I28" s="21"/>
      <c r="J28" s="3"/>
      <c r="K28" s="3" t="e">
        <f t="shared" si="2"/>
        <v>#VALUE!</v>
      </c>
      <c r="L28" s="46" t="e">
        <f t="shared" si="3"/>
        <v>#VALUE!</v>
      </c>
      <c r="M28" s="3"/>
    </row>
    <row r="29" spans="1:13" x14ac:dyDescent="0.2">
      <c r="A29" s="19">
        <v>45505</v>
      </c>
      <c r="B29" s="3">
        <v>43</v>
      </c>
      <c r="C29" s="4">
        <v>93.000000000000099</v>
      </c>
      <c r="D29" s="3" t="s">
        <v>21</v>
      </c>
      <c r="E29" s="3" t="e">
        <f t="shared" si="0"/>
        <v>#VALUE!</v>
      </c>
      <c r="F29" s="25">
        <v>0.812500000000001</v>
      </c>
      <c r="G29" s="20" t="s">
        <v>21</v>
      </c>
      <c r="H29" s="20" t="e">
        <f t="shared" si="1"/>
        <v>#VALUE!</v>
      </c>
      <c r="I29" s="21"/>
      <c r="J29" s="3"/>
      <c r="K29" s="3" t="e">
        <f t="shared" si="2"/>
        <v>#VALUE!</v>
      </c>
      <c r="L29" s="46" t="e">
        <f t="shared" si="3"/>
        <v>#VALUE!</v>
      </c>
      <c r="M29" s="3"/>
    </row>
    <row r="30" spans="1:13" x14ac:dyDescent="0.2">
      <c r="A30" s="19">
        <v>45870</v>
      </c>
      <c r="B30" s="3">
        <v>42</v>
      </c>
      <c r="C30" s="4">
        <v>92.900000000000105</v>
      </c>
      <c r="D30" s="3" t="s">
        <v>21</v>
      </c>
      <c r="E30" s="3" t="e">
        <f t="shared" si="0"/>
        <v>#VALUE!</v>
      </c>
      <c r="F30" s="25">
        <v>0.80555555555555602</v>
      </c>
      <c r="G30" s="20" t="s">
        <v>21</v>
      </c>
      <c r="H30" s="20" t="e">
        <f t="shared" si="1"/>
        <v>#VALUE!</v>
      </c>
      <c r="I30" s="21"/>
      <c r="J30" s="3"/>
      <c r="K30" s="3" t="e">
        <f t="shared" si="2"/>
        <v>#VALUE!</v>
      </c>
      <c r="L30" s="46" t="e">
        <f t="shared" si="3"/>
        <v>#VALUE!</v>
      </c>
      <c r="M30" s="3"/>
    </row>
    <row r="31" spans="1:13" x14ac:dyDescent="0.2">
      <c r="A31" s="19">
        <v>46235</v>
      </c>
      <c r="B31" s="3">
        <v>41</v>
      </c>
      <c r="C31" s="4">
        <v>92.800000000000196</v>
      </c>
      <c r="D31" s="3">
        <v>95.2</v>
      </c>
      <c r="E31" s="3">
        <f t="shared" si="0"/>
        <v>2.3999999999998067</v>
      </c>
      <c r="F31" s="25">
        <v>0.79861111111111205</v>
      </c>
      <c r="G31" s="20">
        <v>0.82986111111111116</v>
      </c>
      <c r="H31" s="20">
        <f t="shared" si="1"/>
        <v>-3.1249999999999112E-2</v>
      </c>
      <c r="I31" s="21"/>
      <c r="J31" s="3"/>
      <c r="K31" s="3">
        <f t="shared" si="2"/>
        <v>2.3999999999998067</v>
      </c>
      <c r="L31" s="46" t="e">
        <f t="shared" si="3"/>
        <v>#DIV/0!</v>
      </c>
      <c r="M31" s="3"/>
    </row>
    <row r="32" spans="1:13" x14ac:dyDescent="0.2">
      <c r="A32" s="19">
        <v>46600</v>
      </c>
      <c r="B32" s="3">
        <v>40</v>
      </c>
      <c r="C32" s="4">
        <v>92.700000000000202</v>
      </c>
      <c r="D32" s="3" t="s">
        <v>21</v>
      </c>
      <c r="E32" s="3" t="e">
        <f t="shared" si="0"/>
        <v>#VALUE!</v>
      </c>
      <c r="F32" s="25">
        <v>0.79166666666666696</v>
      </c>
      <c r="G32" s="20" t="s">
        <v>21</v>
      </c>
      <c r="H32" s="20" t="e">
        <f t="shared" si="1"/>
        <v>#VALUE!</v>
      </c>
      <c r="I32" s="21"/>
      <c r="J32" s="3"/>
      <c r="K32" s="3" t="e">
        <f t="shared" si="2"/>
        <v>#VALUE!</v>
      </c>
      <c r="L32" s="46" t="e">
        <f t="shared" si="3"/>
        <v>#VALUE!</v>
      </c>
      <c r="M32" s="3"/>
    </row>
    <row r="33" spans="1:13" x14ac:dyDescent="0.2">
      <c r="A33" s="19">
        <v>46966</v>
      </c>
      <c r="B33" s="3">
        <v>39</v>
      </c>
      <c r="C33" s="4">
        <v>92.600000000000193</v>
      </c>
      <c r="D33" s="3" t="s">
        <v>21</v>
      </c>
      <c r="E33" s="3" t="e">
        <f t="shared" si="0"/>
        <v>#VALUE!</v>
      </c>
      <c r="F33" s="27">
        <v>1.8749999999999999E-2</v>
      </c>
      <c r="G33" s="20" t="s">
        <v>21</v>
      </c>
      <c r="H33" s="20" t="e">
        <f t="shared" si="1"/>
        <v>#VALUE!</v>
      </c>
      <c r="I33" s="21"/>
      <c r="J33" s="3"/>
      <c r="K33" s="3" t="e">
        <f t="shared" si="2"/>
        <v>#VALUE!</v>
      </c>
      <c r="L33" s="46" t="e">
        <f>K33/J33</f>
        <v>#VALUE!</v>
      </c>
      <c r="M33" s="3"/>
    </row>
    <row r="34" spans="1:13" x14ac:dyDescent="0.2">
      <c r="A34" s="19">
        <v>47331</v>
      </c>
      <c r="B34" s="3">
        <v>38</v>
      </c>
      <c r="C34" s="4">
        <v>92.500000000000199</v>
      </c>
      <c r="D34" s="3" t="s">
        <v>21</v>
      </c>
      <c r="E34" s="3" t="e">
        <f t="shared" si="0"/>
        <v>#VALUE!</v>
      </c>
      <c r="F34" s="27">
        <v>1.8692129629629631E-2</v>
      </c>
      <c r="G34" s="20" t="s">
        <v>21</v>
      </c>
      <c r="H34" s="20" t="e">
        <f t="shared" si="1"/>
        <v>#VALUE!</v>
      </c>
      <c r="I34" s="21"/>
      <c r="J34" s="3"/>
      <c r="K34" s="3" t="e">
        <f t="shared" si="2"/>
        <v>#VALUE!</v>
      </c>
      <c r="L34" s="46" t="e">
        <f t="shared" si="3"/>
        <v>#VALUE!</v>
      </c>
      <c r="M34" s="3"/>
    </row>
    <row r="35" spans="1:13" x14ac:dyDescent="0.2">
      <c r="A35" s="19">
        <v>47696</v>
      </c>
      <c r="B35" s="3">
        <v>37</v>
      </c>
      <c r="C35" s="4">
        <v>92.400000000000205</v>
      </c>
      <c r="D35" s="3" t="s">
        <v>21</v>
      </c>
      <c r="E35" s="3" t="e">
        <f t="shared" si="0"/>
        <v>#VALUE!</v>
      </c>
      <c r="F35" s="27">
        <v>1.8576388888888889E-2</v>
      </c>
      <c r="G35" s="20" t="s">
        <v>21</v>
      </c>
      <c r="H35" s="20" t="e">
        <f>F35-G35</f>
        <v>#VALUE!</v>
      </c>
      <c r="I35" s="21"/>
      <c r="J35" s="3"/>
      <c r="K35" s="3" t="e">
        <f t="shared" si="2"/>
        <v>#VALUE!</v>
      </c>
      <c r="L35" s="46" t="e">
        <f t="shared" si="3"/>
        <v>#VALUE!</v>
      </c>
      <c r="M35" s="3"/>
    </row>
    <row r="36" spans="1:13" x14ac:dyDescent="0.2">
      <c r="A36" s="19">
        <v>11536</v>
      </c>
      <c r="B36" s="3">
        <v>36</v>
      </c>
      <c r="C36" s="4">
        <v>92.300000000000196</v>
      </c>
      <c r="D36" s="3" t="s">
        <v>21</v>
      </c>
      <c r="E36" s="3" t="e">
        <f t="shared" si="0"/>
        <v>#VALUE!</v>
      </c>
      <c r="F36" s="27">
        <v>1.8460648148148101E-2</v>
      </c>
      <c r="G36" s="20" t="s">
        <v>21</v>
      </c>
      <c r="H36" s="20" t="e">
        <f t="shared" si="1"/>
        <v>#VALUE!</v>
      </c>
      <c r="I36" s="21"/>
      <c r="J36" s="3"/>
      <c r="K36" s="3" t="e">
        <f t="shared" si="2"/>
        <v>#VALUE!</v>
      </c>
      <c r="L36" s="46" t="e">
        <f t="shared" si="3"/>
        <v>#VALUE!</v>
      </c>
      <c r="M36" s="3"/>
    </row>
    <row r="37" spans="1:13" x14ac:dyDescent="0.2">
      <c r="A37" s="19">
        <v>37135</v>
      </c>
      <c r="B37" s="3">
        <v>35</v>
      </c>
      <c r="C37" s="4">
        <v>92.200000000000202</v>
      </c>
      <c r="D37" s="3" t="s">
        <v>21</v>
      </c>
      <c r="E37" s="3" t="e">
        <f>D37-C37</f>
        <v>#VALUE!</v>
      </c>
      <c r="F37" s="27">
        <v>1.83449074074074E-2</v>
      </c>
      <c r="G37" s="20" t="s">
        <v>21</v>
      </c>
      <c r="H37" s="20" t="e">
        <f t="shared" si="1"/>
        <v>#VALUE!</v>
      </c>
      <c r="I37" s="21"/>
      <c r="J37" s="3"/>
      <c r="K37" s="3" t="e">
        <f t="shared" si="2"/>
        <v>#VALUE!</v>
      </c>
      <c r="L37" s="46" t="e">
        <f t="shared" si="3"/>
        <v>#VALUE!</v>
      </c>
      <c r="M37" s="3"/>
    </row>
    <row r="38" spans="1:13" x14ac:dyDescent="0.2">
      <c r="A38" s="19">
        <v>37500</v>
      </c>
      <c r="B38" s="3" t="s">
        <v>96</v>
      </c>
      <c r="C38" s="4">
        <v>92.100000000000193</v>
      </c>
      <c r="D38" s="3" t="s">
        <v>21</v>
      </c>
      <c r="E38" s="3" t="e">
        <f t="shared" si="0"/>
        <v>#VALUE!</v>
      </c>
      <c r="F38" s="27">
        <v>1.8229166666666699E-2</v>
      </c>
      <c r="G38" s="20" t="s">
        <v>21</v>
      </c>
      <c r="H38" s="20" t="e">
        <f t="shared" si="1"/>
        <v>#VALUE!</v>
      </c>
      <c r="I38" s="21"/>
      <c r="J38" s="3"/>
      <c r="K38" s="3" t="e">
        <f t="shared" si="2"/>
        <v>#VALUE!</v>
      </c>
      <c r="L38" s="46" t="e">
        <f t="shared" si="3"/>
        <v>#VALUE!</v>
      </c>
      <c r="M38" s="3"/>
    </row>
    <row r="39" spans="1:13" x14ac:dyDescent="0.2">
      <c r="A39" s="19">
        <v>37865</v>
      </c>
      <c r="B39" s="3">
        <v>33</v>
      </c>
      <c r="C39" s="4">
        <v>92.000000000000199</v>
      </c>
      <c r="D39" s="3" t="s">
        <v>21</v>
      </c>
      <c r="E39" s="3" t="e">
        <f t="shared" si="0"/>
        <v>#VALUE!</v>
      </c>
      <c r="F39" s="27">
        <v>1.8113425925925901E-2</v>
      </c>
      <c r="G39" s="20" t="s">
        <v>21</v>
      </c>
      <c r="H39" s="20" t="e">
        <f t="shared" si="1"/>
        <v>#VALUE!</v>
      </c>
      <c r="I39" s="21"/>
      <c r="J39" s="3"/>
      <c r="K39" s="3" t="e">
        <f t="shared" si="2"/>
        <v>#VALUE!</v>
      </c>
      <c r="L39" s="46" t="e">
        <f t="shared" si="3"/>
        <v>#VALUE!</v>
      </c>
      <c r="M39" s="3"/>
    </row>
    <row r="40" spans="1:13" x14ac:dyDescent="0.2">
      <c r="A40" s="19">
        <v>38231</v>
      </c>
      <c r="B40" s="3">
        <v>32</v>
      </c>
      <c r="C40" s="4">
        <v>91.900000000000205</v>
      </c>
      <c r="D40" s="3" t="s">
        <v>21</v>
      </c>
      <c r="E40" s="3" t="e">
        <f t="shared" si="0"/>
        <v>#VALUE!</v>
      </c>
      <c r="F40" s="27">
        <v>1.79976851851852E-2</v>
      </c>
      <c r="G40" s="20" t="s">
        <v>21</v>
      </c>
      <c r="H40" s="20" t="e">
        <f t="shared" si="1"/>
        <v>#VALUE!</v>
      </c>
      <c r="I40" s="21"/>
      <c r="J40" s="3"/>
      <c r="K40" s="3" t="e">
        <f t="shared" si="2"/>
        <v>#VALUE!</v>
      </c>
      <c r="L40" s="46" t="e">
        <f t="shared" si="3"/>
        <v>#VALUE!</v>
      </c>
      <c r="M40" s="3"/>
    </row>
    <row r="41" spans="1:13" x14ac:dyDescent="0.2">
      <c r="A41" s="19">
        <v>38596</v>
      </c>
      <c r="B41" s="3">
        <v>31</v>
      </c>
      <c r="C41" s="4">
        <v>91.800000000000196</v>
      </c>
      <c r="D41" s="3" t="s">
        <v>21</v>
      </c>
      <c r="E41" s="3" t="e">
        <f t="shared" si="0"/>
        <v>#VALUE!</v>
      </c>
      <c r="F41" s="27">
        <v>1.7881944444444402E-2</v>
      </c>
      <c r="G41" s="20" t="s">
        <v>21</v>
      </c>
      <c r="H41" s="20" t="e">
        <f t="shared" si="1"/>
        <v>#VALUE!</v>
      </c>
      <c r="I41" s="21"/>
      <c r="J41" s="3"/>
      <c r="K41" s="3" t="e">
        <f t="shared" si="2"/>
        <v>#VALUE!</v>
      </c>
      <c r="L41" s="46" t="e">
        <f t="shared" si="3"/>
        <v>#VALUE!</v>
      </c>
      <c r="M41" s="3"/>
    </row>
    <row r="42" spans="1:13" x14ac:dyDescent="0.2">
      <c r="A42" s="19">
        <v>38961</v>
      </c>
      <c r="B42" s="3">
        <v>30</v>
      </c>
      <c r="C42" s="4">
        <v>91.700000000000202</v>
      </c>
      <c r="D42" s="3" t="s">
        <v>21</v>
      </c>
      <c r="E42" s="3" t="e">
        <f t="shared" si="0"/>
        <v>#VALUE!</v>
      </c>
      <c r="F42" s="27">
        <v>1.7766203703703701E-2</v>
      </c>
      <c r="G42" s="20" t="s">
        <v>21</v>
      </c>
      <c r="H42" s="20" t="e">
        <f t="shared" si="1"/>
        <v>#VALUE!</v>
      </c>
      <c r="I42" s="21"/>
      <c r="J42" s="3"/>
      <c r="K42" s="3" t="e">
        <f t="shared" si="2"/>
        <v>#VALUE!</v>
      </c>
      <c r="L42" s="46" t="e">
        <f t="shared" si="3"/>
        <v>#VALUE!</v>
      </c>
      <c r="M42" s="3"/>
    </row>
    <row r="43" spans="1:13" x14ac:dyDescent="0.2">
      <c r="A43" s="19">
        <v>39326</v>
      </c>
      <c r="B43" s="3">
        <v>29</v>
      </c>
      <c r="C43" s="4">
        <v>91.600000000000193</v>
      </c>
      <c r="D43" s="3" t="s">
        <v>21</v>
      </c>
      <c r="E43" s="3" t="e">
        <f t="shared" si="0"/>
        <v>#VALUE!</v>
      </c>
      <c r="F43" s="27">
        <v>1.7650462962963E-2</v>
      </c>
      <c r="G43" s="20" t="s">
        <v>21</v>
      </c>
      <c r="H43" s="20" t="e">
        <f t="shared" si="1"/>
        <v>#VALUE!</v>
      </c>
      <c r="I43" s="21"/>
      <c r="J43" s="3"/>
      <c r="K43" s="3" t="e">
        <f t="shared" si="2"/>
        <v>#VALUE!</v>
      </c>
      <c r="L43" s="46" t="e">
        <f t="shared" si="3"/>
        <v>#VALUE!</v>
      </c>
      <c r="M43" s="3"/>
    </row>
    <row r="44" spans="1:13" x14ac:dyDescent="0.2">
      <c r="A44" s="19">
        <v>39692</v>
      </c>
      <c r="B44" s="3">
        <v>28</v>
      </c>
      <c r="C44" s="4">
        <v>91.500000000000199</v>
      </c>
      <c r="D44" s="3" t="s">
        <v>21</v>
      </c>
      <c r="E44" s="3" t="e">
        <f t="shared" si="0"/>
        <v>#VALUE!</v>
      </c>
      <c r="F44" s="27">
        <v>1.7534722222222202E-2</v>
      </c>
      <c r="G44" s="20" t="s">
        <v>21</v>
      </c>
      <c r="H44" s="20" t="e">
        <f t="shared" si="1"/>
        <v>#VALUE!</v>
      </c>
      <c r="I44" s="21"/>
      <c r="J44" s="3"/>
      <c r="K44" s="3" t="e">
        <f t="shared" si="2"/>
        <v>#VALUE!</v>
      </c>
      <c r="L44" s="46" t="e">
        <f t="shared" si="3"/>
        <v>#VALUE!</v>
      </c>
      <c r="M44" s="3"/>
    </row>
    <row r="45" spans="1:13" x14ac:dyDescent="0.2">
      <c r="A45" s="19">
        <v>40057</v>
      </c>
      <c r="B45" s="3">
        <v>27</v>
      </c>
      <c r="C45" s="4">
        <v>91.400000000000205</v>
      </c>
      <c r="D45" s="3" t="s">
        <v>21</v>
      </c>
      <c r="E45" s="3" t="e">
        <f t="shared" si="0"/>
        <v>#VALUE!</v>
      </c>
      <c r="F45" s="27">
        <v>1.7418981481481501E-2</v>
      </c>
      <c r="G45" s="20" t="s">
        <v>21</v>
      </c>
      <c r="H45" s="20" t="e">
        <f t="shared" si="1"/>
        <v>#VALUE!</v>
      </c>
      <c r="I45" s="21"/>
      <c r="J45" s="3"/>
      <c r="K45" s="3" t="e">
        <f t="shared" si="2"/>
        <v>#VALUE!</v>
      </c>
      <c r="L45" s="46" t="e">
        <f t="shared" si="3"/>
        <v>#VALUE!</v>
      </c>
      <c r="M45" s="3"/>
    </row>
    <row r="46" spans="1:13" x14ac:dyDescent="0.2">
      <c r="A46" s="19">
        <v>40422</v>
      </c>
      <c r="B46" s="3">
        <v>26</v>
      </c>
      <c r="C46" s="4">
        <v>91.300000000000196</v>
      </c>
      <c r="D46" s="3" t="s">
        <v>21</v>
      </c>
      <c r="E46" s="3" t="e">
        <f t="shared" si="0"/>
        <v>#VALUE!</v>
      </c>
      <c r="F46" s="27">
        <v>1.7303240740740699E-2</v>
      </c>
      <c r="G46" s="20" t="s">
        <v>21</v>
      </c>
      <c r="H46" s="20" t="e">
        <f t="shared" si="1"/>
        <v>#VALUE!</v>
      </c>
      <c r="I46" s="21"/>
      <c r="J46" s="3"/>
      <c r="K46" s="3" t="e">
        <f>D46-C46</f>
        <v>#VALUE!</v>
      </c>
      <c r="L46" s="46" t="e">
        <f t="shared" si="3"/>
        <v>#VALUE!</v>
      </c>
      <c r="M46" s="3"/>
    </row>
    <row r="47" spans="1:13" x14ac:dyDescent="0.2">
      <c r="A47" s="19">
        <v>40787</v>
      </c>
      <c r="B47" s="3">
        <v>25</v>
      </c>
      <c r="C47" s="4">
        <v>91.200000000000202</v>
      </c>
      <c r="D47" s="3" t="s">
        <v>21</v>
      </c>
      <c r="E47" s="3" t="e">
        <f t="shared" si="0"/>
        <v>#VALUE!</v>
      </c>
      <c r="F47" s="27">
        <v>1.7187500000000001E-2</v>
      </c>
      <c r="G47" s="20" t="s">
        <v>21</v>
      </c>
      <c r="H47" s="20" t="e">
        <f t="shared" si="1"/>
        <v>#VALUE!</v>
      </c>
      <c r="I47" s="21"/>
      <c r="J47" s="3"/>
      <c r="K47" s="3" t="e">
        <f t="shared" si="2"/>
        <v>#VALUE!</v>
      </c>
      <c r="L47" s="46" t="e">
        <f t="shared" si="3"/>
        <v>#VALUE!</v>
      </c>
      <c r="M47" s="3"/>
    </row>
    <row r="48" spans="1:13" x14ac:dyDescent="0.2">
      <c r="A48" s="19">
        <v>41153</v>
      </c>
      <c r="B48" s="3">
        <v>24</v>
      </c>
      <c r="C48" s="4">
        <v>91.100000000000307</v>
      </c>
      <c r="D48" s="3" t="s">
        <v>21</v>
      </c>
      <c r="E48" s="3" t="e">
        <f t="shared" si="0"/>
        <v>#VALUE!</v>
      </c>
      <c r="F48" s="27">
        <v>1.70717592592592E-2</v>
      </c>
      <c r="G48" s="20" t="s">
        <v>21</v>
      </c>
      <c r="H48" s="20" t="e">
        <f t="shared" si="1"/>
        <v>#VALUE!</v>
      </c>
      <c r="I48" s="21"/>
      <c r="J48" s="3"/>
      <c r="K48" s="3" t="e">
        <f t="shared" si="2"/>
        <v>#VALUE!</v>
      </c>
      <c r="L48" s="46" t="e">
        <f t="shared" si="3"/>
        <v>#VALUE!</v>
      </c>
      <c r="M48" s="3"/>
    </row>
    <row r="49" spans="1:13" x14ac:dyDescent="0.2">
      <c r="A49" s="19">
        <v>41518</v>
      </c>
      <c r="B49" s="3">
        <v>23</v>
      </c>
      <c r="C49" s="4">
        <v>91.000000000000298</v>
      </c>
      <c r="D49" s="3" t="s">
        <v>21</v>
      </c>
      <c r="E49" s="3" t="e">
        <f t="shared" si="0"/>
        <v>#VALUE!</v>
      </c>
      <c r="F49" s="27">
        <v>1.6956018518518499E-2</v>
      </c>
      <c r="G49" s="20" t="s">
        <v>21</v>
      </c>
      <c r="H49" s="20" t="e">
        <f t="shared" si="1"/>
        <v>#VALUE!</v>
      </c>
      <c r="I49" s="21"/>
      <c r="J49" s="3"/>
      <c r="K49" s="3" t="e">
        <f t="shared" si="2"/>
        <v>#VALUE!</v>
      </c>
      <c r="L49" s="46" t="e">
        <f t="shared" si="3"/>
        <v>#VALUE!</v>
      </c>
      <c r="M49" s="3"/>
    </row>
    <row r="50" spans="1:13" x14ac:dyDescent="0.2">
      <c r="A50" s="19">
        <v>41883</v>
      </c>
      <c r="B50" s="3">
        <v>22</v>
      </c>
      <c r="C50" s="28">
        <v>90.900000000000304</v>
      </c>
      <c r="D50" s="3" t="s">
        <v>21</v>
      </c>
      <c r="E50" s="3" t="e">
        <f t="shared" si="0"/>
        <v>#VALUE!</v>
      </c>
      <c r="F50" s="27">
        <v>1.6840277777777801E-2</v>
      </c>
      <c r="G50" s="20" t="s">
        <v>21</v>
      </c>
      <c r="H50" s="20" t="e">
        <f>F50-G50</f>
        <v>#VALUE!</v>
      </c>
      <c r="I50" s="21"/>
      <c r="J50" s="3"/>
      <c r="K50" s="3" t="e">
        <f t="shared" si="2"/>
        <v>#VALUE!</v>
      </c>
      <c r="L50" s="46" t="e">
        <f t="shared" si="3"/>
        <v>#VALUE!</v>
      </c>
      <c r="M50" s="3"/>
    </row>
    <row r="51" spans="1:13" x14ac:dyDescent="0.2">
      <c r="A51" s="19">
        <v>42248</v>
      </c>
      <c r="B51" s="3">
        <v>21</v>
      </c>
      <c r="C51" s="28">
        <v>90.800000000000296</v>
      </c>
      <c r="D51" s="3" t="s">
        <v>21</v>
      </c>
      <c r="E51" s="3" t="e">
        <f t="shared" si="0"/>
        <v>#VALUE!</v>
      </c>
      <c r="F51" s="26">
        <v>3.8194444444444441E-2</v>
      </c>
      <c r="G51" s="20" t="s">
        <v>21</v>
      </c>
      <c r="H51" s="20" t="e">
        <f t="shared" si="1"/>
        <v>#VALUE!</v>
      </c>
      <c r="I51" s="21"/>
      <c r="J51" s="3"/>
      <c r="K51" s="3" t="e">
        <f t="shared" si="2"/>
        <v>#VALUE!</v>
      </c>
      <c r="L51" s="46" t="e">
        <f t="shared" si="3"/>
        <v>#VALUE!</v>
      </c>
      <c r="M51" s="3"/>
    </row>
    <row r="52" spans="1:13" x14ac:dyDescent="0.2">
      <c r="A52" s="19">
        <v>42614</v>
      </c>
      <c r="B52" s="3">
        <v>20</v>
      </c>
      <c r="C52" s="28">
        <v>90.700000000000301</v>
      </c>
      <c r="D52" s="3" t="s">
        <v>21</v>
      </c>
      <c r="E52" s="3" t="e">
        <f t="shared" si="0"/>
        <v>#VALUE!</v>
      </c>
      <c r="F52" s="26">
        <v>3.784722222222222E-2</v>
      </c>
      <c r="G52" s="20" t="s">
        <v>21</v>
      </c>
      <c r="H52" s="20" t="e">
        <f t="shared" si="1"/>
        <v>#VALUE!</v>
      </c>
      <c r="I52" s="21"/>
      <c r="J52" s="3"/>
      <c r="K52" s="3" t="e">
        <f t="shared" si="2"/>
        <v>#VALUE!</v>
      </c>
      <c r="L52" s="46" t="e">
        <f t="shared" si="3"/>
        <v>#VALUE!</v>
      </c>
      <c r="M52" s="3"/>
    </row>
    <row r="53" spans="1:13" x14ac:dyDescent="0.2">
      <c r="A53" s="19">
        <v>42979</v>
      </c>
      <c r="B53" s="3">
        <v>19</v>
      </c>
      <c r="C53" s="28">
        <v>90.600000000000307</v>
      </c>
      <c r="D53" s="3" t="s">
        <v>21</v>
      </c>
      <c r="E53" s="3" t="e">
        <f t="shared" si="0"/>
        <v>#VALUE!</v>
      </c>
      <c r="F53" s="26">
        <v>3.7499999999999999E-2</v>
      </c>
      <c r="G53" s="20" t="s">
        <v>21</v>
      </c>
      <c r="H53" s="20" t="e">
        <f t="shared" si="1"/>
        <v>#VALUE!</v>
      </c>
      <c r="I53" s="21"/>
      <c r="J53" s="3"/>
      <c r="K53" s="3" t="e">
        <f t="shared" si="2"/>
        <v>#VALUE!</v>
      </c>
      <c r="L53" s="46" t="e">
        <f t="shared" si="3"/>
        <v>#VALUE!</v>
      </c>
      <c r="M53" s="3"/>
    </row>
    <row r="54" spans="1:13" x14ac:dyDescent="0.2">
      <c r="A54" s="19">
        <v>43344</v>
      </c>
      <c r="B54" s="3">
        <v>18</v>
      </c>
      <c r="C54" s="28">
        <v>90.500000000000298</v>
      </c>
      <c r="D54" s="3" t="s">
        <v>21</v>
      </c>
      <c r="E54" s="3" t="e">
        <f>D54-C54</f>
        <v>#VALUE!</v>
      </c>
      <c r="F54" s="26">
        <v>3.7152777777777798E-2</v>
      </c>
      <c r="G54" s="20" t="s">
        <v>21</v>
      </c>
      <c r="H54" s="20" t="e">
        <f t="shared" si="1"/>
        <v>#VALUE!</v>
      </c>
      <c r="I54" s="21"/>
      <c r="J54" s="3"/>
      <c r="K54" s="3" t="e">
        <f t="shared" si="2"/>
        <v>#VALUE!</v>
      </c>
      <c r="L54" s="46" t="e">
        <f t="shared" si="3"/>
        <v>#VALUE!</v>
      </c>
      <c r="M54" s="3"/>
    </row>
    <row r="55" spans="1:13" x14ac:dyDescent="0.2">
      <c r="A55" s="19">
        <v>43709</v>
      </c>
      <c r="B55" s="3">
        <v>17</v>
      </c>
      <c r="C55" s="28">
        <v>90.400000000000304</v>
      </c>
      <c r="D55" s="3" t="s">
        <v>21</v>
      </c>
      <c r="E55" s="3" t="e">
        <f t="shared" si="0"/>
        <v>#VALUE!</v>
      </c>
      <c r="F55" s="26">
        <v>3.6805555555555598E-2</v>
      </c>
      <c r="G55" s="20" t="s">
        <v>21</v>
      </c>
      <c r="H55" s="20" t="e">
        <f t="shared" si="1"/>
        <v>#VALUE!</v>
      </c>
      <c r="I55" s="21"/>
      <c r="J55" s="3"/>
      <c r="K55" s="3" t="e">
        <f t="shared" si="2"/>
        <v>#VALUE!</v>
      </c>
      <c r="L55" s="46" t="e">
        <f t="shared" si="3"/>
        <v>#VALUE!</v>
      </c>
      <c r="M55" s="3"/>
    </row>
    <row r="56" spans="1:13" x14ac:dyDescent="0.2">
      <c r="A56" s="19">
        <v>44075</v>
      </c>
      <c r="B56" s="3">
        <v>16</v>
      </c>
      <c r="C56" s="28">
        <v>90.300000000000296</v>
      </c>
      <c r="D56" s="3" t="s">
        <v>21</v>
      </c>
      <c r="E56" s="3" t="e">
        <f t="shared" si="0"/>
        <v>#VALUE!</v>
      </c>
      <c r="F56" s="26">
        <v>3.6458333333333301E-2</v>
      </c>
      <c r="G56" s="20" t="s">
        <v>21</v>
      </c>
      <c r="H56" s="20" t="e">
        <f t="shared" si="1"/>
        <v>#VALUE!</v>
      </c>
      <c r="I56" s="21"/>
      <c r="J56" s="3"/>
      <c r="K56" s="3" t="e">
        <f t="shared" si="2"/>
        <v>#VALUE!</v>
      </c>
      <c r="L56" s="46" t="e">
        <f t="shared" si="3"/>
        <v>#VALUE!</v>
      </c>
      <c r="M56" s="3"/>
    </row>
    <row r="57" spans="1:13" x14ac:dyDescent="0.2">
      <c r="A57" s="19">
        <v>44440</v>
      </c>
      <c r="B57" s="3">
        <v>15</v>
      </c>
      <c r="C57" s="28">
        <v>90.200000000000301</v>
      </c>
      <c r="D57" s="3" t="s">
        <v>21</v>
      </c>
      <c r="E57" s="3" t="e">
        <f t="shared" si="0"/>
        <v>#VALUE!</v>
      </c>
      <c r="F57" s="26">
        <v>3.6111111111111101E-2</v>
      </c>
      <c r="G57" s="20" t="s">
        <v>21</v>
      </c>
      <c r="H57" s="20" t="e">
        <f t="shared" si="1"/>
        <v>#VALUE!</v>
      </c>
      <c r="I57" s="21"/>
      <c r="J57" s="3"/>
      <c r="K57" s="3" t="e">
        <f t="shared" si="2"/>
        <v>#VALUE!</v>
      </c>
      <c r="L57" s="46" t="e">
        <f t="shared" si="3"/>
        <v>#VALUE!</v>
      </c>
      <c r="M57" s="3"/>
    </row>
    <row r="58" spans="1:13" x14ac:dyDescent="0.2">
      <c r="A58" s="19">
        <v>44805</v>
      </c>
      <c r="B58" s="3">
        <v>14</v>
      </c>
      <c r="C58" s="28">
        <v>90.100000000000307</v>
      </c>
      <c r="D58" s="3" t="s">
        <v>21</v>
      </c>
      <c r="E58" s="3" t="e">
        <f t="shared" si="0"/>
        <v>#VALUE!</v>
      </c>
      <c r="F58" s="26">
        <v>3.5763888888888901E-2</v>
      </c>
      <c r="G58" s="20" t="s">
        <v>21</v>
      </c>
      <c r="H58" s="20" t="e">
        <f t="shared" si="1"/>
        <v>#VALUE!</v>
      </c>
      <c r="I58" s="21"/>
      <c r="J58" s="3"/>
      <c r="K58" s="3" t="e">
        <f t="shared" si="2"/>
        <v>#VALUE!</v>
      </c>
      <c r="L58" s="46" t="e">
        <f>K58/J58</f>
        <v>#VALUE!</v>
      </c>
      <c r="M58" s="3"/>
    </row>
    <row r="59" spans="1:13" x14ac:dyDescent="0.2">
      <c r="A59" s="19">
        <v>45170</v>
      </c>
      <c r="B59" s="3">
        <v>13</v>
      </c>
      <c r="C59" s="28">
        <v>90.000000000000298</v>
      </c>
      <c r="D59" s="3" t="s">
        <v>21</v>
      </c>
      <c r="E59" s="3" t="e">
        <f t="shared" si="0"/>
        <v>#VALUE!</v>
      </c>
      <c r="F59" s="26">
        <v>3.54166666666667E-2</v>
      </c>
      <c r="G59" s="20" t="s">
        <v>21</v>
      </c>
      <c r="H59" s="20" t="e">
        <f t="shared" si="1"/>
        <v>#VALUE!</v>
      </c>
      <c r="I59" s="21"/>
      <c r="J59" s="3"/>
      <c r="K59" s="3" t="e">
        <f t="shared" si="2"/>
        <v>#VALUE!</v>
      </c>
      <c r="L59" s="46" t="e">
        <f t="shared" si="3"/>
        <v>#VALUE!</v>
      </c>
      <c r="M59" s="3"/>
    </row>
    <row r="60" spans="1:13" x14ac:dyDescent="0.2">
      <c r="A60" s="19">
        <v>45536</v>
      </c>
      <c r="B60" s="3">
        <v>12</v>
      </c>
      <c r="C60" s="28">
        <v>89.900000000000304</v>
      </c>
      <c r="D60" s="3" t="s">
        <v>21</v>
      </c>
      <c r="E60" s="3" t="e">
        <f t="shared" si="0"/>
        <v>#VALUE!</v>
      </c>
      <c r="F60" s="26">
        <v>3.50694444444445E-2</v>
      </c>
      <c r="G60" s="20" t="s">
        <v>21</v>
      </c>
      <c r="H60" s="20" t="e">
        <f t="shared" si="1"/>
        <v>#VALUE!</v>
      </c>
      <c r="I60" s="21"/>
      <c r="J60" s="3"/>
      <c r="K60" s="3" t="e">
        <f t="shared" si="2"/>
        <v>#VALUE!</v>
      </c>
      <c r="L60" s="46" t="e">
        <f t="shared" si="3"/>
        <v>#VALUE!</v>
      </c>
      <c r="M60" s="3"/>
    </row>
    <row r="61" spans="1:13" x14ac:dyDescent="0.2">
      <c r="A61" s="19">
        <v>45901</v>
      </c>
      <c r="B61" s="3">
        <v>11</v>
      </c>
      <c r="C61" s="28">
        <v>89.800000000000296</v>
      </c>
      <c r="D61" s="3" t="s">
        <v>21</v>
      </c>
      <c r="E61" s="3" t="e">
        <f t="shared" si="0"/>
        <v>#VALUE!</v>
      </c>
      <c r="F61" s="26">
        <v>3.4722222222222203E-2</v>
      </c>
      <c r="G61" s="20" t="s">
        <v>21</v>
      </c>
      <c r="H61" s="20" t="e">
        <f t="shared" si="1"/>
        <v>#VALUE!</v>
      </c>
      <c r="I61" s="21"/>
      <c r="J61" s="3"/>
      <c r="K61" s="3" t="e">
        <f t="shared" si="2"/>
        <v>#VALUE!</v>
      </c>
      <c r="L61" s="46" t="e">
        <f t="shared" si="3"/>
        <v>#VALUE!</v>
      </c>
      <c r="M61" s="3"/>
    </row>
    <row r="62" spans="1:13" x14ac:dyDescent="0.2">
      <c r="A62" s="19">
        <v>46266</v>
      </c>
      <c r="B62" s="3">
        <v>10</v>
      </c>
      <c r="C62" s="28">
        <v>89.700000000000301</v>
      </c>
      <c r="D62" s="3" t="s">
        <v>21</v>
      </c>
      <c r="E62" s="3" t="e">
        <f t="shared" si="0"/>
        <v>#VALUE!</v>
      </c>
      <c r="F62" s="26">
        <v>3.4375000000000003E-2</v>
      </c>
      <c r="G62" s="20" t="s">
        <v>21</v>
      </c>
      <c r="H62" s="20" t="e">
        <f t="shared" si="1"/>
        <v>#VALUE!</v>
      </c>
      <c r="I62" s="21"/>
      <c r="J62" s="3"/>
      <c r="K62" s="3" t="e">
        <f t="shared" si="2"/>
        <v>#VALUE!</v>
      </c>
      <c r="L62" s="46" t="e">
        <f t="shared" si="3"/>
        <v>#VALUE!</v>
      </c>
      <c r="M62" s="3"/>
    </row>
    <row r="63" spans="1:13" x14ac:dyDescent="0.2">
      <c r="A63" s="19">
        <v>46631</v>
      </c>
      <c r="B63" s="3">
        <v>9</v>
      </c>
      <c r="C63" s="28">
        <v>89.600000000000307</v>
      </c>
      <c r="D63" s="3" t="s">
        <v>21</v>
      </c>
      <c r="E63" s="3" t="e">
        <f t="shared" si="0"/>
        <v>#VALUE!</v>
      </c>
      <c r="F63" s="26">
        <v>3.4027777777777803E-2</v>
      </c>
      <c r="G63" s="20" t="s">
        <v>21</v>
      </c>
      <c r="H63" s="20" t="e">
        <f t="shared" si="1"/>
        <v>#VALUE!</v>
      </c>
      <c r="I63" s="21"/>
      <c r="J63" s="3"/>
      <c r="K63" s="3" t="e">
        <f t="shared" si="2"/>
        <v>#VALUE!</v>
      </c>
      <c r="L63" s="46" t="e">
        <f t="shared" si="3"/>
        <v>#VALUE!</v>
      </c>
      <c r="M63" s="3"/>
    </row>
    <row r="64" spans="1:13" x14ac:dyDescent="0.2">
      <c r="A64" s="19">
        <v>46997</v>
      </c>
      <c r="B64" s="3">
        <v>8</v>
      </c>
      <c r="C64" s="28">
        <v>89.500000000000298</v>
      </c>
      <c r="D64" s="3" t="s">
        <v>21</v>
      </c>
      <c r="E64" s="3" t="e">
        <f t="shared" si="0"/>
        <v>#VALUE!</v>
      </c>
      <c r="F64" s="26">
        <v>3.3680555555555602E-2</v>
      </c>
      <c r="G64" s="20" t="s">
        <v>21</v>
      </c>
      <c r="H64" s="20" t="e">
        <f t="shared" si="1"/>
        <v>#VALUE!</v>
      </c>
      <c r="I64" s="21"/>
      <c r="J64" s="3"/>
      <c r="K64" s="3" t="e">
        <f t="shared" si="2"/>
        <v>#VALUE!</v>
      </c>
      <c r="L64" s="46" t="e">
        <f t="shared" si="3"/>
        <v>#VALUE!</v>
      </c>
      <c r="M64" s="3"/>
    </row>
    <row r="65" spans="1:13" x14ac:dyDescent="0.2">
      <c r="A65" s="19">
        <v>47362</v>
      </c>
      <c r="B65" s="3">
        <v>7</v>
      </c>
      <c r="C65" s="28">
        <v>89.400000000000304</v>
      </c>
      <c r="D65" s="3" t="s">
        <v>21</v>
      </c>
      <c r="E65" s="3" t="e">
        <f t="shared" si="0"/>
        <v>#VALUE!</v>
      </c>
      <c r="F65" s="26">
        <v>3.3333333333333402E-2</v>
      </c>
      <c r="G65" s="20" t="s">
        <v>21</v>
      </c>
      <c r="H65" s="20" t="e">
        <f t="shared" si="1"/>
        <v>#VALUE!</v>
      </c>
      <c r="I65" s="21"/>
      <c r="J65" s="3"/>
      <c r="K65" s="3" t="e">
        <f t="shared" si="2"/>
        <v>#VALUE!</v>
      </c>
      <c r="L65" s="46" t="e">
        <f t="shared" si="3"/>
        <v>#VALUE!</v>
      </c>
      <c r="M65" s="3"/>
    </row>
    <row r="66" spans="1:13" x14ac:dyDescent="0.2">
      <c r="A66" s="19">
        <v>47727</v>
      </c>
      <c r="B66" s="3">
        <v>6</v>
      </c>
      <c r="C66" s="28">
        <v>89.300000000000395</v>
      </c>
      <c r="D66" s="3" t="s">
        <v>21</v>
      </c>
      <c r="E66" s="3" t="e">
        <f t="shared" si="0"/>
        <v>#VALUE!</v>
      </c>
      <c r="F66" s="26">
        <v>3.2986111111111098E-2</v>
      </c>
      <c r="G66" s="20" t="s">
        <v>21</v>
      </c>
      <c r="H66" s="20" t="e">
        <f>F66-G66</f>
        <v>#VALUE!</v>
      </c>
      <c r="I66" s="21"/>
      <c r="J66" s="3"/>
      <c r="K66" s="3" t="e">
        <f t="shared" si="2"/>
        <v>#VALUE!</v>
      </c>
      <c r="L66" s="46" t="e">
        <f t="shared" si="3"/>
        <v>#VALUE!</v>
      </c>
      <c r="M66" s="3"/>
    </row>
    <row r="67" spans="1:13" x14ac:dyDescent="0.2">
      <c r="A67" s="19">
        <v>37165</v>
      </c>
      <c r="B67" s="3">
        <v>5</v>
      </c>
      <c r="C67" s="28">
        <v>89.200000000000401</v>
      </c>
      <c r="D67" s="3" t="s">
        <v>21</v>
      </c>
      <c r="E67" s="3" t="e">
        <f t="shared" si="0"/>
        <v>#VALUE!</v>
      </c>
      <c r="F67" s="26">
        <v>3.2638888888888898E-2</v>
      </c>
      <c r="G67" s="20" t="s">
        <v>21</v>
      </c>
      <c r="H67" s="20" t="e">
        <f t="shared" si="1"/>
        <v>#VALUE!</v>
      </c>
      <c r="I67" s="21"/>
      <c r="J67" s="3"/>
      <c r="K67" s="3" t="e">
        <f t="shared" si="2"/>
        <v>#VALUE!</v>
      </c>
      <c r="L67" s="46" t="e">
        <f t="shared" si="3"/>
        <v>#VALUE!</v>
      </c>
      <c r="M67" s="3"/>
    </row>
    <row r="68" spans="1:13" x14ac:dyDescent="0.2">
      <c r="A68" s="19">
        <v>37530</v>
      </c>
      <c r="B68" s="3">
        <v>4</v>
      </c>
      <c r="C68" s="28">
        <v>89.100000000000406</v>
      </c>
      <c r="D68" s="3" t="s">
        <v>21</v>
      </c>
      <c r="E68" s="3" t="e">
        <f t="shared" si="0"/>
        <v>#VALUE!</v>
      </c>
      <c r="F68" s="26">
        <v>3.2291666666666698E-2</v>
      </c>
      <c r="G68" s="20" t="s">
        <v>21</v>
      </c>
      <c r="H68" s="20" t="e">
        <f t="shared" si="1"/>
        <v>#VALUE!</v>
      </c>
      <c r="I68" s="21"/>
      <c r="J68" s="3"/>
      <c r="K68" s="3" t="e">
        <f t="shared" si="2"/>
        <v>#VALUE!</v>
      </c>
      <c r="L68" s="46" t="e">
        <f t="shared" si="3"/>
        <v>#VALUE!</v>
      </c>
      <c r="M68" s="3"/>
    </row>
    <row r="69" spans="1:13" x14ac:dyDescent="0.2">
      <c r="A69" s="19">
        <v>37895</v>
      </c>
      <c r="B69" s="3">
        <v>3</v>
      </c>
      <c r="C69" s="28">
        <v>89.000000000000398</v>
      </c>
      <c r="D69" s="3" t="s">
        <v>21</v>
      </c>
      <c r="E69" s="3" t="e">
        <f>D69-C69</f>
        <v>#VALUE!</v>
      </c>
      <c r="F69" s="26">
        <v>3.1944444444444497E-2</v>
      </c>
      <c r="G69" s="20" t="s">
        <v>21</v>
      </c>
      <c r="H69" s="20" t="e">
        <f>F69-G69</f>
        <v>#VALUE!</v>
      </c>
      <c r="I69" s="21"/>
      <c r="J69" s="3"/>
      <c r="K69" s="3" t="e">
        <f>D69-C69</f>
        <v>#VALUE!</v>
      </c>
      <c r="L69" s="46" t="e">
        <f>K69/J69</f>
        <v>#VALUE!</v>
      </c>
      <c r="M69" s="3"/>
    </row>
    <row r="70" spans="1:13" x14ac:dyDescent="0.2">
      <c r="A70" s="19">
        <v>38261</v>
      </c>
      <c r="B70" s="3">
        <v>2</v>
      </c>
      <c r="C70" s="28">
        <v>88.900000000000404</v>
      </c>
      <c r="D70" s="3" t="s">
        <v>21</v>
      </c>
      <c r="E70" s="3" t="e">
        <f>D70-C70</f>
        <v>#VALUE!</v>
      </c>
      <c r="F70" s="26">
        <v>3.15972222222222E-2</v>
      </c>
      <c r="G70" s="20" t="s">
        <v>21</v>
      </c>
      <c r="H70" s="20" t="e">
        <f>F70-G70</f>
        <v>#VALUE!</v>
      </c>
      <c r="I70" s="21"/>
      <c r="J70" s="3"/>
      <c r="K70" s="3" t="e">
        <f>D70-C70</f>
        <v>#VALUE!</v>
      </c>
      <c r="L70" s="46" t="e">
        <f>K70/J70</f>
        <v>#VALUE!</v>
      </c>
      <c r="M70" s="3"/>
    </row>
    <row r="71" spans="1:13" x14ac:dyDescent="0.2">
      <c r="A71" s="19">
        <v>38626</v>
      </c>
      <c r="B71" s="3">
        <v>1</v>
      </c>
      <c r="C71" s="28">
        <v>88.800000000000395</v>
      </c>
      <c r="D71" s="3" t="s">
        <v>21</v>
      </c>
      <c r="E71" s="3" t="e">
        <f>D71-C71</f>
        <v>#VALUE!</v>
      </c>
      <c r="F71" s="26">
        <v>3.125E-2</v>
      </c>
      <c r="G71" s="20" t="s">
        <v>21</v>
      </c>
      <c r="H71" s="20" t="e">
        <f>F71-G71</f>
        <v>#VALUE!</v>
      </c>
      <c r="I71" s="21"/>
      <c r="J71" s="3"/>
      <c r="K71" s="3" t="e">
        <f>D71-C71</f>
        <v>#VALUE!</v>
      </c>
      <c r="L71" s="46" t="e">
        <f>K71/J71</f>
        <v>#VALUE!</v>
      </c>
      <c r="M71" s="3"/>
    </row>
    <row r="72" spans="1:13" x14ac:dyDescent="0.2">
      <c r="A72" s="19">
        <v>38991</v>
      </c>
      <c r="B72" s="3">
        <v>0</v>
      </c>
      <c r="C72" s="28">
        <v>88.700000000000401</v>
      </c>
      <c r="D72" s="3" t="s">
        <v>21</v>
      </c>
      <c r="E72" s="3" t="e">
        <f>D72-C72</f>
        <v>#VALUE!</v>
      </c>
      <c r="F72" s="26" t="s">
        <v>742</v>
      </c>
      <c r="G72" s="3"/>
      <c r="H72" s="20" t="e">
        <f>F72-G72</f>
        <v>#VALUE!</v>
      </c>
      <c r="I72" s="21"/>
      <c r="J72" s="3"/>
      <c r="K72" s="3" t="e">
        <f>D72-C72</f>
        <v>#VALUE!</v>
      </c>
      <c r="L72" s="46" t="e">
        <f>K72/J72</f>
        <v>#VALUE!</v>
      </c>
      <c r="M72" s="3"/>
    </row>
    <row r="73" spans="1:13" x14ac:dyDescent="0.2">
      <c r="A73" s="18"/>
      <c r="M7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DIC</vt:lpstr>
      <vt:lpstr>ProfitLoss</vt:lpstr>
      <vt:lpstr>Sheet4</vt:lpstr>
      <vt:lpstr>Sheet5</vt:lpstr>
      <vt:lpstr>Sheet9</vt:lpstr>
      <vt:lpstr>Sheet10</vt:lpstr>
      <vt:lpstr>Sheet11</vt:lpstr>
      <vt:lpstr>V SCALE</vt:lpstr>
      <vt:lpstr>Sheet3</vt:lpstr>
      <vt:lpstr>Project 100k</vt:lpstr>
      <vt:lpstr>SubPenny</vt:lpstr>
      <vt:lpstr>Light Vol History</vt:lpstr>
      <vt:lpstr>Summary</vt:lpstr>
      <vt:lpstr>FRFGD</vt:lpstr>
      <vt:lpstr>Vol calc</vt:lpstr>
      <vt:lpstr>Sheet2</vt:lpstr>
      <vt:lpstr>Spikers</vt:lpstr>
      <vt:lpstr>Grinders Mid or ow</vt:lpstr>
      <vt:lpstr>GAPPERS</vt:lpstr>
      <vt:lpstr>Sheet1</vt:lpstr>
      <vt:lpstr>52 week movers</vt:lpstr>
      <vt:lpstr>Compilation</vt:lpstr>
      <vt:lpstr>Health</vt:lpstr>
    </vt:vector>
  </TitlesOfParts>
  <Manager/>
  <Company>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Johnson</dc:creator>
  <cp:keywords/>
  <dc:description/>
  <cp:lastModifiedBy>michael daniels</cp:lastModifiedBy>
  <cp:revision/>
  <dcterms:created xsi:type="dcterms:W3CDTF">2016-06-24T06:51:18Z</dcterms:created>
  <dcterms:modified xsi:type="dcterms:W3CDTF">2020-12-28T20:17:25Z</dcterms:modified>
  <cp:category/>
  <cp:contentStatus/>
</cp:coreProperties>
</file>