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nestle-my.sharepoint.com/personal/maryann_rolands_rd_nestle_com/Documents/Projects_2021/FAST_2021/R scripts and excel/"/>
    </mc:Choice>
  </mc:AlternateContent>
  <xr:revisionPtr revIDLastSave="4" documentId="13_ncr:1_{D1FFF4D9-B1B5-44B0-8205-3574F41F3A0E}" xr6:coauthVersionLast="47" xr6:coauthVersionMax="47" xr10:uidLastSave="{1728E6A8-A083-4E04-8B3D-EADB46DB2688}"/>
  <bookViews>
    <workbookView xWindow="-110" yWindow="-110" windowWidth="19420" windowHeight="10420" xr2:uid="{00000000-000D-0000-FFFF-FFFF00000000}"/>
  </bookViews>
  <sheets>
    <sheet name="data_for_R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5" l="1"/>
  <c r="L46" i="5" s="1"/>
  <c r="F46" i="5" s="1"/>
  <c r="T46" i="5"/>
  <c r="Q46" i="5" s="1"/>
  <c r="T45" i="5"/>
  <c r="Q45" i="5" s="1"/>
  <c r="K45" i="5"/>
  <c r="L45" i="5" s="1"/>
  <c r="F45" i="5" s="1"/>
  <c r="K32" i="5"/>
  <c r="O22" i="5"/>
  <c r="F22" i="5"/>
  <c r="O21" i="5"/>
  <c r="F21" i="5"/>
  <c r="T53" i="5"/>
  <c r="Q53" i="5" s="1"/>
  <c r="O53" i="5" s="1"/>
  <c r="T52" i="5"/>
  <c r="Q52" i="5" s="1"/>
  <c r="O52" i="5" s="1"/>
  <c r="Q49" i="5"/>
  <c r="O49" i="5" s="1"/>
  <c r="N49" i="5"/>
  <c r="F49" i="5"/>
  <c r="Q48" i="5"/>
  <c r="O48" i="5" s="1"/>
  <c r="N48" i="5"/>
  <c r="F48" i="5"/>
  <c r="O9" i="5"/>
  <c r="O8" i="5"/>
  <c r="O20" i="5"/>
  <c r="T4" i="5"/>
  <c r="Q4" i="5" s="1"/>
  <c r="O4" i="5" s="1"/>
  <c r="N30" i="5"/>
  <c r="N31" i="5"/>
  <c r="O19" i="5"/>
  <c r="N19" i="5"/>
  <c r="N20" i="5"/>
  <c r="F16" i="5"/>
  <c r="T5" i="5"/>
  <c r="T28" i="5"/>
  <c r="N4" i="5"/>
  <c r="S28" i="5"/>
  <c r="S27" i="5"/>
  <c r="R28" i="5"/>
  <c r="R27" i="5"/>
  <c r="N28" i="5"/>
  <c r="N27" i="5"/>
  <c r="Q5" i="5" l="1"/>
  <c r="O5" i="5" s="1"/>
  <c r="Q28" i="5"/>
  <c r="O28" i="5" s="1"/>
  <c r="N36" i="5"/>
  <c r="N37" i="5"/>
  <c r="P42" i="5"/>
  <c r="O42" i="5" s="1"/>
  <c r="N42" i="5"/>
  <c r="N40" i="5"/>
  <c r="P41" i="5"/>
  <c r="O41" i="5" s="1"/>
  <c r="N41" i="5"/>
  <c r="T32" i="5"/>
  <c r="O12" i="5"/>
  <c r="F12" i="5"/>
  <c r="T18" i="5"/>
  <c r="T17" i="5"/>
  <c r="Q17" i="5" s="1"/>
  <c r="O17" i="5" s="1"/>
  <c r="P37" i="5"/>
  <c r="O37" i="5" s="1"/>
  <c r="P36" i="5"/>
  <c r="O36" i="5" s="1"/>
  <c r="P40" i="5"/>
  <c r="O40" i="5" s="1"/>
  <c r="Q32" i="5" l="1"/>
  <c r="Q18" i="5"/>
  <c r="O18" i="5" s="1"/>
  <c r="O11" i="5"/>
  <c r="L32" i="5"/>
  <c r="F32" i="5" s="1"/>
  <c r="K33" i="5"/>
  <c r="L33" i="5" s="1"/>
  <c r="F33" i="5" s="1"/>
  <c r="O32" i="5" l="1"/>
  <c r="O45" i="5"/>
  <c r="T27" i="5"/>
  <c r="Q27" i="5" s="1"/>
  <c r="O27" i="5" s="1"/>
  <c r="T33" i="5"/>
  <c r="O16" i="5"/>
  <c r="O10" i="5"/>
  <c r="F15" i="5" l="1"/>
  <c r="F11" i="5"/>
  <c r="F10" i="5"/>
  <c r="F36" i="5"/>
  <c r="F37" i="5"/>
  <c r="Q33" i="5"/>
  <c r="O33" i="5" l="1"/>
  <c r="O46" i="5"/>
  <c r="N35" i="5"/>
  <c r="O15" i="5"/>
</calcChain>
</file>

<file path=xl/sharedStrings.xml><?xml version="1.0" encoding="utf-8"?>
<sst xmlns="http://schemas.openxmlformats.org/spreadsheetml/2006/main" count="180" uniqueCount="67">
  <si>
    <t>MADF</t>
  </si>
  <si>
    <t xml:space="preserve">IF 5:2 </t>
  </si>
  <si>
    <t>TRF</t>
  </si>
  <si>
    <t>SD</t>
  </si>
  <si>
    <t> </t>
  </si>
  <si>
    <t>Baseline</t>
  </si>
  <si>
    <t>Change from baseline</t>
  </si>
  <si>
    <t>Study</t>
  </si>
  <si>
    <t>Treatment arm</t>
  </si>
  <si>
    <t>Duration</t>
  </si>
  <si>
    <t>N</t>
  </si>
  <si>
    <t>Mean</t>
  </si>
  <si>
    <t>SEM</t>
  </si>
  <si>
    <t>SE</t>
  </si>
  <si>
    <t>95% CI lower limit</t>
  </si>
  <si>
    <t>95% CI upper limit</t>
  </si>
  <si>
    <t xml:space="preserve">T value </t>
  </si>
  <si>
    <t xml:space="preserve">Tvalue*2 </t>
  </si>
  <si>
    <t>CER</t>
  </si>
  <si>
    <t xml:space="preserve">16 weeks </t>
  </si>
  <si>
    <t>16 weeks</t>
  </si>
  <si>
    <t xml:space="preserve">12 weeks </t>
  </si>
  <si>
    <t>8 weeks</t>
  </si>
  <si>
    <t xml:space="preserve">CER </t>
  </si>
  <si>
    <t>Control</t>
  </si>
  <si>
    <t>6 months</t>
  </si>
  <si>
    <t>12 weeks</t>
  </si>
  <si>
    <t xml:space="preserve">6 months </t>
  </si>
  <si>
    <t>8-10 weeks</t>
  </si>
  <si>
    <t>control</t>
  </si>
  <si>
    <t>52 days</t>
  </si>
  <si>
    <t xml:space="preserve">IF 5:2  </t>
  </si>
  <si>
    <t xml:space="preserve"> </t>
  </si>
  <si>
    <t>4 weeks</t>
  </si>
  <si>
    <t>IER</t>
  </si>
  <si>
    <t xml:space="preserve">control </t>
  </si>
  <si>
    <t xml:space="preserve">Control  </t>
  </si>
  <si>
    <t xml:space="preserve">8 weeks </t>
  </si>
  <si>
    <t>3 weeks</t>
  </si>
  <si>
    <t xml:space="preserve">3 weeks </t>
  </si>
  <si>
    <t xml:space="preserve">4 weeks </t>
  </si>
  <si>
    <t xml:space="preserve">2 weeks </t>
  </si>
  <si>
    <t>ADF</t>
  </si>
  <si>
    <t xml:space="preserve">Templeman et al. 2021 - 3 wks </t>
  </si>
  <si>
    <t xml:space="preserve">Stekovik et al. 2019 - 4 wks </t>
  </si>
  <si>
    <t xml:space="preserve">Catenacci et al. 2016 - 8 wks </t>
  </si>
  <si>
    <t xml:space="preserve">Oh et al. 2018 - 8 wks </t>
  </si>
  <si>
    <t>Bhutani et al. 2013 - 12 wks</t>
  </si>
  <si>
    <t xml:space="preserve">Bowen et al. 2018 - 16 wks </t>
  </si>
  <si>
    <t>Trepanowski et al. 2017 - 26 wks</t>
  </si>
  <si>
    <t>Gao et al. 2021 - 2 wks</t>
  </si>
  <si>
    <t xml:space="preserve">Pinto et al. 2020 - 4 wks </t>
  </si>
  <si>
    <t>Hirsh et al. 2019 - 7.4 wks</t>
  </si>
  <si>
    <t>Antoni et al. 2018 - 8 wks</t>
  </si>
  <si>
    <t xml:space="preserve">Schubel et al. 2018  - 12 wks </t>
  </si>
  <si>
    <t>Conley et al. 2018 - 26 wks</t>
  </si>
  <si>
    <t>Cienfuegos et al. 2020 - 8 wks</t>
  </si>
  <si>
    <t xml:space="preserve">Peeke et al. 2021 - 8 wks </t>
  </si>
  <si>
    <t xml:space="preserve">Lowe et al. 2020 - 12 wks </t>
  </si>
  <si>
    <t>Chow et al. 2020 - 12 wks</t>
  </si>
  <si>
    <t xml:space="preserve">Coutinho et al. 2017 - 12 wks </t>
  </si>
  <si>
    <t xml:space="preserve">Varady et al. 2013 - 12 wks </t>
  </si>
  <si>
    <t>Hutchison et al. 2019 - 8 wks</t>
  </si>
  <si>
    <t>Steger et al. 2020 - 12 wks</t>
  </si>
  <si>
    <t>Headland et al. 2019 - 8 wks</t>
  </si>
  <si>
    <t xml:space="preserve">Harvie et al. 2011 - 26 wks </t>
  </si>
  <si>
    <t xml:space="preserve">Beaulieu et al. 2021 - 12 wks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</si>
</sst>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sz val="14"/>
      <color rgb="FFFF0000"/>
      <name val="Calibri"/>
      <family val="2"/>
    </font>
    <font>
      <sz val="11"/>
      <color theme="1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E6AF00"/>
        <bgColor rgb="FFFFCC00"/>
      </patternFill>
    </fill>
    <fill>
      <patternFill patternType="solid">
        <fgColor theme="8" tint="0.39997558519241921"/>
        <bgColor rgb="FF9BBB59"/>
      </patternFill>
    </fill>
    <fill>
      <patternFill patternType="solid">
        <fgColor theme="8" tint="0.39997558519241921"/>
        <bgColor rgb="FFFFCC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 applyAlignment="1"/>
    <xf numFmtId="0" fontId="4" fillId="0" borderId="0" xfId="0" applyFont="1"/>
    <xf numFmtId="0" fontId="4" fillId="0" borderId="0" xfId="0" applyFont="1" applyAlignment="1">
      <alignment wrapText="1"/>
    </xf>
    <xf numFmtId="2" fontId="3" fillId="0" borderId="0" xfId="0" applyNumberFormat="1" applyFont="1"/>
    <xf numFmtId="2" fontId="4" fillId="0" borderId="0" xfId="0" applyNumberFormat="1" applyFont="1"/>
    <xf numFmtId="0" fontId="6" fillId="0" borderId="0" xfId="0" applyFont="1" applyFill="1" applyBorder="1" applyAlignment="1"/>
    <xf numFmtId="0" fontId="6" fillId="0" borderId="0" xfId="0" applyFont="1"/>
    <xf numFmtId="0" fontId="7" fillId="0" borderId="0" xfId="0" applyFont="1" applyFill="1" applyBorder="1" applyAlignment="1"/>
    <xf numFmtId="0" fontId="4" fillId="0" borderId="0" xfId="0" applyFont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2" fontId="4" fillId="0" borderId="0" xfId="0" applyNumberFormat="1" applyFont="1" applyAlignment="1">
      <alignment wrapText="1"/>
    </xf>
    <xf numFmtId="0" fontId="7" fillId="0" borderId="0" xfId="0" applyFont="1"/>
    <xf numFmtId="10" fontId="3" fillId="0" borderId="0" xfId="0" applyNumberFormat="1" applyFont="1"/>
    <xf numFmtId="0" fontId="4" fillId="0" borderId="0" xfId="0" applyFont="1" applyFill="1" applyAlignment="1">
      <alignment wrapText="1"/>
    </xf>
    <xf numFmtId="2" fontId="4" fillId="0" borderId="0" xfId="0" applyNumberFormat="1" applyFont="1" applyFill="1"/>
    <xf numFmtId="2" fontId="3" fillId="0" borderId="0" xfId="0" applyNumberFormat="1" applyFont="1" applyFill="1"/>
    <xf numFmtId="0" fontId="9" fillId="0" borderId="0" xfId="0" applyFont="1" applyFill="1"/>
    <xf numFmtId="0" fontId="0" fillId="0" borderId="0" xfId="0" applyFont="1"/>
    <xf numFmtId="2" fontId="3" fillId="0" borderId="0" xfId="0" applyNumberFormat="1" applyFont="1" applyAlignment="1">
      <alignment horizontal="right"/>
    </xf>
    <xf numFmtId="0" fontId="5" fillId="6" borderId="0" xfId="0" applyFont="1" applyFill="1" applyBorder="1" applyAlignment="1"/>
    <xf numFmtId="0" fontId="4" fillId="6" borderId="0" xfId="0" applyFont="1" applyFill="1" applyBorder="1" applyAlignment="1">
      <alignment wrapText="1"/>
    </xf>
    <xf numFmtId="0" fontId="4" fillId="6" borderId="0" xfId="0" applyFont="1" applyFill="1" applyBorder="1" applyAlignment="1"/>
    <xf numFmtId="0" fontId="3" fillId="6" borderId="0" xfId="0" applyFont="1" applyFill="1"/>
    <xf numFmtId="0" fontId="4" fillId="6" borderId="0" xfId="0" applyFont="1" applyFill="1"/>
    <xf numFmtId="0" fontId="7" fillId="0" borderId="0" xfId="0" applyFont="1" applyFill="1" applyAlignment="1"/>
    <xf numFmtId="0" fontId="10" fillId="2" borderId="5" xfId="0" applyFont="1" applyFill="1" applyBorder="1" applyAlignment="1"/>
    <xf numFmtId="0" fontId="10" fillId="2" borderId="7" xfId="0" applyFont="1" applyFill="1" applyBorder="1" applyAlignment="1"/>
    <xf numFmtId="0" fontId="11" fillId="3" borderId="2" xfId="0" applyFont="1" applyFill="1" applyBorder="1" applyAlignment="1"/>
    <xf numFmtId="0" fontId="12" fillId="7" borderId="0" xfId="0" applyFont="1" applyFill="1"/>
    <xf numFmtId="0" fontId="13" fillId="7" borderId="0" xfId="0" applyFont="1" applyFill="1"/>
    <xf numFmtId="0" fontId="13" fillId="2" borderId="3" xfId="0" applyFont="1" applyFill="1" applyBorder="1" applyAlignment="1"/>
    <xf numFmtId="0" fontId="13" fillId="3" borderId="4" xfId="0" applyFont="1" applyFill="1" applyBorder="1" applyAlignment="1"/>
    <xf numFmtId="0" fontId="13" fillId="7" borderId="4" xfId="0" applyFont="1" applyFill="1" applyBorder="1" applyAlignment="1"/>
    <xf numFmtId="0" fontId="14" fillId="6" borderId="0" xfId="0" applyFont="1" applyFill="1"/>
    <xf numFmtId="0" fontId="15" fillId="4" borderId="0" xfId="0" applyFont="1" applyFill="1" applyBorder="1" applyAlignment="1"/>
    <xf numFmtId="0" fontId="16" fillId="4" borderId="0" xfId="0" applyFont="1" applyFill="1" applyBorder="1"/>
    <xf numFmtId="0" fontId="16" fillId="5" borderId="0" xfId="0" applyFont="1" applyFill="1" applyBorder="1" applyAlignment="1"/>
    <xf numFmtId="0" fontId="16" fillId="6" borderId="0" xfId="0" applyFont="1" applyFill="1"/>
    <xf numFmtId="2" fontId="0" fillId="0" borderId="0" xfId="0" applyNumberFormat="1" applyFont="1"/>
    <xf numFmtId="0" fontId="0" fillId="0" borderId="0" xfId="0" applyFont="1" applyFill="1"/>
    <xf numFmtId="0" fontId="3" fillId="0" borderId="0" xfId="0" applyFont="1" applyBorder="1"/>
    <xf numFmtId="0" fontId="6" fillId="0" borderId="0" xfId="0" applyFont="1" applyAlignment="1">
      <alignment wrapText="1"/>
    </xf>
    <xf numFmtId="0" fontId="17" fillId="6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164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2" fontId="18" fillId="0" borderId="0" xfId="0" applyNumberFormat="1" applyFont="1"/>
    <xf numFmtId="2" fontId="18" fillId="0" borderId="0" xfId="0" applyNumberFormat="1" applyFont="1" applyFill="1"/>
    <xf numFmtId="0" fontId="8" fillId="0" borderId="0" xfId="1" applyFont="1"/>
    <xf numFmtId="0" fontId="4" fillId="0" borderId="0" xfId="0" applyFont="1" applyFill="1" applyAlignment="1"/>
    <xf numFmtId="2" fontId="19" fillId="0" borderId="0" xfId="0" quotePrefix="1" applyNumberFormat="1" applyFont="1"/>
    <xf numFmtId="0" fontId="20" fillId="2" borderId="6" xfId="0" applyFont="1" applyFill="1" applyBorder="1" applyAlignment="1"/>
    <xf numFmtId="0" fontId="21" fillId="4" borderId="0" xfId="0" applyFont="1" applyFill="1" applyBorder="1" applyAlignment="1"/>
    <xf numFmtId="0" fontId="7" fillId="6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6" borderId="0" xfId="0" applyFont="1" applyFill="1"/>
    <xf numFmtId="0" fontId="22" fillId="0" borderId="0" xfId="0" applyFont="1" applyFill="1"/>
    <xf numFmtId="0" fontId="6" fillId="0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6" fillId="6" borderId="0" xfId="0" applyFont="1" applyFill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wrapText="1"/>
    </xf>
    <xf numFmtId="0" fontId="23" fillId="2" borderId="4" xfId="0" applyFont="1" applyFill="1" applyBorder="1" applyAlignment="1">
      <alignment wrapText="1"/>
    </xf>
    <xf numFmtId="165" fontId="4" fillId="0" borderId="0" xfId="0" applyNumberFormat="1" applyFont="1" applyFill="1" applyBorder="1" applyAlignment="1">
      <alignment horizontal="right"/>
    </xf>
    <xf numFmtId="0" fontId="14" fillId="0" borderId="0" xfId="0" applyFont="1" applyFill="1" applyAlignment="1">
      <alignment wrapText="1"/>
    </xf>
    <xf numFmtId="0" fontId="14" fillId="0" borderId="0" xfId="0" applyFont="1" applyFill="1"/>
    <xf numFmtId="0" fontId="4" fillId="0" borderId="0" xfId="0" quotePrefix="1" applyFont="1" applyFill="1" applyAlignment="1">
      <alignment wrapText="1"/>
    </xf>
    <xf numFmtId="2" fontId="6" fillId="0" borderId="0" xfId="0" applyNumberFormat="1" applyFont="1"/>
    <xf numFmtId="2" fontId="6" fillId="0" borderId="0" xfId="0" applyNumberFormat="1" applyFont="1" applyFill="1" applyBorder="1" applyAlignment="1"/>
    <xf numFmtId="2" fontId="6" fillId="0" borderId="0" xfId="0" applyNumberFormat="1" applyFont="1" applyFill="1"/>
    <xf numFmtId="2" fontId="6" fillId="0" borderId="0" xfId="0" quotePrefix="1" applyNumberFormat="1" applyFont="1" applyFill="1"/>
    <xf numFmtId="0" fontId="6" fillId="0" borderId="0" xfId="0" quotePrefix="1" applyFont="1" applyFill="1"/>
    <xf numFmtId="2" fontId="6" fillId="0" borderId="0" xfId="0" quotePrefix="1" applyNumberFormat="1" applyFont="1"/>
    <xf numFmtId="0" fontId="6" fillId="0" borderId="0" xfId="0" quotePrefix="1" applyFont="1"/>
    <xf numFmtId="2" fontId="2" fillId="0" borderId="0" xfId="0" applyNumberFormat="1" applyFont="1"/>
    <xf numFmtId="2" fontId="24" fillId="0" borderId="0" xfId="0" quotePrefix="1" applyNumberFormat="1" applyFont="1"/>
    <xf numFmtId="2" fontId="22" fillId="0" borderId="0" xfId="0" applyNumberFormat="1" applyFont="1" applyFill="1"/>
    <xf numFmtId="2" fontId="4" fillId="0" borderId="0" xfId="0" applyNumberFormat="1" applyFont="1" applyFill="1" applyBorder="1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Font="1" applyFill="1"/>
    <xf numFmtId="2" fontId="0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2" fontId="3" fillId="0" borderId="0" xfId="0" applyNumberFormat="1" applyFont="1" applyAlignment="1"/>
    <xf numFmtId="0" fontId="3" fillId="0" borderId="0" xfId="0" applyFont="1" applyFill="1" applyAlignment="1"/>
    <xf numFmtId="2" fontId="6" fillId="0" borderId="0" xfId="0" applyNumberFormat="1" applyFont="1" applyAlignment="1">
      <alignment horizontal="right"/>
    </xf>
    <xf numFmtId="10" fontId="6" fillId="0" borderId="0" xfId="0" applyNumberFormat="1" applyFont="1" applyFill="1"/>
    <xf numFmtId="0" fontId="2" fillId="0" borderId="0" xfId="0" applyFont="1" applyFill="1"/>
    <xf numFmtId="165" fontId="6" fillId="0" borderId="0" xfId="0" applyNumberFormat="1" applyFont="1" applyFill="1" applyBorder="1" applyAlignment="1"/>
    <xf numFmtId="0" fontId="11" fillId="3" borderId="1" xfId="0" applyFont="1" applyFill="1" applyBorder="1" applyAlignment="1"/>
    <xf numFmtId="0" fontId="11" fillId="7" borderId="2" xfId="0" applyFont="1" applyFill="1" applyBorder="1" applyAlignment="1"/>
    <xf numFmtId="2" fontId="0" fillId="0" borderId="0" xfId="0" applyNumberForma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CC"/>
      <color rgb="FFDE9A23"/>
      <color rgb="FFDE93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0F57-0D9D-4CBC-B2EE-ADEF1FB4183C}">
  <dimension ref="A1:V57"/>
  <sheetViews>
    <sheetView tabSelected="1" zoomScale="88" zoomScaleNormal="88" workbookViewId="0">
      <selection activeCell="I13" sqref="I13"/>
    </sheetView>
  </sheetViews>
  <sheetFormatPr defaultColWidth="9.1796875" defaultRowHeight="14.5" x14ac:dyDescent="0.35"/>
  <cols>
    <col min="1" max="1" width="35.453125" style="2" customWidth="1"/>
    <col min="2" max="2" width="13.54296875" style="17" customWidth="1"/>
    <col min="3" max="3" width="16.7265625" style="2" customWidth="1"/>
    <col min="4" max="4" width="8.453125" style="2" customWidth="1"/>
    <col min="5" max="5" width="9.453125" style="2" bestFit="1" customWidth="1"/>
    <col min="6" max="6" width="8.54296875" style="2" customWidth="1"/>
    <col min="7" max="7" width="7.453125" style="2" customWidth="1"/>
    <col min="8" max="8" width="8.453125" style="2" customWidth="1"/>
    <col min="9" max="14" width="9.453125" style="2" bestFit="1" customWidth="1"/>
    <col min="15" max="15" width="10.81640625" style="2" customWidth="1"/>
    <col min="16" max="16" width="9.453125" style="2" bestFit="1" customWidth="1"/>
    <col min="17" max="17" width="11.453125" style="2" bestFit="1" customWidth="1"/>
    <col min="18" max="19" width="9.453125" style="2" bestFit="1" customWidth="1"/>
    <col min="20" max="20" width="11.54296875" style="2" customWidth="1"/>
    <col min="21" max="21" width="44.7265625" style="49" customWidth="1"/>
    <col min="22" max="22" width="31.81640625" style="2" customWidth="1"/>
    <col min="23" max="16384" width="9.1796875" style="2"/>
  </cols>
  <sheetData>
    <row r="1" spans="1:22" ht="15.5" x14ac:dyDescent="0.35">
      <c r="A1" s="31" t="s">
        <v>4</v>
      </c>
      <c r="B1" s="61" t="s">
        <v>4</v>
      </c>
      <c r="C1" s="32"/>
      <c r="D1" s="102" t="s">
        <v>5</v>
      </c>
      <c r="E1" s="102"/>
      <c r="F1" s="102"/>
      <c r="G1" s="102"/>
      <c r="H1" s="102"/>
      <c r="I1" s="33" t="s">
        <v>4</v>
      </c>
      <c r="J1" s="33" t="s">
        <v>4</v>
      </c>
      <c r="K1" s="33"/>
      <c r="L1" s="33"/>
      <c r="M1" s="103" t="s">
        <v>6</v>
      </c>
      <c r="N1" s="103"/>
      <c r="O1" s="103"/>
      <c r="P1" s="103"/>
      <c r="Q1" s="103"/>
      <c r="R1" s="103"/>
      <c r="S1" s="103"/>
      <c r="T1" s="34"/>
      <c r="U1" s="68"/>
    </row>
    <row r="2" spans="1:22" ht="31" x14ac:dyDescent="0.35">
      <c r="A2" s="36" t="s">
        <v>7</v>
      </c>
      <c r="B2" s="71" t="s">
        <v>8</v>
      </c>
      <c r="C2" s="72" t="s">
        <v>9</v>
      </c>
      <c r="D2" s="37" t="s">
        <v>10</v>
      </c>
      <c r="E2" s="37" t="s">
        <v>11</v>
      </c>
      <c r="F2" s="37" t="s">
        <v>3</v>
      </c>
      <c r="G2" s="37" t="s">
        <v>12</v>
      </c>
      <c r="H2" s="37" t="s">
        <v>13</v>
      </c>
      <c r="I2" s="37" t="s">
        <v>14</v>
      </c>
      <c r="J2" s="37" t="s">
        <v>15</v>
      </c>
      <c r="K2" s="37" t="s">
        <v>16</v>
      </c>
      <c r="L2" s="37" t="s">
        <v>17</v>
      </c>
      <c r="M2" s="38" t="s">
        <v>10</v>
      </c>
      <c r="N2" s="38" t="s">
        <v>11</v>
      </c>
      <c r="O2" s="38" t="s">
        <v>3</v>
      </c>
      <c r="P2" s="38" t="s">
        <v>12</v>
      </c>
      <c r="Q2" s="38" t="s">
        <v>13</v>
      </c>
      <c r="R2" s="38" t="s">
        <v>14</v>
      </c>
      <c r="S2" s="38" t="s">
        <v>15</v>
      </c>
      <c r="T2" s="35" t="s">
        <v>16</v>
      </c>
      <c r="U2" s="68"/>
    </row>
    <row r="3" spans="1:22" s="43" customFormat="1" ht="18.5" x14ac:dyDescent="0.45">
      <c r="A3" s="40" t="s">
        <v>0</v>
      </c>
      <c r="B3" s="62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U3" s="69"/>
    </row>
    <row r="4" spans="1:22" s="14" customFormat="1" x14ac:dyDescent="0.35">
      <c r="A4" s="15" t="s">
        <v>43</v>
      </c>
      <c r="B4" s="10" t="s">
        <v>18</v>
      </c>
      <c r="C4" s="3" t="s">
        <v>38</v>
      </c>
      <c r="D4" s="3">
        <v>12</v>
      </c>
      <c r="E4" s="87">
        <v>72</v>
      </c>
      <c r="F4" s="20">
        <v>10.199999999999999</v>
      </c>
      <c r="G4" s="3"/>
      <c r="H4" s="3"/>
      <c r="I4" s="3"/>
      <c r="J4" s="3"/>
      <c r="K4" s="3"/>
      <c r="L4" s="3"/>
      <c r="M4" s="3">
        <v>12</v>
      </c>
      <c r="N4" s="90">
        <f>-1.91</f>
        <v>-1.91</v>
      </c>
      <c r="O4" s="79">
        <f>-Q4/SQRT(1/12+1/12)</f>
        <v>0.15980090601869001</v>
      </c>
      <c r="P4" s="3"/>
      <c r="Q4" s="80">
        <f>(S4)-(R4)/T4</f>
        <v>-6.5238446696706642E-2</v>
      </c>
      <c r="R4" s="81">
        <v>-2.54</v>
      </c>
      <c r="S4" s="80">
        <v>-1.29</v>
      </c>
      <c r="T4" s="80">
        <f>TINV(1-0.95,12+12-2)</f>
        <v>2.0738730679040249</v>
      </c>
      <c r="U4" s="50"/>
    </row>
    <row r="5" spans="1:22" s="14" customFormat="1" x14ac:dyDescent="0.35">
      <c r="A5" s="15" t="s">
        <v>43</v>
      </c>
      <c r="B5" s="10" t="s">
        <v>42</v>
      </c>
      <c r="C5" s="3" t="s">
        <v>39</v>
      </c>
      <c r="D5" s="3">
        <v>12</v>
      </c>
      <c r="E5" s="87">
        <v>67.400000000000006</v>
      </c>
      <c r="F5" s="20">
        <v>7.8</v>
      </c>
      <c r="G5" s="3"/>
      <c r="H5" s="3"/>
      <c r="I5" s="3"/>
      <c r="J5" s="3"/>
      <c r="K5" s="3"/>
      <c r="L5" s="3"/>
      <c r="M5" s="3">
        <v>12</v>
      </c>
      <c r="N5" s="90">
        <v>-0.52</v>
      </c>
      <c r="O5" s="20">
        <f>Q5/SQRT(1/D5+1/M5)</f>
        <v>1.8700614778063449</v>
      </c>
      <c r="P5" s="3"/>
      <c r="Q5" s="80">
        <f>(S5)-(R5)/T5</f>
        <v>0.76344940137676565</v>
      </c>
      <c r="R5" s="81">
        <v>-1.21</v>
      </c>
      <c r="S5" s="80">
        <v>0.18</v>
      </c>
      <c r="T5" s="80">
        <f>TINV(1-0.95,12+12-2)</f>
        <v>2.0738730679040249</v>
      </c>
      <c r="U5" s="50"/>
    </row>
    <row r="6" spans="1:22" s="88" customFormat="1" x14ac:dyDescent="0.35">
      <c r="A6" s="88" t="s">
        <v>44</v>
      </c>
      <c r="B6" s="10" t="s">
        <v>29</v>
      </c>
      <c r="C6" s="3" t="s">
        <v>40</v>
      </c>
      <c r="D6" s="88">
        <v>30</v>
      </c>
      <c r="E6" s="89">
        <v>75.930000000000007</v>
      </c>
      <c r="F6" s="89">
        <v>12.5</v>
      </c>
      <c r="M6" s="88">
        <v>28</v>
      </c>
      <c r="N6" s="104">
        <v>-0.19600000000000001</v>
      </c>
      <c r="O6" s="104">
        <v>1.101</v>
      </c>
    </row>
    <row r="7" spans="1:22" s="88" customFormat="1" x14ac:dyDescent="0.35">
      <c r="A7" s="88" t="s">
        <v>44</v>
      </c>
      <c r="B7" s="10" t="s">
        <v>42</v>
      </c>
      <c r="C7" s="3" t="s">
        <v>40</v>
      </c>
      <c r="D7" s="88">
        <v>30</v>
      </c>
      <c r="E7" s="89">
        <v>77.209999999999994</v>
      </c>
      <c r="F7" s="89">
        <v>10.25</v>
      </c>
      <c r="M7" s="88">
        <v>29</v>
      </c>
      <c r="N7" s="104">
        <v>-3.5</v>
      </c>
      <c r="O7" s="104">
        <v>1.4750000000000001</v>
      </c>
    </row>
    <row r="8" spans="1:22" s="88" customFormat="1" x14ac:dyDescent="0.35">
      <c r="A8" s="88" t="s">
        <v>45</v>
      </c>
      <c r="B8" s="10" t="s">
        <v>18</v>
      </c>
      <c r="C8" s="3" t="s">
        <v>37</v>
      </c>
      <c r="D8" s="88">
        <v>12</v>
      </c>
      <c r="E8" s="89">
        <v>114</v>
      </c>
      <c r="F8" s="89">
        <v>4.5999999999999996</v>
      </c>
      <c r="M8" s="88">
        <v>12</v>
      </c>
      <c r="N8" s="104">
        <v>-7.1</v>
      </c>
      <c r="O8" s="104">
        <f>Q8/SQRT(1/12+1/12)</f>
        <v>2.4494897427831779</v>
      </c>
      <c r="Q8" s="88">
        <v>1</v>
      </c>
    </row>
    <row r="9" spans="1:22" s="88" customFormat="1" x14ac:dyDescent="0.35">
      <c r="A9" s="88" t="s">
        <v>45</v>
      </c>
      <c r="B9" s="10" t="s">
        <v>42</v>
      </c>
      <c r="C9" s="3" t="s">
        <v>37</v>
      </c>
      <c r="D9" s="88">
        <v>13</v>
      </c>
      <c r="E9" s="89">
        <v>94.8</v>
      </c>
      <c r="F9" s="89">
        <v>4.4000000000000004</v>
      </c>
      <c r="M9" s="88">
        <v>13</v>
      </c>
      <c r="N9" s="104">
        <v>-8.1999999999999993</v>
      </c>
      <c r="O9" s="104">
        <f>Q9/SQRT(1/13+1/13)</f>
        <v>2.2945587811167529</v>
      </c>
      <c r="Q9" s="88">
        <v>0.9</v>
      </c>
    </row>
    <row r="10" spans="1:22" ht="17.25" customHeight="1" x14ac:dyDescent="0.35">
      <c r="A10" s="1" t="s">
        <v>62</v>
      </c>
      <c r="B10" s="10" t="s">
        <v>23</v>
      </c>
      <c r="C10" s="3" t="s">
        <v>22</v>
      </c>
      <c r="D10" s="3">
        <v>26</v>
      </c>
      <c r="E10" s="5">
        <v>88.4</v>
      </c>
      <c r="F10" s="77">
        <f>G10*SQRT(D10)</f>
        <v>14.277254638059796</v>
      </c>
      <c r="G10" s="54">
        <v>2.8</v>
      </c>
      <c r="H10" s="3"/>
      <c r="I10" s="3"/>
      <c r="J10" s="3"/>
      <c r="K10" s="3"/>
      <c r="L10" s="3"/>
      <c r="M10" s="3">
        <v>24</v>
      </c>
      <c r="N10" s="5">
        <v>-3.9</v>
      </c>
      <c r="O10" s="5">
        <f>P10/SQRT(1/26+1/26)</f>
        <v>1.4422205101855958</v>
      </c>
      <c r="P10" s="5">
        <v>0.4</v>
      </c>
      <c r="Q10" s="3"/>
      <c r="R10" s="3"/>
      <c r="S10" s="3"/>
      <c r="U10" s="50"/>
      <c r="V10" s="14"/>
    </row>
    <row r="11" spans="1:22" s="14" customFormat="1" x14ac:dyDescent="0.35">
      <c r="A11" s="1" t="s">
        <v>62</v>
      </c>
      <c r="B11" s="10" t="s">
        <v>0</v>
      </c>
      <c r="C11" s="3" t="s">
        <v>22</v>
      </c>
      <c r="D11" s="3">
        <v>25</v>
      </c>
      <c r="E11" s="5">
        <v>89.4</v>
      </c>
      <c r="F11" s="79">
        <f>G11*SQRT(D11)</f>
        <v>14</v>
      </c>
      <c r="G11" s="54">
        <v>2.8</v>
      </c>
      <c r="H11" s="3"/>
      <c r="I11" s="3"/>
      <c r="J11" s="3"/>
      <c r="K11" s="3"/>
      <c r="L11" s="3"/>
      <c r="M11" s="3">
        <v>22</v>
      </c>
      <c r="N11" s="5">
        <v>-5.4</v>
      </c>
      <c r="O11" s="5">
        <f>P11/SQRT(1/25+1/25)</f>
        <v>1.7677669529663689</v>
      </c>
      <c r="P11" s="5">
        <v>0.5</v>
      </c>
      <c r="Q11" s="3"/>
      <c r="R11" s="3"/>
      <c r="S11" s="3"/>
      <c r="U11" s="50"/>
    </row>
    <row r="12" spans="1:22" s="14" customFormat="1" x14ac:dyDescent="0.35">
      <c r="A12" s="1" t="s">
        <v>62</v>
      </c>
      <c r="B12" s="10" t="s">
        <v>24</v>
      </c>
      <c r="C12" s="3" t="s">
        <v>22</v>
      </c>
      <c r="D12" s="3">
        <v>12</v>
      </c>
      <c r="E12" s="5">
        <v>83.8</v>
      </c>
      <c r="F12" s="79">
        <f>G12*SQRT(D12)</f>
        <v>16.62768775266122</v>
      </c>
      <c r="G12" s="54">
        <v>4.8</v>
      </c>
      <c r="H12" s="3"/>
      <c r="I12" s="3"/>
      <c r="J12" s="3"/>
      <c r="K12" s="3"/>
      <c r="L12" s="3"/>
      <c r="M12" s="3">
        <v>11</v>
      </c>
      <c r="N12" s="5">
        <v>0.4</v>
      </c>
      <c r="O12" s="5">
        <f>P12/SQRT(1/25+1/25)</f>
        <v>1.4142135623730951</v>
      </c>
      <c r="P12" s="5">
        <v>0.4</v>
      </c>
      <c r="Q12" s="3"/>
      <c r="R12" s="3"/>
      <c r="S12" s="3"/>
      <c r="U12" s="50"/>
    </row>
    <row r="13" spans="1:22" x14ac:dyDescent="0.35">
      <c r="A13" s="46" t="s">
        <v>46</v>
      </c>
      <c r="B13" s="3" t="s">
        <v>24</v>
      </c>
      <c r="C13" s="3" t="s">
        <v>22</v>
      </c>
      <c r="D13" s="3">
        <v>10</v>
      </c>
      <c r="E13" s="44">
        <v>70.8</v>
      </c>
      <c r="F13" s="5">
        <v>13.6</v>
      </c>
      <c r="G13" s="3"/>
      <c r="H13" s="3"/>
      <c r="I13" s="3"/>
      <c r="J13" s="3"/>
      <c r="K13" s="3"/>
      <c r="L13" s="3"/>
      <c r="M13" s="3">
        <v>10</v>
      </c>
      <c r="N13" s="5">
        <v>-0.6</v>
      </c>
      <c r="O13" s="5">
        <v>1.3</v>
      </c>
      <c r="P13" s="5"/>
      <c r="Q13" s="3"/>
      <c r="R13" s="3"/>
      <c r="S13" s="3"/>
      <c r="U13" s="50"/>
      <c r="V13" s="14"/>
    </row>
    <row r="14" spans="1:22" x14ac:dyDescent="0.35">
      <c r="A14" s="46" t="s">
        <v>46</v>
      </c>
      <c r="B14" s="10" t="s">
        <v>0</v>
      </c>
      <c r="C14" s="3" t="s">
        <v>22</v>
      </c>
      <c r="D14" s="3">
        <v>13</v>
      </c>
      <c r="E14" s="44">
        <v>74.099999999999994</v>
      </c>
      <c r="F14" s="5">
        <v>11.5</v>
      </c>
      <c r="G14" s="3"/>
      <c r="H14" s="3"/>
      <c r="I14" s="3"/>
      <c r="J14" s="3"/>
      <c r="K14" s="3"/>
      <c r="L14" s="3"/>
      <c r="M14" s="3">
        <v>13</v>
      </c>
      <c r="N14" s="5">
        <v>-2.4</v>
      </c>
      <c r="O14" s="5">
        <v>3.1</v>
      </c>
      <c r="P14" s="5"/>
      <c r="Q14" s="3"/>
      <c r="R14" s="3"/>
      <c r="S14" s="3"/>
      <c r="U14" s="50"/>
      <c r="V14" s="14"/>
    </row>
    <row r="15" spans="1:22" x14ac:dyDescent="0.35">
      <c r="A15" s="7" t="s">
        <v>47</v>
      </c>
      <c r="B15" s="3" t="s">
        <v>24</v>
      </c>
      <c r="C15" s="3" t="s">
        <v>26</v>
      </c>
      <c r="D15" s="3">
        <v>16</v>
      </c>
      <c r="E15" s="5">
        <v>93</v>
      </c>
      <c r="F15" s="5">
        <f>G15*SQRT(D15)</f>
        <v>20</v>
      </c>
      <c r="G15" s="3">
        <v>5</v>
      </c>
      <c r="H15" s="3"/>
      <c r="I15" s="3"/>
      <c r="J15" s="3"/>
      <c r="K15" s="3"/>
      <c r="L15" s="3"/>
      <c r="M15" s="3">
        <v>16</v>
      </c>
      <c r="N15" s="5">
        <v>0</v>
      </c>
      <c r="O15" s="5">
        <f>P15/SQRT(1/16+1/25)</f>
        <v>0</v>
      </c>
      <c r="P15" s="5">
        <v>0</v>
      </c>
      <c r="Q15" s="3"/>
      <c r="R15" s="3"/>
      <c r="S15" s="3"/>
      <c r="U15" s="50"/>
      <c r="V15" s="14"/>
    </row>
    <row r="16" spans="1:22" x14ac:dyDescent="0.35">
      <c r="A16" s="7" t="s">
        <v>47</v>
      </c>
      <c r="B16" s="10" t="s">
        <v>0</v>
      </c>
      <c r="C16" s="3" t="s">
        <v>26</v>
      </c>
      <c r="D16" s="3">
        <v>25</v>
      </c>
      <c r="E16" s="5">
        <v>94</v>
      </c>
      <c r="F16" s="5">
        <f>G16*SQRT(D16)</f>
        <v>15</v>
      </c>
      <c r="G16" s="3">
        <v>3</v>
      </c>
      <c r="H16" s="3"/>
      <c r="I16" s="3"/>
      <c r="J16" s="3"/>
      <c r="K16" s="3"/>
      <c r="L16" s="3"/>
      <c r="M16" s="3">
        <v>25</v>
      </c>
      <c r="N16" s="5">
        <v>-3</v>
      </c>
      <c r="O16" s="5">
        <f>P16/SQRT(1/25+1/25)</f>
        <v>3.5355339059327378</v>
      </c>
      <c r="P16" s="5">
        <v>1</v>
      </c>
      <c r="Q16" s="3"/>
      <c r="R16" s="3"/>
      <c r="S16" s="3"/>
      <c r="U16" s="50"/>
      <c r="V16" s="14"/>
    </row>
    <row r="17" spans="1:22" s="14" customFormat="1" x14ac:dyDescent="0.35">
      <c r="A17" s="45" t="s">
        <v>66</v>
      </c>
      <c r="B17" s="10" t="s">
        <v>18</v>
      </c>
      <c r="C17" s="3" t="s">
        <v>21</v>
      </c>
      <c r="D17" s="66">
        <v>22</v>
      </c>
      <c r="E17" s="86">
        <v>78.599999999999994</v>
      </c>
      <c r="F17" s="57">
        <v>10</v>
      </c>
      <c r="G17" s="3"/>
      <c r="H17" s="3"/>
      <c r="I17" s="3"/>
      <c r="J17" s="3"/>
      <c r="K17" s="3"/>
      <c r="L17" s="3"/>
      <c r="M17" s="3">
        <v>22</v>
      </c>
      <c r="N17" s="5">
        <v>-4.4000000000000004</v>
      </c>
      <c r="O17" s="80">
        <f>Q17/SQRT(1/22+1/22)</f>
        <v>2.136490421294857</v>
      </c>
      <c r="P17" s="80"/>
      <c r="Q17" s="80">
        <f>(S17-R17)/T17</f>
        <v>0.64417609960212496</v>
      </c>
      <c r="R17" s="5">
        <v>3.8</v>
      </c>
      <c r="S17" s="5">
        <v>5.0999999999999996</v>
      </c>
      <c r="T17" s="80">
        <f>TINV(1-0.95,22+22-2)</f>
        <v>2.0180817028184439</v>
      </c>
      <c r="U17" s="50"/>
    </row>
    <row r="18" spans="1:22" s="14" customFormat="1" x14ac:dyDescent="0.35">
      <c r="A18" s="45" t="s">
        <v>66</v>
      </c>
      <c r="B18" s="10" t="s">
        <v>0</v>
      </c>
      <c r="C18" s="3" t="s">
        <v>21</v>
      </c>
      <c r="D18" s="66">
        <v>24</v>
      </c>
      <c r="E18" s="86">
        <v>81.2</v>
      </c>
      <c r="F18" s="57">
        <v>13</v>
      </c>
      <c r="G18" s="3"/>
      <c r="H18" s="3"/>
      <c r="I18" s="3"/>
      <c r="J18" s="3"/>
      <c r="K18" s="3"/>
      <c r="L18" s="3"/>
      <c r="M18" s="3">
        <v>24</v>
      </c>
      <c r="N18" s="5">
        <v>-4.9000000000000004</v>
      </c>
      <c r="O18" s="80">
        <f>Q18/SQRT(1/22+1/22)</f>
        <v>2.1419949597865853</v>
      </c>
      <c r="P18" s="10"/>
      <c r="Q18" s="80">
        <f>(S18-R18)/T18</f>
        <v>0.6458357804040461</v>
      </c>
      <c r="R18" s="5">
        <v>4.3</v>
      </c>
      <c r="S18" s="5">
        <v>5.6</v>
      </c>
      <c r="T18" s="80">
        <f>TINV(1-0.95,24+24-2)</f>
        <v>2.0128955989194299</v>
      </c>
      <c r="U18" s="50"/>
    </row>
    <row r="19" spans="1:22" s="88" customFormat="1" x14ac:dyDescent="0.35">
      <c r="A19" s="88" t="s">
        <v>60</v>
      </c>
      <c r="B19" s="10" t="s">
        <v>18</v>
      </c>
      <c r="C19" s="3" t="s">
        <v>21</v>
      </c>
      <c r="D19" s="88">
        <v>17</v>
      </c>
      <c r="E19" s="89">
        <v>97.5</v>
      </c>
      <c r="F19" s="89">
        <v>12.8</v>
      </c>
      <c r="M19" s="88">
        <v>14</v>
      </c>
      <c r="N19" s="89">
        <f>-(E19-85.7)</f>
        <v>-11.799999999999997</v>
      </c>
      <c r="O19" s="89">
        <f>P19/SQRT(1/17+1/14)</f>
        <v>9.4207732029773172</v>
      </c>
      <c r="P19" s="88">
        <v>3.4</v>
      </c>
    </row>
    <row r="20" spans="1:22" s="88" customFormat="1" x14ac:dyDescent="0.35">
      <c r="A20" s="88" t="s">
        <v>60</v>
      </c>
      <c r="B20" s="10" t="s">
        <v>0</v>
      </c>
      <c r="C20" s="3" t="s">
        <v>21</v>
      </c>
      <c r="D20" s="88">
        <v>18</v>
      </c>
      <c r="E20" s="89">
        <v>107.2</v>
      </c>
      <c r="F20" s="89">
        <v>13.6</v>
      </c>
      <c r="M20" s="88">
        <v>14</v>
      </c>
      <c r="N20" s="89">
        <f>-(E20-93.3)</f>
        <v>-13.900000000000006</v>
      </c>
      <c r="O20" s="89">
        <f>P20/SQRT(1/18+1/14)</f>
        <v>9.5412263362735512</v>
      </c>
      <c r="P20" s="88">
        <v>3.4</v>
      </c>
    </row>
    <row r="21" spans="1:22" s="88" customFormat="1" x14ac:dyDescent="0.35">
      <c r="A21" s="88" t="s">
        <v>61</v>
      </c>
      <c r="B21" s="11" t="s">
        <v>24</v>
      </c>
      <c r="C21" s="6" t="s">
        <v>21</v>
      </c>
      <c r="D21" s="88">
        <v>15</v>
      </c>
      <c r="E21" s="89">
        <v>77</v>
      </c>
      <c r="F21" s="89">
        <f>G21*SQRT(D21)</f>
        <v>11.618950038622252</v>
      </c>
      <c r="G21" s="88">
        <v>3</v>
      </c>
      <c r="M21" s="88">
        <v>15</v>
      </c>
      <c r="N21" s="89">
        <v>-0.6</v>
      </c>
      <c r="O21" s="89">
        <f>P21/SQRT(1/15+1/15)</f>
        <v>3.5601966237835803</v>
      </c>
      <c r="P21" s="88">
        <v>1.3</v>
      </c>
    </row>
    <row r="22" spans="1:22" s="88" customFormat="1" x14ac:dyDescent="0.35">
      <c r="A22" s="88" t="s">
        <v>61</v>
      </c>
      <c r="B22" s="11" t="s">
        <v>0</v>
      </c>
      <c r="C22" s="6" t="s">
        <v>21</v>
      </c>
      <c r="D22" s="88">
        <v>15</v>
      </c>
      <c r="E22" s="89">
        <v>77</v>
      </c>
      <c r="F22" s="89">
        <f>G22*SQRT(D22)</f>
        <v>11.618950038622252</v>
      </c>
      <c r="G22" s="88">
        <v>3</v>
      </c>
      <c r="M22" s="88">
        <v>15</v>
      </c>
      <c r="N22" s="89">
        <v>-5.2</v>
      </c>
      <c r="O22" s="89">
        <f>P22/SQRT(1/15+1/15)</f>
        <v>3.012474066278414</v>
      </c>
      <c r="P22" s="88">
        <v>1.1000000000000001</v>
      </c>
    </row>
    <row r="23" spans="1:22" s="88" customFormat="1" x14ac:dyDescent="0.35">
      <c r="A23" s="6" t="s">
        <v>63</v>
      </c>
      <c r="B23" s="10" t="s">
        <v>18</v>
      </c>
      <c r="C23" s="6" t="s">
        <v>21</v>
      </c>
      <c r="D23" s="88">
        <v>17</v>
      </c>
      <c r="E23" s="89">
        <v>91</v>
      </c>
      <c r="F23" s="89">
        <v>9.6999999999999993</v>
      </c>
      <c r="M23" s="88">
        <v>17</v>
      </c>
      <c r="N23" s="89">
        <v>-9.42</v>
      </c>
      <c r="O23" s="89">
        <v>6.95</v>
      </c>
    </row>
    <row r="24" spans="1:22" s="88" customFormat="1" x14ac:dyDescent="0.35">
      <c r="A24" s="6" t="s">
        <v>63</v>
      </c>
      <c r="B24" s="10" t="s">
        <v>0</v>
      </c>
      <c r="C24" s="6" t="s">
        <v>21</v>
      </c>
      <c r="D24" s="88">
        <v>18</v>
      </c>
      <c r="E24" s="89">
        <v>87.4</v>
      </c>
      <c r="F24" s="89">
        <v>11.5</v>
      </c>
      <c r="M24" s="88">
        <v>18</v>
      </c>
      <c r="N24" s="89">
        <v>-7.77</v>
      </c>
      <c r="O24" s="89">
        <v>4.5199999999999996</v>
      </c>
    </row>
    <row r="25" spans="1:22" s="95" customFormat="1" ht="53.25" customHeight="1" x14ac:dyDescent="0.35">
      <c r="A25" s="94" t="s">
        <v>48</v>
      </c>
      <c r="B25" s="10" t="s">
        <v>18</v>
      </c>
      <c r="C25" s="3" t="s">
        <v>19</v>
      </c>
      <c r="D25" s="95">
        <v>81</v>
      </c>
      <c r="E25" s="96">
        <v>99.6</v>
      </c>
      <c r="F25" s="5">
        <v>15.6</v>
      </c>
      <c r="G25" s="3"/>
      <c r="H25" s="3"/>
      <c r="I25" s="3"/>
      <c r="J25" s="3"/>
      <c r="K25" s="3"/>
      <c r="L25" s="3"/>
      <c r="M25" s="3">
        <v>68</v>
      </c>
      <c r="N25" s="5">
        <v>-11.2</v>
      </c>
      <c r="O25" s="5">
        <v>0.6</v>
      </c>
      <c r="P25" s="3"/>
      <c r="Q25" s="3"/>
      <c r="R25" s="3"/>
      <c r="S25" s="3"/>
      <c r="U25" s="97"/>
      <c r="V25" s="97"/>
    </row>
    <row r="26" spans="1:22" ht="53.25" customHeight="1" x14ac:dyDescent="0.35">
      <c r="A26" s="94" t="s">
        <v>48</v>
      </c>
      <c r="B26" s="10" t="s">
        <v>0</v>
      </c>
      <c r="C26" s="3" t="s">
        <v>20</v>
      </c>
      <c r="D26" s="2">
        <v>82</v>
      </c>
      <c r="E26" s="8">
        <v>100.6</v>
      </c>
      <c r="F26" s="5">
        <v>19.600000000000001</v>
      </c>
      <c r="G26" s="3"/>
      <c r="H26" s="3"/>
      <c r="I26" s="3"/>
      <c r="J26" s="3"/>
      <c r="K26" s="3"/>
      <c r="L26" s="3"/>
      <c r="M26" s="3">
        <v>67</v>
      </c>
      <c r="N26" s="5">
        <v>-10.7</v>
      </c>
      <c r="O26" s="5">
        <v>0.5</v>
      </c>
      <c r="P26" s="3"/>
      <c r="Q26" s="3"/>
      <c r="R26" s="3"/>
      <c r="S26" s="3"/>
      <c r="U26" s="50"/>
      <c r="V26" s="14"/>
    </row>
    <row r="27" spans="1:22" x14ac:dyDescent="0.35">
      <c r="A27" s="6" t="s">
        <v>49</v>
      </c>
      <c r="B27" s="10" t="s">
        <v>18</v>
      </c>
      <c r="C27" s="3" t="s">
        <v>25</v>
      </c>
      <c r="D27" s="3">
        <v>35</v>
      </c>
      <c r="E27" s="87">
        <v>101</v>
      </c>
      <c r="F27" s="9">
        <v>16</v>
      </c>
      <c r="G27" s="3"/>
      <c r="H27" s="3"/>
      <c r="I27" s="3"/>
      <c r="J27" s="3"/>
      <c r="K27" s="3"/>
      <c r="L27" s="3"/>
      <c r="M27" s="3">
        <v>25</v>
      </c>
      <c r="N27" s="85">
        <f>92*-5.3%</f>
        <v>-4.8759999999999994</v>
      </c>
      <c r="O27" s="9">
        <f>Q27/SQRT(1/35+1/25)</f>
        <v>2.7991915664067024</v>
      </c>
      <c r="P27" s="3"/>
      <c r="Q27" s="82">
        <f>(S27)-(R27)/T27</f>
        <v>0.73300041358518397</v>
      </c>
      <c r="R27" s="82">
        <f>92*-7.6%</f>
        <v>-6.992</v>
      </c>
      <c r="S27" s="82">
        <f>92*-3%</f>
        <v>-2.76</v>
      </c>
      <c r="T27" s="82">
        <f>TINV(1-0.95,35+25-2)</f>
        <v>2.0017174841452352</v>
      </c>
      <c r="U27" s="50"/>
      <c r="V27" s="14"/>
    </row>
    <row r="28" spans="1:22" x14ac:dyDescent="0.35">
      <c r="A28" s="6" t="s">
        <v>49</v>
      </c>
      <c r="B28" s="10" t="s">
        <v>0</v>
      </c>
      <c r="C28" s="3" t="s">
        <v>27</v>
      </c>
      <c r="D28" s="3">
        <v>34</v>
      </c>
      <c r="E28" s="87">
        <v>95</v>
      </c>
      <c r="F28" s="9">
        <v>13</v>
      </c>
      <c r="G28" s="3"/>
      <c r="H28" s="3"/>
      <c r="I28" s="3"/>
      <c r="J28" s="3"/>
      <c r="K28" s="3"/>
      <c r="L28" s="3"/>
      <c r="M28" s="3">
        <v>29</v>
      </c>
      <c r="N28" s="44">
        <f>92*-6%</f>
        <v>-5.52</v>
      </c>
      <c r="O28" s="9">
        <f>Q28/SQRT(1/34+1/29)</f>
        <v>2.3686646354702789</v>
      </c>
      <c r="P28" s="3"/>
      <c r="Q28" s="82">
        <f>(S28)-(R28)/T28</f>
        <v>0.5987360298612332</v>
      </c>
      <c r="R28" s="83">
        <f>92*-8.5%</f>
        <v>-7.82</v>
      </c>
      <c r="S28" s="82">
        <f>92*-3.6%</f>
        <v>-3.3120000000000003</v>
      </c>
      <c r="T28" s="82">
        <f>TINV(1-0.95,34+29-2)</f>
        <v>1.9996235849949404</v>
      </c>
      <c r="U28" s="50"/>
      <c r="V28" s="14"/>
    </row>
    <row r="29" spans="1:22" s="39" customFormat="1" ht="18.5" x14ac:dyDescent="0.45">
      <c r="A29" s="25" t="s">
        <v>1</v>
      </c>
      <c r="B29" s="63"/>
      <c r="C29" s="26"/>
      <c r="D29" s="26"/>
      <c r="E29" s="27"/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8"/>
      <c r="U29" s="74"/>
      <c r="V29" s="75"/>
    </row>
    <row r="30" spans="1:22" s="92" customFormat="1" x14ac:dyDescent="0.35">
      <c r="A30" s="92" t="s">
        <v>50</v>
      </c>
      <c r="B30" s="11" t="s">
        <v>18</v>
      </c>
      <c r="C30" s="92" t="s">
        <v>41</v>
      </c>
      <c r="D30" s="92">
        <v>8</v>
      </c>
      <c r="E30" s="93">
        <v>66.099999999999994</v>
      </c>
      <c r="F30" s="93">
        <v>11.2</v>
      </c>
      <c r="M30" s="92">
        <v>8</v>
      </c>
      <c r="N30" s="93">
        <f>63.9-E30</f>
        <v>-2.1999999999999957</v>
      </c>
      <c r="O30" s="93">
        <v>0.7</v>
      </c>
      <c r="Q30" s="9"/>
      <c r="T30" s="9"/>
    </row>
    <row r="31" spans="1:22" s="92" customFormat="1" x14ac:dyDescent="0.35">
      <c r="A31" s="92" t="s">
        <v>50</v>
      </c>
      <c r="B31" s="11" t="s">
        <v>31</v>
      </c>
      <c r="C31" s="92" t="s">
        <v>41</v>
      </c>
      <c r="D31" s="92">
        <v>8</v>
      </c>
      <c r="E31" s="93">
        <v>63.4</v>
      </c>
      <c r="F31" s="93">
        <v>14</v>
      </c>
      <c r="M31" s="92">
        <v>8</v>
      </c>
      <c r="N31" s="93">
        <f>60.9-E31</f>
        <v>-2.5</v>
      </c>
      <c r="O31" s="93">
        <v>1</v>
      </c>
      <c r="Q31" s="9"/>
      <c r="T31" s="9"/>
    </row>
    <row r="32" spans="1:22" x14ac:dyDescent="0.35">
      <c r="A32" s="19" t="s">
        <v>51</v>
      </c>
      <c r="B32" s="11" t="s">
        <v>18</v>
      </c>
      <c r="C32" s="6" t="s">
        <v>33</v>
      </c>
      <c r="D32" s="6">
        <v>22</v>
      </c>
      <c r="E32" s="9">
        <v>89.2</v>
      </c>
      <c r="F32" s="9">
        <f>SQRT(D32)*(J32-I32)/L32</f>
        <v>20.41160801752623</v>
      </c>
      <c r="G32" s="6"/>
      <c r="H32" s="6"/>
      <c r="I32" s="6">
        <v>80.099999999999994</v>
      </c>
      <c r="J32" s="6">
        <v>98.2</v>
      </c>
      <c r="K32" s="9">
        <f>TINV(1-0.95,22-1)</f>
        <v>2.07961384472768</v>
      </c>
      <c r="L32" s="9">
        <f>K32*2</f>
        <v>4.1592276894553599</v>
      </c>
      <c r="M32" s="6">
        <v>22</v>
      </c>
      <c r="N32" s="9">
        <v>-3</v>
      </c>
      <c r="O32" s="9">
        <f>Q32/SQRT(1/22+1/22)</f>
        <v>2.3008358383175476</v>
      </c>
      <c r="P32" s="6"/>
      <c r="Q32" s="9">
        <f>(S32-R32)/T32</f>
        <v>0.69372810726382972</v>
      </c>
      <c r="R32" s="6">
        <v>85.5</v>
      </c>
      <c r="S32" s="6">
        <v>86.9</v>
      </c>
      <c r="T32" s="9">
        <f>TINV(1-0.95,22+22-2)</f>
        <v>2.0180817028184439</v>
      </c>
      <c r="U32" s="76"/>
      <c r="V32" s="14"/>
    </row>
    <row r="33" spans="1:22" x14ac:dyDescent="0.35">
      <c r="A33" s="19" t="s">
        <v>51</v>
      </c>
      <c r="B33" s="11" t="s">
        <v>34</v>
      </c>
      <c r="C33" s="6" t="s">
        <v>33</v>
      </c>
      <c r="D33" s="6">
        <v>21</v>
      </c>
      <c r="E33" s="9">
        <v>87.7</v>
      </c>
      <c r="F33" s="9">
        <f>SQRT(D33)*(J33-I33)/L33</f>
        <v>16.476471702904334</v>
      </c>
      <c r="G33" s="6"/>
      <c r="H33" s="6"/>
      <c r="I33" s="6">
        <v>80.2</v>
      </c>
      <c r="J33" s="6">
        <v>95.2</v>
      </c>
      <c r="K33" s="9">
        <f>TINV(1-0.95,21-1)</f>
        <v>2.0859634472658648</v>
      </c>
      <c r="L33" s="9">
        <f>K33*2</f>
        <v>4.1719268945317296</v>
      </c>
      <c r="M33" s="6">
        <v>21</v>
      </c>
      <c r="N33" s="9">
        <v>-1.8</v>
      </c>
      <c r="O33" s="9">
        <f>Q33/SQRT(1/21+1/21)</f>
        <v>2.2446062678532814</v>
      </c>
      <c r="P33" s="6"/>
      <c r="Q33" s="9">
        <f>(S33-R33)/T33</f>
        <v>0.69270053295133982</v>
      </c>
      <c r="R33" s="6">
        <v>85.2</v>
      </c>
      <c r="S33" s="6">
        <v>86.6</v>
      </c>
      <c r="T33" s="9">
        <f>TINV(1-0.95,21+21-2)</f>
        <v>2.0210753903062715</v>
      </c>
      <c r="U33" s="50"/>
      <c r="V33" s="14"/>
    </row>
    <row r="34" spans="1:22" x14ac:dyDescent="0.35">
      <c r="A34" s="7" t="s">
        <v>52</v>
      </c>
      <c r="B34" s="11" t="s">
        <v>29</v>
      </c>
      <c r="C34" s="6" t="s">
        <v>30</v>
      </c>
      <c r="D34" s="2">
        <v>12</v>
      </c>
      <c r="E34" s="44">
        <v>79.400000000000006</v>
      </c>
      <c r="F34" s="44">
        <v>8.9</v>
      </c>
      <c r="G34" s="23"/>
      <c r="M34" s="2">
        <v>12</v>
      </c>
      <c r="N34" s="8">
        <v>-0.4</v>
      </c>
      <c r="O34" s="8">
        <v>1.4</v>
      </c>
      <c r="U34" s="50"/>
      <c r="V34" s="14"/>
    </row>
    <row r="35" spans="1:22" x14ac:dyDescent="0.35">
      <c r="A35" s="7" t="s">
        <v>52</v>
      </c>
      <c r="B35" s="11" t="s">
        <v>31</v>
      </c>
      <c r="C35" s="6" t="s">
        <v>30</v>
      </c>
      <c r="D35" s="2">
        <v>10</v>
      </c>
      <c r="E35" s="44">
        <v>76.3</v>
      </c>
      <c r="F35" s="44">
        <v>9.8000000000000007</v>
      </c>
      <c r="K35" s="2" t="s">
        <v>32</v>
      </c>
      <c r="M35" s="11">
        <v>10</v>
      </c>
      <c r="N35" s="98">
        <f>-1.3</f>
        <v>-1.3</v>
      </c>
      <c r="O35" s="98">
        <v>1.8</v>
      </c>
      <c r="P35" s="11"/>
      <c r="Q35" s="11"/>
      <c r="R35" s="11"/>
      <c r="S35" s="11"/>
      <c r="T35" s="11"/>
      <c r="U35" s="50"/>
      <c r="V35" s="14"/>
    </row>
    <row r="36" spans="1:22" s="53" customFormat="1" x14ac:dyDescent="0.35">
      <c r="A36" s="59" t="s">
        <v>53</v>
      </c>
      <c r="B36" s="67" t="s">
        <v>18</v>
      </c>
      <c r="C36" s="15" t="s">
        <v>28</v>
      </c>
      <c r="D36" s="15">
        <v>12</v>
      </c>
      <c r="E36" s="20">
        <v>89.3</v>
      </c>
      <c r="F36" s="20">
        <f>G36*SQRT(D36)</f>
        <v>15.588457268119894</v>
      </c>
      <c r="G36" s="15">
        <v>4.5</v>
      </c>
      <c r="H36" s="30"/>
      <c r="I36" s="15"/>
      <c r="J36" s="15"/>
      <c r="K36" s="15"/>
      <c r="L36" s="15"/>
      <c r="M36" s="51">
        <v>12</v>
      </c>
      <c r="N36" s="79">
        <f>E36*-5%</f>
        <v>-4.4649999999999999</v>
      </c>
      <c r="O36" s="79">
        <f>P36/SQRT(1/D36+1/M36)</f>
        <v>0.65621830209161336</v>
      </c>
      <c r="P36" s="79">
        <f>Q36*E36</f>
        <v>0.26789999999999997</v>
      </c>
      <c r="Q36" s="99">
        <v>3.0000000000000001E-3</v>
      </c>
      <c r="R36" s="51"/>
      <c r="S36" s="51"/>
      <c r="T36" s="100"/>
    </row>
    <row r="37" spans="1:22" s="14" customFormat="1" x14ac:dyDescent="0.35">
      <c r="A37" s="59" t="s">
        <v>53</v>
      </c>
      <c r="B37" s="51" t="s">
        <v>1</v>
      </c>
      <c r="C37" s="15" t="s">
        <v>28</v>
      </c>
      <c r="D37" s="14">
        <v>15</v>
      </c>
      <c r="E37" s="90">
        <v>88.8</v>
      </c>
      <c r="F37" s="20">
        <f>G37*SQRT(D37)</f>
        <v>13.168143377105217</v>
      </c>
      <c r="G37" s="45">
        <v>3.4</v>
      </c>
      <c r="H37" s="22"/>
      <c r="M37" s="51">
        <v>15</v>
      </c>
      <c r="N37" s="79">
        <f>E37*-5.3%</f>
        <v>-4.7063999999999995</v>
      </c>
      <c r="O37" s="79">
        <f>P37/SQRT(1/D37+1/M37)</f>
        <v>0.72956644659688119</v>
      </c>
      <c r="P37" s="79">
        <f>Q37*E37</f>
        <v>0.26639999999999997</v>
      </c>
      <c r="Q37" s="99">
        <v>3.0000000000000001E-3</v>
      </c>
      <c r="R37" s="51"/>
      <c r="S37" s="51"/>
      <c r="T37" s="51"/>
      <c r="U37" s="50"/>
    </row>
    <row r="38" spans="1:22" s="52" customFormat="1" ht="13.5" customHeight="1" x14ac:dyDescent="0.35">
      <c r="A38" s="70" t="s">
        <v>64</v>
      </c>
      <c r="B38" s="10" t="s">
        <v>18</v>
      </c>
      <c r="C38" s="4" t="s">
        <v>22</v>
      </c>
      <c r="D38" s="3">
        <v>53</v>
      </c>
      <c r="E38" s="5">
        <v>88.2</v>
      </c>
      <c r="F38" s="5">
        <v>13.7</v>
      </c>
      <c r="G38" s="12"/>
      <c r="H38" s="12"/>
      <c r="I38" s="12"/>
      <c r="J38" s="12"/>
      <c r="K38" s="12"/>
      <c r="L38" s="12"/>
      <c r="M38" s="10">
        <v>53</v>
      </c>
      <c r="N38" s="78">
        <v>-6.2</v>
      </c>
      <c r="O38" s="82">
        <v>3.2</v>
      </c>
      <c r="P38" s="10"/>
      <c r="Q38" s="82"/>
      <c r="R38" s="10"/>
      <c r="S38" s="10"/>
      <c r="T38" s="82"/>
      <c r="U38" s="67"/>
    </row>
    <row r="39" spans="1:22" s="52" customFormat="1" x14ac:dyDescent="0.35">
      <c r="A39" s="70" t="s">
        <v>64</v>
      </c>
      <c r="B39" s="10" t="s">
        <v>1</v>
      </c>
      <c r="C39" s="4" t="s">
        <v>37</v>
      </c>
      <c r="D39" s="3">
        <v>49</v>
      </c>
      <c r="E39" s="5">
        <v>88.8</v>
      </c>
      <c r="F39" s="5">
        <v>14.9</v>
      </c>
      <c r="G39" s="12"/>
      <c r="H39" s="12"/>
      <c r="I39" s="12"/>
      <c r="J39" s="12"/>
      <c r="K39" s="12"/>
      <c r="L39" s="12"/>
      <c r="M39" s="10">
        <v>49</v>
      </c>
      <c r="N39" s="78">
        <v>-5.0999999999999996</v>
      </c>
      <c r="O39" s="82">
        <v>2.7</v>
      </c>
      <c r="P39" s="10"/>
      <c r="Q39" s="82"/>
      <c r="R39" s="10"/>
      <c r="S39" s="10"/>
      <c r="T39" s="82"/>
      <c r="U39" s="64"/>
    </row>
    <row r="40" spans="1:22" x14ac:dyDescent="0.35">
      <c r="A40" s="47" t="s">
        <v>54</v>
      </c>
      <c r="B40" s="47" t="s">
        <v>18</v>
      </c>
      <c r="C40" s="6" t="s">
        <v>26</v>
      </c>
      <c r="D40" s="3">
        <v>49</v>
      </c>
      <c r="E40" s="44">
        <v>92.5</v>
      </c>
      <c r="F40" s="5">
        <v>15.7</v>
      </c>
      <c r="G40" s="3"/>
      <c r="H40" s="3"/>
      <c r="I40" s="3"/>
      <c r="J40" s="3"/>
      <c r="K40" s="3"/>
      <c r="L40" s="3"/>
      <c r="M40" s="10">
        <v>49</v>
      </c>
      <c r="N40" s="84">
        <f>E40*-5.2%</f>
        <v>-4.8100000000000005</v>
      </c>
      <c r="O40" s="79">
        <f>P40/SQRT(1/D40+1/M40)</f>
        <v>2.7471098449097378</v>
      </c>
      <c r="P40" s="78">
        <f>Q40*E40</f>
        <v>0.55500000000000005</v>
      </c>
      <c r="Q40" s="101">
        <v>6.0000000000000001E-3</v>
      </c>
      <c r="R40" s="10"/>
      <c r="S40" s="10"/>
      <c r="T40" s="11"/>
      <c r="U40" s="50"/>
      <c r="V40" s="14"/>
    </row>
    <row r="41" spans="1:22" x14ac:dyDescent="0.35">
      <c r="A41" s="47" t="s">
        <v>54</v>
      </c>
      <c r="B41" s="11" t="s">
        <v>1</v>
      </c>
      <c r="C41" s="6" t="s">
        <v>26</v>
      </c>
      <c r="D41" s="3">
        <v>49</v>
      </c>
      <c r="E41" s="44">
        <v>96.4</v>
      </c>
      <c r="F41" s="5">
        <v>15.8</v>
      </c>
      <c r="G41" s="3"/>
      <c r="H41" s="3"/>
      <c r="I41" s="3"/>
      <c r="J41" s="3"/>
      <c r="K41" s="3"/>
      <c r="L41" s="3"/>
      <c r="M41" s="3">
        <v>49</v>
      </c>
      <c r="N41" s="44">
        <f>E41*-7.1%</f>
        <v>-6.8443999999999994</v>
      </c>
      <c r="O41" s="57">
        <f>P41/SQRT(1/D41+1/M41)</f>
        <v>3.3400895916127764</v>
      </c>
      <c r="P41" s="5">
        <f>Q41*E41</f>
        <v>0.67480000000000007</v>
      </c>
      <c r="Q41" s="55">
        <v>7.0000000000000001E-3</v>
      </c>
      <c r="R41" s="3"/>
      <c r="S41" s="3"/>
      <c r="U41" s="50"/>
      <c r="V41" s="14"/>
    </row>
    <row r="42" spans="1:22" x14ac:dyDescent="0.35">
      <c r="A42" s="47" t="s">
        <v>54</v>
      </c>
      <c r="B42" s="11" t="s">
        <v>24</v>
      </c>
      <c r="C42" s="6" t="s">
        <v>26</v>
      </c>
      <c r="D42" s="3">
        <v>52</v>
      </c>
      <c r="E42" s="44">
        <v>93.3</v>
      </c>
      <c r="F42" s="5">
        <v>13.3</v>
      </c>
      <c r="G42" s="3"/>
      <c r="H42" s="3"/>
      <c r="I42" s="3"/>
      <c r="J42" s="3"/>
      <c r="K42" s="3"/>
      <c r="L42" s="3"/>
      <c r="M42" s="3">
        <v>52</v>
      </c>
      <c r="N42" s="44">
        <f>E42*-3.3%</f>
        <v>-3.0789</v>
      </c>
      <c r="O42" s="57">
        <f>P42/SQRT(1/D42+1/M42)</f>
        <v>2.8544311237092406</v>
      </c>
      <c r="P42" s="5">
        <f>Q42*E42</f>
        <v>0.55979999999999996</v>
      </c>
      <c r="Q42" s="73">
        <v>6.0000000000000001E-3</v>
      </c>
      <c r="R42" s="3"/>
      <c r="S42" s="3"/>
      <c r="U42" s="50"/>
      <c r="V42" s="14"/>
    </row>
    <row r="43" spans="1:22" x14ac:dyDescent="0.35">
      <c r="A43" s="19" t="s">
        <v>55</v>
      </c>
      <c r="B43" s="11" t="s">
        <v>18</v>
      </c>
      <c r="C43" s="6" t="s">
        <v>27</v>
      </c>
      <c r="D43" s="6">
        <v>12</v>
      </c>
      <c r="E43" s="56">
        <v>107.3</v>
      </c>
      <c r="F43" s="9">
        <v>17.100000000000001</v>
      </c>
      <c r="G43" s="6"/>
      <c r="H43" s="6"/>
      <c r="I43" s="6"/>
      <c r="J43" s="6"/>
      <c r="K43" s="6"/>
      <c r="L43" s="6"/>
      <c r="M43" s="6">
        <v>12</v>
      </c>
      <c r="N43" s="9">
        <v>-5.5</v>
      </c>
      <c r="O43" s="9">
        <v>4.3</v>
      </c>
      <c r="P43" s="6"/>
      <c r="Q43" s="9"/>
      <c r="R43" s="6"/>
      <c r="S43" s="6"/>
      <c r="T43" s="9"/>
      <c r="U43" s="50"/>
      <c r="V43" s="14"/>
    </row>
    <row r="44" spans="1:22" x14ac:dyDescent="0.35">
      <c r="A44" s="19" t="s">
        <v>55</v>
      </c>
      <c r="B44" s="11" t="s">
        <v>31</v>
      </c>
      <c r="C44" s="6" t="s">
        <v>27</v>
      </c>
      <c r="D44" s="6">
        <v>11</v>
      </c>
      <c r="E44" s="9">
        <v>99.1</v>
      </c>
      <c r="F44" s="9">
        <v>7.9</v>
      </c>
      <c r="G44" s="6"/>
      <c r="H44" s="6"/>
      <c r="I44" s="6"/>
      <c r="J44" s="6"/>
      <c r="K44" s="6"/>
      <c r="L44" s="6"/>
      <c r="M44" s="6">
        <v>11</v>
      </c>
      <c r="N44" s="56">
        <v>-5.3</v>
      </c>
      <c r="O44" s="56">
        <v>3</v>
      </c>
      <c r="P44" s="6"/>
      <c r="Q44" s="9"/>
      <c r="R44" s="6"/>
      <c r="S44" s="6"/>
      <c r="T44" s="9"/>
      <c r="U44" s="50"/>
      <c r="V44" s="14"/>
    </row>
    <row r="45" spans="1:22" x14ac:dyDescent="0.35">
      <c r="A45" s="19" t="s">
        <v>65</v>
      </c>
      <c r="B45" s="11" t="s">
        <v>18</v>
      </c>
      <c r="C45" s="6" t="s">
        <v>27</v>
      </c>
      <c r="D45" s="6">
        <v>54</v>
      </c>
      <c r="E45" s="9">
        <v>84.4</v>
      </c>
      <c r="F45" s="9">
        <f>SQRT(D45)*(J45-I45)/L45</f>
        <v>17.219431300805986</v>
      </c>
      <c r="G45" s="6"/>
      <c r="H45" s="6"/>
      <c r="I45" s="6">
        <v>79.7</v>
      </c>
      <c r="J45" s="6">
        <v>89.1</v>
      </c>
      <c r="K45" s="9">
        <f>TINV(1-0.95,54-1)</f>
        <v>2.0057459953178696</v>
      </c>
      <c r="L45" s="9">
        <f>K45*2</f>
        <v>4.0114919906357391</v>
      </c>
      <c r="M45" s="6">
        <v>47</v>
      </c>
      <c r="N45" s="56">
        <v>-4.5</v>
      </c>
      <c r="O45" s="56">
        <f>Q32/SQRT(1/54+1/47)</f>
        <v>3.4775582464722716</v>
      </c>
      <c r="P45" s="6"/>
      <c r="Q45" s="9">
        <f>(S45-R45)/T45</f>
        <v>5.3371295645761379</v>
      </c>
      <c r="R45" s="6">
        <v>74.599999999999994</v>
      </c>
      <c r="S45" s="6">
        <v>85.2</v>
      </c>
      <c r="T45" s="9">
        <f>TINV(1-0.95,47+47-2)</f>
        <v>1.9860863169511298</v>
      </c>
      <c r="U45" s="50"/>
      <c r="V45" s="14"/>
    </row>
    <row r="46" spans="1:22" x14ac:dyDescent="0.35">
      <c r="A46" s="19" t="s">
        <v>65</v>
      </c>
      <c r="B46" s="11" t="s">
        <v>31</v>
      </c>
      <c r="C46" s="6" t="s">
        <v>27</v>
      </c>
      <c r="D46" s="6">
        <v>53</v>
      </c>
      <c r="E46" s="9">
        <v>81.5</v>
      </c>
      <c r="F46" s="9">
        <f>SQRT(D46)*(J46-I46)/L46</f>
        <v>14.33059070989529</v>
      </c>
      <c r="G46" s="6"/>
      <c r="H46" s="6"/>
      <c r="I46" s="6">
        <v>77.5</v>
      </c>
      <c r="J46" s="6">
        <v>85.4</v>
      </c>
      <c r="K46" s="9">
        <f>TINV(1-0.95,53-1)</f>
        <v>2.0066468050616861</v>
      </c>
      <c r="L46" s="9">
        <f>K46*2</f>
        <v>4.0132936101233723</v>
      </c>
      <c r="M46" s="6">
        <v>42</v>
      </c>
      <c r="N46" s="56">
        <v>-5.7</v>
      </c>
      <c r="O46" s="56">
        <f>Q33/SQRT(1/53+1/42)</f>
        <v>3.3530984054963135</v>
      </c>
      <c r="P46" s="6"/>
      <c r="Q46" s="9">
        <f>(S46-R46)/T46</f>
        <v>4.4236253507164465</v>
      </c>
      <c r="R46" s="6">
        <v>71.400000000000006</v>
      </c>
      <c r="S46" s="6">
        <v>80.2</v>
      </c>
      <c r="T46" s="9">
        <f>TINV(1-0.95,42+42-2)</f>
        <v>1.9893185571365706</v>
      </c>
      <c r="U46" s="50"/>
      <c r="V46" s="14"/>
    </row>
    <row r="47" spans="1:22" s="28" customFormat="1" x14ac:dyDescent="0.35">
      <c r="A47" s="48" t="s">
        <v>2</v>
      </c>
      <c r="B47" s="65"/>
      <c r="U47" s="50"/>
      <c r="V47" s="14"/>
    </row>
    <row r="48" spans="1:22" x14ac:dyDescent="0.35">
      <c r="A48" s="58" t="s">
        <v>56</v>
      </c>
      <c r="B48" s="47" t="s">
        <v>36</v>
      </c>
      <c r="C48" s="14" t="s">
        <v>37</v>
      </c>
      <c r="D48" s="14">
        <v>14</v>
      </c>
      <c r="E48" s="21">
        <v>93</v>
      </c>
      <c r="F48" s="60">
        <f>G48*SQRT(D48)</f>
        <v>18.708286933869708</v>
      </c>
      <c r="G48" s="14">
        <v>5</v>
      </c>
      <c r="H48" s="14"/>
      <c r="I48" s="14"/>
      <c r="M48" s="2">
        <v>14</v>
      </c>
      <c r="N48" s="8">
        <f>E48*-0.1%</f>
        <v>-9.2999999999999999E-2</v>
      </c>
      <c r="O48" s="16">
        <f>Q48/SQRT(1/D48+1/M48)</f>
        <v>0.98421948771602774</v>
      </c>
      <c r="P48" s="18">
        <v>4.0000000000000001E-3</v>
      </c>
      <c r="Q48" s="8">
        <f>P48*E48</f>
        <v>0.372</v>
      </c>
      <c r="U48" s="50"/>
      <c r="V48" s="14"/>
    </row>
    <row r="49" spans="1:22" x14ac:dyDescent="0.35">
      <c r="A49" s="58" t="s">
        <v>56</v>
      </c>
      <c r="B49" s="11" t="s">
        <v>2</v>
      </c>
      <c r="C49" s="2" t="s">
        <v>37</v>
      </c>
      <c r="D49" s="2">
        <v>19</v>
      </c>
      <c r="E49" s="8">
        <v>99</v>
      </c>
      <c r="F49" s="60">
        <f>G49*SQRT(D49)</f>
        <v>21.794494717703369</v>
      </c>
      <c r="G49" s="2">
        <v>5</v>
      </c>
      <c r="M49" s="2">
        <v>19</v>
      </c>
      <c r="N49" s="8">
        <f>E49*-3.2%</f>
        <v>-3.1680000000000001</v>
      </c>
      <c r="O49" s="16">
        <f>Q49/SQRT(1/D49+1/M49)</f>
        <v>1.2205539725878574</v>
      </c>
      <c r="P49" s="18">
        <v>4.0000000000000001E-3</v>
      </c>
      <c r="Q49" s="8">
        <f>P49*E49</f>
        <v>0.39600000000000002</v>
      </c>
      <c r="U49" s="50"/>
      <c r="V49" s="14"/>
    </row>
    <row r="50" spans="1:22" x14ac:dyDescent="0.35">
      <c r="A50" s="2" t="s">
        <v>57</v>
      </c>
      <c r="B50" s="47" t="s">
        <v>18</v>
      </c>
      <c r="C50" s="14" t="s">
        <v>37</v>
      </c>
      <c r="D50" s="2">
        <v>30</v>
      </c>
      <c r="E50" s="8">
        <v>121.3</v>
      </c>
      <c r="F50" s="8">
        <v>19.100000000000001</v>
      </c>
      <c r="M50" s="2">
        <v>30</v>
      </c>
      <c r="N50" s="8">
        <v>-8.9</v>
      </c>
      <c r="O50" s="8">
        <v>4.2</v>
      </c>
      <c r="U50" s="50"/>
      <c r="V50" s="14"/>
    </row>
    <row r="51" spans="1:22" x14ac:dyDescent="0.35">
      <c r="A51" s="2" t="s">
        <v>57</v>
      </c>
      <c r="B51" s="11" t="s">
        <v>2</v>
      </c>
      <c r="C51" s="2" t="s">
        <v>37</v>
      </c>
      <c r="D51" s="2">
        <v>30</v>
      </c>
      <c r="E51" s="8">
        <v>124.4</v>
      </c>
      <c r="F51" s="8">
        <v>20.5</v>
      </c>
      <c r="M51" s="2">
        <v>30</v>
      </c>
      <c r="N51" s="8">
        <v>-10.7</v>
      </c>
      <c r="O51" s="16">
        <v>4.0999999999999996</v>
      </c>
    </row>
    <row r="52" spans="1:22" x14ac:dyDescent="0.35">
      <c r="A52" s="47" t="s">
        <v>58</v>
      </c>
      <c r="B52" s="11" t="s">
        <v>35</v>
      </c>
      <c r="C52" s="15" t="s">
        <v>26</v>
      </c>
      <c r="D52" s="14">
        <v>57</v>
      </c>
      <c r="E52" s="44">
        <v>99.1</v>
      </c>
      <c r="F52" s="21">
        <v>15.1</v>
      </c>
      <c r="G52" s="14"/>
      <c r="H52" s="14"/>
      <c r="I52" s="14"/>
      <c r="J52" s="14"/>
      <c r="K52" s="14"/>
      <c r="L52" s="14"/>
      <c r="M52" s="14">
        <v>57</v>
      </c>
      <c r="N52" s="91">
        <v>-0.68</v>
      </c>
      <c r="O52" s="8">
        <f>Q52/SQRT(1/57+1/57)</f>
        <v>3.9337730886564835</v>
      </c>
      <c r="Q52" s="8">
        <f>(S52-R52)/T52</f>
        <v>0.73686321216351192</v>
      </c>
      <c r="R52" s="13">
        <v>-1.41</v>
      </c>
      <c r="S52" s="13">
        <v>0.05</v>
      </c>
      <c r="T52" s="77">
        <f>TINV(1-0.95,57+57-2)</f>
        <v>1.9813718148763031</v>
      </c>
      <c r="U52" s="50"/>
      <c r="V52" s="14"/>
    </row>
    <row r="53" spans="1:22" x14ac:dyDescent="0.35">
      <c r="A53" s="47" t="s">
        <v>58</v>
      </c>
      <c r="B53" s="11" t="s">
        <v>2</v>
      </c>
      <c r="C53" s="15" t="s">
        <v>26</v>
      </c>
      <c r="D53" s="14">
        <v>59</v>
      </c>
      <c r="E53" s="44">
        <v>99.3</v>
      </c>
      <c r="F53" s="21">
        <v>16.899999999999999</v>
      </c>
      <c r="G53" s="14"/>
      <c r="H53" s="14"/>
      <c r="I53" s="51"/>
      <c r="J53" s="14"/>
      <c r="K53" s="14"/>
      <c r="L53" s="14"/>
      <c r="M53" s="14">
        <v>59</v>
      </c>
      <c r="N53" s="91">
        <v>-0.94</v>
      </c>
      <c r="O53" s="8">
        <f>Q53/SQRT(1/59+1/59)</f>
        <v>4.0585438914302019</v>
      </c>
      <c r="Q53" s="8">
        <f>(S53-R53)/T53</f>
        <v>0.74723849841538648</v>
      </c>
      <c r="R53" s="13">
        <v>-1.68</v>
      </c>
      <c r="S53" s="24">
        <v>-0.2</v>
      </c>
      <c r="T53" s="77">
        <f>TINV(1-0.95,59+59-2)</f>
        <v>1.98062600245909</v>
      </c>
      <c r="U53" s="50"/>
      <c r="V53" s="14"/>
    </row>
    <row r="54" spans="1:22" x14ac:dyDescent="0.35">
      <c r="A54" s="47" t="s">
        <v>59</v>
      </c>
      <c r="B54" s="47" t="s">
        <v>35</v>
      </c>
      <c r="C54" s="7" t="s">
        <v>26</v>
      </c>
      <c r="D54" s="7">
        <v>9</v>
      </c>
      <c r="E54" s="16">
        <v>100.9</v>
      </c>
      <c r="F54" s="16">
        <v>28.1</v>
      </c>
      <c r="G54" s="7"/>
      <c r="H54" s="7"/>
      <c r="I54" s="7"/>
      <c r="J54" s="7"/>
      <c r="K54" s="7"/>
      <c r="L54" s="7"/>
      <c r="M54" s="7">
        <v>9</v>
      </c>
      <c r="N54" s="16">
        <v>-0.8</v>
      </c>
      <c r="O54" s="16">
        <v>1.75</v>
      </c>
      <c r="P54" s="7"/>
      <c r="Q54" s="16"/>
      <c r="R54" s="6"/>
      <c r="S54" s="6"/>
      <c r="T54" s="9"/>
      <c r="U54" s="50"/>
      <c r="V54" s="14"/>
    </row>
    <row r="55" spans="1:22" x14ac:dyDescent="0.35">
      <c r="A55" s="47" t="s">
        <v>59</v>
      </c>
      <c r="B55" s="11" t="s">
        <v>2</v>
      </c>
      <c r="C55" s="7" t="s">
        <v>21</v>
      </c>
      <c r="D55" s="7">
        <v>11</v>
      </c>
      <c r="E55" s="16">
        <v>95.2</v>
      </c>
      <c r="F55" s="16">
        <v>22.6</v>
      </c>
      <c r="G55" s="7"/>
      <c r="H55" s="7"/>
      <c r="I55" s="7"/>
      <c r="J55" s="7"/>
      <c r="K55" s="7"/>
      <c r="L55" s="7"/>
      <c r="M55" s="7">
        <v>11</v>
      </c>
      <c r="N55" s="16">
        <v>-3.03</v>
      </c>
      <c r="O55" s="16">
        <v>1.9</v>
      </c>
      <c r="P55" s="7"/>
      <c r="Q55" s="16"/>
      <c r="R55" s="6"/>
      <c r="S55" s="6"/>
      <c r="T55" s="9"/>
      <c r="U55" s="50"/>
      <c r="V55" s="14"/>
    </row>
    <row r="56" spans="1:22" x14ac:dyDescent="0.35">
      <c r="A56" s="47"/>
      <c r="B56" s="47"/>
      <c r="C56" s="7"/>
      <c r="D56" s="7"/>
      <c r="E56" s="16"/>
      <c r="F56" s="16"/>
      <c r="G56" s="7"/>
      <c r="H56" s="7"/>
      <c r="I56" s="7"/>
      <c r="J56" s="7"/>
      <c r="K56" s="7"/>
      <c r="L56" s="7"/>
      <c r="M56" s="7"/>
      <c r="N56" s="16"/>
      <c r="O56" s="16"/>
      <c r="P56" s="7"/>
      <c r="Q56" s="16"/>
      <c r="R56" s="6"/>
      <c r="S56" s="6"/>
      <c r="T56" s="9"/>
      <c r="U56" s="50"/>
      <c r="V56" s="14"/>
    </row>
    <row r="57" spans="1:22" x14ac:dyDescent="0.35">
      <c r="A57" s="47"/>
      <c r="B57" s="11"/>
      <c r="C57" s="7"/>
      <c r="D57" s="7"/>
      <c r="E57" s="16"/>
      <c r="F57" s="16"/>
      <c r="G57" s="7"/>
      <c r="H57" s="7"/>
      <c r="I57" s="7"/>
      <c r="J57" s="7"/>
      <c r="K57" s="7"/>
      <c r="L57" s="7"/>
      <c r="M57" s="7"/>
      <c r="N57" s="16"/>
      <c r="O57" s="16"/>
      <c r="P57" s="7"/>
      <c r="Q57" s="16"/>
      <c r="R57" s="6"/>
      <c r="S57" s="6"/>
      <c r="T57" s="9"/>
      <c r="U57" s="50"/>
      <c r="V57" s="14"/>
    </row>
  </sheetData>
  <mergeCells count="2">
    <mergeCell ref="D1:H1"/>
    <mergeCell ref="M1:S1"/>
  </mergeCells>
  <phoneticPr fontId="2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6C76095DD4F4597821F16DC2ACA6F" ma:contentTypeVersion="6" ma:contentTypeDescription="Create a new document." ma:contentTypeScope="" ma:versionID="fb8e820529d638f72ef5e33375a81f89">
  <xsd:schema xmlns:xsd="http://www.w3.org/2001/XMLSchema" xmlns:xs="http://www.w3.org/2001/XMLSchema" xmlns:p="http://schemas.microsoft.com/office/2006/metadata/properties" xmlns:ns2="61b118b2-bd8c-44d1-93c4-e24afbb31d30" xmlns:ns3="08981eab-6c80-42b3-8f9c-a2acdebe09ac" targetNamespace="http://schemas.microsoft.com/office/2006/metadata/properties" ma:root="true" ma:fieldsID="bc6968a7067ef24cc3db66f32b5d2a27" ns2:_="" ns3:_="">
    <xsd:import namespace="61b118b2-bd8c-44d1-93c4-e24afbb31d30"/>
    <xsd:import namespace="08981eab-6c80-42b3-8f9c-a2acdebe0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118b2-bd8c-44d1-93c4-e24afbb31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81eab-6c80-42b3-8f9c-a2acdebe09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8F03FE-284A-4DEA-8C27-1E8B46917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b118b2-bd8c-44d1-93c4-e24afbb31d30"/>
    <ds:schemaRef ds:uri="08981eab-6c80-42b3-8f9c-a2acdebe0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E660AF-23EA-4D85-AAE6-A0302F3FF5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A1C853-B20E-4D31-94C5-C9A4DF17D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Rolands,Maryann,CH-Lausanne</dc:creator>
  <cp:keywords/>
  <dc:description/>
  <cp:lastModifiedBy>Rolands,Maryann,CH-Lausanne</cp:lastModifiedBy>
  <cp:revision/>
  <dcterms:created xsi:type="dcterms:W3CDTF">2015-06-05T18:17:20Z</dcterms:created>
  <dcterms:modified xsi:type="dcterms:W3CDTF">2022-07-06T14:02:54Z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2021-07-09T06:49:54Z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c2e56f30-65c8-4c48-87db-7c8e35aeab5a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0x01010092B6C76095DD4F4597821F16DC2ACA6F</vt:lpwstr>
  </property>
</Properties>
</file>