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IM 3\Documents\"/>
    </mc:Choice>
  </mc:AlternateContent>
  <xr:revisionPtr revIDLastSave="0" documentId="8_{0D6C5B43-FE6B-42AB-9503-6FDEE2D42B23}" xr6:coauthVersionLast="47" xr6:coauthVersionMax="47" xr10:uidLastSave="{00000000-0000-0000-0000-000000000000}"/>
  <bookViews>
    <workbookView xWindow="-108" yWindow="-108" windowWidth="23256" windowHeight="12456" firstSheet="5" activeTab="11" xr2:uid="{684A4777-995F-4E3C-AB98-EF45C2245ADC}"/>
  </bookViews>
  <sheets>
    <sheet name="MEDIANA &lt;10" sheetId="1" r:id="rId1"/>
    <sheet name="MEDIANA 10 &lt; x &lt; 40" sheetId="2" r:id="rId2"/>
    <sheet name="MEDIANA &gt; 40" sheetId="4" r:id="rId3"/>
    <sheet name="U-MANN WHITNEY" sheetId="5" r:id="rId4"/>
    <sheet name="U - MANN WHITNEY G." sheetId="6" r:id="rId5"/>
    <sheet name="POLICELLO" sheetId="7" r:id="rId6"/>
    <sheet name="KRUSKAL WALLIS" sheetId="8" r:id="rId7"/>
    <sheet name="MOOD" sheetId="9" r:id="rId8"/>
    <sheet name="MOOD G." sheetId="10" r:id="rId9"/>
    <sheet name="MOSES" sheetId="11" r:id="rId10"/>
    <sheet name="MOSES G." sheetId="12" r:id="rId11"/>
    <sheet name="TABLAS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9" i="12" l="1"/>
  <c r="H41" i="12" s="1"/>
  <c r="J19" i="12"/>
  <c r="Q18" i="12"/>
  <c r="J18" i="12"/>
  <c r="Q17" i="12"/>
  <c r="J17" i="12"/>
  <c r="Q16" i="12"/>
  <c r="J16" i="12"/>
  <c r="Q15" i="12"/>
  <c r="J15" i="12"/>
  <c r="E22" i="12" s="1" a="1"/>
  <c r="Q14" i="12"/>
  <c r="E28" i="12" s="1" a="1"/>
  <c r="J14" i="12"/>
  <c r="I11" i="12"/>
  <c r="K11" i="12" s="1"/>
  <c r="I10" i="12"/>
  <c r="K10" i="12" s="1"/>
  <c r="J36" i="11"/>
  <c r="J19" i="11"/>
  <c r="E22" i="11" s="1" a="1"/>
  <c r="Q18" i="11"/>
  <c r="E28" i="11" s="1" a="1"/>
  <c r="J18" i="11"/>
  <c r="Q17" i="11"/>
  <c r="J17" i="11"/>
  <c r="Q16" i="11"/>
  <c r="J16" i="11"/>
  <c r="Q15" i="11"/>
  <c r="J15" i="11"/>
  <c r="Q14" i="11"/>
  <c r="J14" i="11"/>
  <c r="J50" i="10"/>
  <c r="K54" i="10" s="1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J4" i="10" s="1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J3" i="10" s="1"/>
  <c r="G7" i="10"/>
  <c r="G6" i="10"/>
  <c r="G5" i="10"/>
  <c r="M4" i="10"/>
  <c r="G4" i="10"/>
  <c r="M3" i="10"/>
  <c r="J6" i="10" s="1"/>
  <c r="K53" i="9"/>
  <c r="K52" i="9"/>
  <c r="G49" i="9"/>
  <c r="J48" i="9"/>
  <c r="G48" i="9"/>
  <c r="J47" i="9"/>
  <c r="G47" i="9"/>
  <c r="J46" i="9"/>
  <c r="G46" i="9"/>
  <c r="J45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J4" i="9" s="1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M4" i="9"/>
  <c r="G4" i="9"/>
  <c r="M3" i="9"/>
  <c r="J6" i="9" s="1"/>
  <c r="J3" i="9"/>
  <c r="E28" i="12" l="1"/>
  <c r="E22" i="12"/>
  <c r="F22" i="12" s="1"/>
  <c r="F26" i="12"/>
  <c r="F24" i="12"/>
  <c r="F36" i="12"/>
  <c r="F35" i="12"/>
  <c r="E28" i="11"/>
  <c r="E22" i="11"/>
  <c r="F22" i="11" s="1"/>
  <c r="F27" i="11"/>
  <c r="F26" i="11"/>
  <c r="J37" i="10"/>
  <c r="K37" i="10" s="1"/>
  <c r="J33" i="10"/>
  <c r="K33" i="10" s="1"/>
  <c r="J29" i="10"/>
  <c r="K29" i="10" s="1"/>
  <c r="J25" i="10"/>
  <c r="K25" i="10" s="1"/>
  <c r="J21" i="10"/>
  <c r="K21" i="10" s="1"/>
  <c r="J17" i="10"/>
  <c r="K17" i="10" s="1"/>
  <c r="J36" i="10"/>
  <c r="K36" i="10" s="1"/>
  <c r="J32" i="10"/>
  <c r="K32" i="10" s="1"/>
  <c r="J28" i="10"/>
  <c r="K28" i="10" s="1"/>
  <c r="J24" i="10"/>
  <c r="K24" i="10" s="1"/>
  <c r="J20" i="10"/>
  <c r="K20" i="10" s="1"/>
  <c r="J39" i="10"/>
  <c r="K39" i="10" s="1"/>
  <c r="J35" i="10"/>
  <c r="K35" i="10" s="1"/>
  <c r="J27" i="10"/>
  <c r="K27" i="10" s="1"/>
  <c r="J23" i="10"/>
  <c r="K23" i="10" s="1"/>
  <c r="J38" i="10"/>
  <c r="K38" i="10" s="1"/>
  <c r="J34" i="10"/>
  <c r="K34" i="10" s="1"/>
  <c r="J30" i="10"/>
  <c r="K30" i="10" s="1"/>
  <c r="J26" i="10"/>
  <c r="K26" i="10" s="1"/>
  <c r="J22" i="10"/>
  <c r="K22" i="10" s="1"/>
  <c r="J18" i="10"/>
  <c r="K18" i="10" s="1"/>
  <c r="J31" i="10"/>
  <c r="K31" i="10" s="1"/>
  <c r="J19" i="10"/>
  <c r="K19" i="10" s="1"/>
  <c r="J45" i="10"/>
  <c r="M5" i="10"/>
  <c r="J44" i="10" s="1"/>
  <c r="J38" i="9"/>
  <c r="K38" i="9" s="1"/>
  <c r="J34" i="9"/>
  <c r="K34" i="9" s="1"/>
  <c r="J30" i="9"/>
  <c r="K30" i="9" s="1"/>
  <c r="J26" i="9"/>
  <c r="K26" i="9" s="1"/>
  <c r="J22" i="9"/>
  <c r="K22" i="9" s="1"/>
  <c r="J18" i="9"/>
  <c r="K18" i="9" s="1"/>
  <c r="J37" i="9"/>
  <c r="K37" i="9" s="1"/>
  <c r="J33" i="9"/>
  <c r="K33" i="9" s="1"/>
  <c r="J29" i="9"/>
  <c r="K29" i="9" s="1"/>
  <c r="J25" i="9"/>
  <c r="K25" i="9" s="1"/>
  <c r="J21" i="9"/>
  <c r="K21" i="9" s="1"/>
  <c r="J17" i="9"/>
  <c r="K17" i="9" s="1"/>
  <c r="J36" i="9"/>
  <c r="K36" i="9" s="1"/>
  <c r="J32" i="9"/>
  <c r="K32" i="9" s="1"/>
  <c r="J28" i="9"/>
  <c r="K28" i="9" s="1"/>
  <c r="J24" i="9"/>
  <c r="K24" i="9" s="1"/>
  <c r="J20" i="9"/>
  <c r="K20" i="9" s="1"/>
  <c r="J39" i="9"/>
  <c r="K39" i="9" s="1"/>
  <c r="J35" i="9"/>
  <c r="K35" i="9" s="1"/>
  <c r="J31" i="9"/>
  <c r="K31" i="9" s="1"/>
  <c r="J27" i="9"/>
  <c r="K27" i="9" s="1"/>
  <c r="J23" i="9"/>
  <c r="K23" i="9" s="1"/>
  <c r="J19" i="9"/>
  <c r="K19" i="9" s="1"/>
  <c r="M5" i="9"/>
  <c r="F25" i="12" l="1"/>
  <c r="F29" i="12"/>
  <c r="F30" i="12"/>
  <c r="F32" i="12"/>
  <c r="F31" i="12"/>
  <c r="F23" i="12"/>
  <c r="I22" i="12" s="1"/>
  <c r="I24" i="12" s="1"/>
  <c r="I26" i="12" s="1"/>
  <c r="F34" i="12" s="1"/>
  <c r="F37" i="12" s="1"/>
  <c r="F41" i="12" s="1"/>
  <c r="F27" i="12"/>
  <c r="F28" i="12"/>
  <c r="I23" i="12" s="1"/>
  <c r="I25" i="12" s="1"/>
  <c r="F23" i="11"/>
  <c r="I22" i="11" s="1"/>
  <c r="I24" i="11" s="1"/>
  <c r="F25" i="11"/>
  <c r="F29" i="11"/>
  <c r="F24" i="11"/>
  <c r="F30" i="11"/>
  <c r="F28" i="11"/>
  <c r="F31" i="11"/>
  <c r="F32" i="11"/>
  <c r="K40" i="10"/>
  <c r="J43" i="10" s="1"/>
  <c r="J46" i="10" s="1"/>
  <c r="I54" i="10" s="1"/>
  <c r="K40" i="9"/>
  <c r="J42" i="9" s="1"/>
  <c r="I23" i="11" l="1"/>
  <c r="I25" i="11" s="1"/>
  <c r="I26" i="11" s="1"/>
  <c r="H36" i="11" s="1"/>
  <c r="I53" i="9"/>
  <c r="I52" i="9"/>
  <c r="G68" i="8" l="1"/>
  <c r="E68" i="8"/>
  <c r="P68" i="8" s="1"/>
  <c r="G67" i="8"/>
  <c r="E67" i="8"/>
  <c r="P67" i="8" s="1"/>
  <c r="G66" i="8"/>
  <c r="E66" i="8"/>
  <c r="P66" i="8" s="1"/>
  <c r="G65" i="8"/>
  <c r="E65" i="8"/>
  <c r="P65" i="8" s="1"/>
  <c r="G64" i="8"/>
  <c r="E64" i="8"/>
  <c r="P64" i="8" s="1"/>
  <c r="G63" i="8"/>
  <c r="E63" i="8"/>
  <c r="P63" i="8" s="1"/>
  <c r="G62" i="8"/>
  <c r="E62" i="8"/>
  <c r="P62" i="8" s="1"/>
  <c r="G61" i="8"/>
  <c r="E61" i="8"/>
  <c r="P61" i="8" s="1"/>
  <c r="G60" i="8"/>
  <c r="E60" i="8"/>
  <c r="P60" i="8" s="1"/>
  <c r="G59" i="8"/>
  <c r="E59" i="8"/>
  <c r="P59" i="8" s="1"/>
  <c r="G58" i="8"/>
  <c r="E58" i="8"/>
  <c r="P58" i="8" s="1"/>
  <c r="G57" i="8"/>
  <c r="E57" i="8"/>
  <c r="P57" i="8" s="1"/>
  <c r="G56" i="8"/>
  <c r="E56" i="8"/>
  <c r="P56" i="8" s="1"/>
  <c r="G55" i="8"/>
  <c r="E55" i="8"/>
  <c r="P55" i="8" s="1"/>
  <c r="G54" i="8"/>
  <c r="E54" i="8"/>
  <c r="P54" i="8" s="1"/>
  <c r="G53" i="8"/>
  <c r="E53" i="8"/>
  <c r="P53" i="8" s="1"/>
  <c r="G52" i="8"/>
  <c r="E52" i="8"/>
  <c r="P52" i="8" s="1"/>
  <c r="G51" i="8"/>
  <c r="E51" i="8"/>
  <c r="P51" i="8" s="1"/>
  <c r="G50" i="8"/>
  <c r="E50" i="8"/>
  <c r="P50" i="8" s="1"/>
  <c r="G49" i="8"/>
  <c r="E49" i="8"/>
  <c r="P49" i="8" s="1"/>
  <c r="G48" i="8"/>
  <c r="E48" i="8"/>
  <c r="P48" i="8" s="1"/>
  <c r="G47" i="8"/>
  <c r="E47" i="8"/>
  <c r="P47" i="8" s="1"/>
  <c r="G46" i="8"/>
  <c r="E46" i="8"/>
  <c r="P46" i="8" s="1"/>
  <c r="G45" i="8"/>
  <c r="E45" i="8"/>
  <c r="P45" i="8" s="1"/>
  <c r="G44" i="8"/>
  <c r="E44" i="8"/>
  <c r="P44" i="8" s="1"/>
  <c r="G43" i="8"/>
  <c r="E43" i="8"/>
  <c r="P43" i="8" s="1"/>
  <c r="G42" i="8"/>
  <c r="E42" i="8"/>
  <c r="P42" i="8" s="1"/>
  <c r="G41" i="8"/>
  <c r="E41" i="8"/>
  <c r="P41" i="8" s="1"/>
  <c r="G40" i="8"/>
  <c r="E40" i="8"/>
  <c r="P40" i="8" s="1"/>
  <c r="G39" i="8"/>
  <c r="E39" i="8"/>
  <c r="P39" i="8" s="1"/>
  <c r="G38" i="8"/>
  <c r="E38" i="8"/>
  <c r="P38" i="8" s="1"/>
  <c r="P37" i="8"/>
  <c r="G37" i="8"/>
  <c r="E37" i="8"/>
  <c r="G36" i="8"/>
  <c r="E36" i="8"/>
  <c r="P36" i="8" s="1"/>
  <c r="G35" i="8"/>
  <c r="E35" i="8"/>
  <c r="P35" i="8" s="1"/>
  <c r="P34" i="8"/>
  <c r="G34" i="8"/>
  <c r="E34" i="8"/>
  <c r="G33" i="8"/>
  <c r="E33" i="8"/>
  <c r="P33" i="8" s="1"/>
  <c r="G32" i="8"/>
  <c r="E32" i="8"/>
  <c r="P32" i="8" s="1"/>
  <c r="G31" i="8"/>
  <c r="E31" i="8"/>
  <c r="P31" i="8" s="1"/>
  <c r="P30" i="8"/>
  <c r="G30" i="8"/>
  <c r="E30" i="8"/>
  <c r="G29" i="8"/>
  <c r="E29" i="8"/>
  <c r="P29" i="8" s="1"/>
  <c r="G28" i="8"/>
  <c r="E28" i="8"/>
  <c r="P28" i="8" s="1"/>
  <c r="G27" i="8"/>
  <c r="E27" i="8"/>
  <c r="P27" i="8" s="1"/>
  <c r="P26" i="8"/>
  <c r="G26" i="8"/>
  <c r="E26" i="8"/>
  <c r="C26" i="8"/>
  <c r="G25" i="8"/>
  <c r="E25" i="8"/>
  <c r="P25" i="8" s="1"/>
  <c r="G24" i="8"/>
  <c r="E24" i="8"/>
  <c r="P24" i="8" s="1"/>
  <c r="P23" i="8"/>
  <c r="J23" i="8"/>
  <c r="G23" i="8"/>
  <c r="E23" i="8"/>
  <c r="J22" i="8"/>
  <c r="K21" i="8" s="1"/>
  <c r="L26" i="8" s="1"/>
  <c r="G22" i="8"/>
  <c r="E22" i="8"/>
  <c r="P22" i="8" s="1"/>
  <c r="G21" i="8"/>
  <c r="E21" i="8"/>
  <c r="P21" i="8" s="1"/>
  <c r="P20" i="8"/>
  <c r="K20" i="8"/>
  <c r="G20" i="8"/>
  <c r="E20" i="8"/>
  <c r="G19" i="8"/>
  <c r="E19" i="8"/>
  <c r="P19" i="8" s="1"/>
  <c r="G18" i="8"/>
  <c r="E18" i="8"/>
  <c r="P18" i="8" s="1"/>
  <c r="G17" i="8"/>
  <c r="E17" i="8"/>
  <c r="P17" i="8" s="1"/>
  <c r="G16" i="8"/>
  <c r="E16" i="8"/>
  <c r="P16" i="8" s="1"/>
  <c r="P15" i="8"/>
  <c r="G15" i="8"/>
  <c r="E15" i="8"/>
  <c r="G14" i="8"/>
  <c r="E14" i="8"/>
  <c r="P14" i="8" s="1"/>
  <c r="P13" i="8"/>
  <c r="G13" i="8"/>
  <c r="E13" i="8"/>
  <c r="G12" i="8"/>
  <c r="E12" i="8"/>
  <c r="P12" i="8" s="1"/>
  <c r="N11" i="8" a="1"/>
  <c r="N11" i="8" s="1"/>
  <c r="G11" i="8"/>
  <c r="E11" i="8"/>
  <c r="P11" i="8" s="1"/>
  <c r="P10" i="8"/>
  <c r="K10" i="8"/>
  <c r="G10" i="8"/>
  <c r="E10" i="8"/>
  <c r="K9" i="8"/>
  <c r="G9" i="8"/>
  <c r="E9" i="8"/>
  <c r="P9" i="8" s="1"/>
  <c r="K8" i="8"/>
  <c r="G8" i="8"/>
  <c r="E8" i="8"/>
  <c r="P8" i="8" s="1"/>
  <c r="P7" i="8"/>
  <c r="K7" i="8"/>
  <c r="G7" i="8"/>
  <c r="E7" i="8"/>
  <c r="P6" i="8"/>
  <c r="K6" i="8"/>
  <c r="N7" i="8" s="1"/>
  <c r="G6" i="8"/>
  <c r="E6" i="8"/>
  <c r="K5" i="8"/>
  <c r="N6" i="8" s="1"/>
  <c r="G5" i="8"/>
  <c r="E5" i="8"/>
  <c r="P5" i="8" s="1"/>
  <c r="K4" i="8"/>
  <c r="N5" i="8" s="1"/>
  <c r="G4" i="8"/>
  <c r="E4" i="8"/>
  <c r="P4" i="8" s="1"/>
  <c r="G3" i="8"/>
  <c r="E3" i="8"/>
  <c r="P3" i="8" s="1"/>
  <c r="N15" i="8" l="1"/>
  <c r="O15" i="8" s="1"/>
  <c r="N13" i="8"/>
  <c r="O13" i="8" s="1"/>
  <c r="N17" i="8"/>
  <c r="O17" i="8" s="1"/>
  <c r="N14" i="8"/>
  <c r="O14" i="8" s="1"/>
  <c r="N16" i="8"/>
  <c r="O16" i="8" s="1"/>
  <c r="N18" i="8"/>
  <c r="O18" i="8" s="1"/>
  <c r="N8" i="8"/>
  <c r="K34" i="8"/>
  <c r="K35" i="8"/>
  <c r="K36" i="8"/>
  <c r="K12" i="8" l="1"/>
  <c r="J26" i="8" s="1"/>
  <c r="K41" i="8"/>
  <c r="M41" i="8" s="1"/>
  <c r="L39" i="8"/>
  <c r="K39" i="8"/>
  <c r="M39" i="8" s="1"/>
  <c r="K40" i="8"/>
  <c r="L41" i="8"/>
  <c r="L40" i="8"/>
  <c r="O19" i="8"/>
  <c r="O41" i="8" l="1"/>
  <c r="N39" i="8"/>
  <c r="O39" i="8" s="1"/>
  <c r="N41" i="8"/>
  <c r="N40" i="8"/>
  <c r="M40" i="8"/>
  <c r="O40" i="8" s="1"/>
  <c r="J19" i="7" l="1"/>
  <c r="E9" i="7"/>
  <c r="F24" i="7" l="1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K21" i="6"/>
  <c r="K20" i="6"/>
  <c r="Q26" i="6"/>
  <c r="Q24" i="6"/>
  <c r="Q25" i="6"/>
  <c r="P25" i="6"/>
  <c r="P24" i="6"/>
  <c r="F16" i="4"/>
  <c r="F15" i="4"/>
  <c r="F22" i="2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L21" i="7"/>
  <c r="I10" i="7"/>
  <c r="I9" i="7"/>
  <c r="O27" i="6"/>
  <c r="L25" i="6"/>
  <c r="O14" i="6" a="1"/>
  <c r="O14" i="6" s="1"/>
  <c r="H4" i="6"/>
  <c r="R4" i="6" s="1"/>
  <c r="H5" i="6"/>
  <c r="R5" i="6" s="1"/>
  <c r="H6" i="6"/>
  <c r="R6" i="6" s="1"/>
  <c r="H7" i="6"/>
  <c r="R7" i="6" s="1"/>
  <c r="H8" i="6"/>
  <c r="R8" i="6" s="1"/>
  <c r="H9" i="6"/>
  <c r="R9" i="6" s="1"/>
  <c r="H10" i="6"/>
  <c r="R10" i="6" s="1"/>
  <c r="H11" i="6"/>
  <c r="R11" i="6" s="1"/>
  <c r="H12" i="6"/>
  <c r="R12" i="6" s="1"/>
  <c r="H13" i="6"/>
  <c r="R13" i="6" s="1"/>
  <c r="H14" i="6"/>
  <c r="R14" i="6" s="1"/>
  <c r="H15" i="6"/>
  <c r="R15" i="6" s="1"/>
  <c r="H16" i="6"/>
  <c r="R16" i="6" s="1"/>
  <c r="H17" i="6"/>
  <c r="R17" i="6" s="1"/>
  <c r="H18" i="6"/>
  <c r="R18" i="6" s="1"/>
  <c r="H19" i="6"/>
  <c r="R19" i="6" s="1"/>
  <c r="H20" i="6"/>
  <c r="R20" i="6" s="1"/>
  <c r="H21" i="6"/>
  <c r="R21" i="6" s="1"/>
  <c r="H22" i="6"/>
  <c r="R22" i="6" s="1"/>
  <c r="H23" i="6"/>
  <c r="R23" i="6" s="1"/>
  <c r="H24" i="6"/>
  <c r="R24" i="6" s="1"/>
  <c r="H25" i="6"/>
  <c r="R25" i="6" s="1"/>
  <c r="H26" i="6"/>
  <c r="R26" i="6" s="1"/>
  <c r="H27" i="6"/>
  <c r="R27" i="6" s="1"/>
  <c r="H28" i="6"/>
  <c r="R28" i="6" s="1"/>
  <c r="H29" i="6"/>
  <c r="R29" i="6" s="1"/>
  <c r="H30" i="6"/>
  <c r="R30" i="6" s="1"/>
  <c r="H31" i="6"/>
  <c r="R31" i="6" s="1"/>
  <c r="H32" i="6"/>
  <c r="R32" i="6" s="1"/>
  <c r="H33" i="6"/>
  <c r="R33" i="6" s="1"/>
  <c r="H34" i="6"/>
  <c r="R34" i="6" s="1"/>
  <c r="H35" i="6"/>
  <c r="R35" i="6" s="1"/>
  <c r="H36" i="6"/>
  <c r="R36" i="6" s="1"/>
  <c r="H37" i="6"/>
  <c r="R37" i="6" s="1"/>
  <c r="H38" i="6"/>
  <c r="R38" i="6" s="1"/>
  <c r="H39" i="6"/>
  <c r="R39" i="6" s="1"/>
  <c r="H40" i="6"/>
  <c r="R40" i="6" s="1"/>
  <c r="H41" i="6"/>
  <c r="R41" i="6" s="1"/>
  <c r="H42" i="6"/>
  <c r="R42" i="6" s="1"/>
  <c r="H43" i="6"/>
  <c r="R43" i="6" s="1"/>
  <c r="H44" i="6"/>
  <c r="R44" i="6" s="1"/>
  <c r="H45" i="6"/>
  <c r="R45" i="6" s="1"/>
  <c r="H46" i="6"/>
  <c r="R46" i="6" s="1"/>
  <c r="H47" i="6"/>
  <c r="R47" i="6" s="1"/>
  <c r="H48" i="6"/>
  <c r="R48" i="6" s="1"/>
  <c r="H49" i="6"/>
  <c r="R49" i="6" s="1"/>
  <c r="H50" i="6"/>
  <c r="R50" i="6" s="1"/>
  <c r="H51" i="6"/>
  <c r="R51" i="6" s="1"/>
  <c r="H52" i="6"/>
  <c r="R52" i="6" s="1"/>
  <c r="H53" i="6"/>
  <c r="R53" i="6" s="1"/>
  <c r="H54" i="6"/>
  <c r="R54" i="6" s="1"/>
  <c r="H55" i="6"/>
  <c r="R55" i="6" s="1"/>
  <c r="H56" i="6"/>
  <c r="R56" i="6" s="1"/>
  <c r="H57" i="6"/>
  <c r="R57" i="6" s="1"/>
  <c r="H58" i="6"/>
  <c r="R58" i="6" s="1"/>
  <c r="H59" i="6"/>
  <c r="R59" i="6" s="1"/>
  <c r="H60" i="6"/>
  <c r="R60" i="6" s="1"/>
  <c r="H61" i="6"/>
  <c r="R61" i="6" s="1"/>
  <c r="H62" i="6"/>
  <c r="R62" i="6" s="1"/>
  <c r="H3" i="6"/>
  <c r="R3" i="6" s="1"/>
  <c r="I12" i="7" l="1"/>
  <c r="I11" i="7"/>
  <c r="P17" i="6"/>
  <c r="Q17" i="6" s="1"/>
  <c r="P18" i="6"/>
  <c r="Q18" i="6" s="1"/>
  <c r="P19" i="6"/>
  <c r="Q19" i="6" s="1"/>
  <c r="P20" i="6"/>
  <c r="Q20" i="6" s="1"/>
  <c r="P16" i="6"/>
  <c r="Q16" i="6" s="1"/>
  <c r="P21" i="6"/>
  <c r="Q21" i="6" s="1"/>
  <c r="P23" i="6"/>
  <c r="Q23" i="6" s="1"/>
  <c r="P22" i="6"/>
  <c r="Q22" i="6" s="1"/>
  <c r="I13" i="7"/>
  <c r="I14" i="7"/>
  <c r="I15" i="7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K9" i="6"/>
  <c r="G9" i="6"/>
  <c r="K8" i="6"/>
  <c r="G8" i="6"/>
  <c r="G7" i="6"/>
  <c r="G6" i="6"/>
  <c r="G5" i="6"/>
  <c r="G4" i="6"/>
  <c r="G3" i="6"/>
  <c r="O19" i="5"/>
  <c r="K9" i="5"/>
  <c r="K8" i="5"/>
  <c r="K10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K11" i="6" l="1"/>
  <c r="K13" i="6" s="1"/>
  <c r="K10" i="6"/>
  <c r="K12" i="6" s="1"/>
  <c r="K17" i="6"/>
  <c r="K19" i="6"/>
  <c r="K18" i="6"/>
  <c r="K12" i="5"/>
  <c r="I17" i="7"/>
  <c r="J21" i="7" s="1"/>
  <c r="K14" i="6" l="1"/>
  <c r="K16" i="6" s="1"/>
  <c r="M27" i="6" s="1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K11" i="5" l="1"/>
  <c r="K13" i="5" s="1"/>
  <c r="K14" i="5" s="1"/>
  <c r="M19" i="5" s="1"/>
  <c r="H22" i="4"/>
  <c r="K10" i="4"/>
  <c r="J10" i="4"/>
  <c r="F10" i="4"/>
  <c r="K12" i="4" s="1"/>
  <c r="H27" i="2"/>
  <c r="H26" i="2"/>
  <c r="F10" i="1"/>
  <c r="K12" i="1" s="1"/>
  <c r="F10" i="2"/>
  <c r="J11" i="2" s="1"/>
  <c r="F15" i="2" s="1"/>
  <c r="K10" i="2"/>
  <c r="J10" i="2"/>
  <c r="H22" i="1"/>
  <c r="K10" i="1"/>
  <c r="J10" i="1"/>
  <c r="J11" i="1" l="1"/>
  <c r="K11" i="1"/>
  <c r="K13" i="1" s="1"/>
  <c r="F12" i="1" s="1"/>
  <c r="J12" i="1"/>
  <c r="J11" i="4"/>
  <c r="I11" i="4"/>
  <c r="K11" i="4"/>
  <c r="I12" i="4"/>
  <c r="J12" i="4"/>
  <c r="K11" i="2"/>
  <c r="F16" i="2" s="1"/>
  <c r="J12" i="2"/>
  <c r="K12" i="2"/>
  <c r="F18" i="2" s="1"/>
  <c r="F13" i="2"/>
  <c r="I12" i="2"/>
  <c r="I11" i="2"/>
  <c r="I11" i="1"/>
  <c r="I12" i="1"/>
  <c r="J13" i="2" l="1"/>
  <c r="F11" i="2" s="1"/>
  <c r="F17" i="2"/>
  <c r="F13" i="4"/>
  <c r="J13" i="4"/>
  <c r="F11" i="4" s="1"/>
  <c r="F14" i="4"/>
  <c r="K13" i="4"/>
  <c r="F12" i="4" s="1"/>
  <c r="K13" i="2"/>
  <c r="F12" i="2" s="1"/>
  <c r="F14" i="2"/>
  <c r="F13" i="1"/>
  <c r="J13" i="1"/>
  <c r="F14" i="1"/>
  <c r="F19" i="2" l="1"/>
  <c r="F11" i="1"/>
  <c r="F15" i="1" s="1"/>
  <c r="F18" i="1" s="1"/>
  <c r="F22" i="1" s="1"/>
  <c r="F22" i="4"/>
  <c r="F16" i="1"/>
  <c r="F27" i="2" l="1"/>
  <c r="F21" i="2"/>
  <c r="F2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<sst xmlns="http://schemas.openxmlformats.org/spreadsheetml/2006/main" count="389" uniqueCount="154">
  <si>
    <t>MUESTRA 1</t>
  </si>
  <si>
    <t>MUESTRA 2</t>
  </si>
  <si>
    <t>Hipotesis</t>
  </si>
  <si>
    <t>H0</t>
  </si>
  <si>
    <t>H1</t>
  </si>
  <si>
    <t>Nivel de significancia</t>
  </si>
  <si>
    <t>Estadistico de prueba</t>
  </si>
  <si>
    <t>Mediana</t>
  </si>
  <si>
    <t>Datos</t>
  </si>
  <si>
    <t>Valores</t>
  </si>
  <si>
    <t>n1</t>
  </si>
  <si>
    <t>n2</t>
  </si>
  <si>
    <t>m1</t>
  </si>
  <si>
    <t>m2</t>
  </si>
  <si>
    <t>TABLA DE CONTINGENCIA</t>
  </si>
  <si>
    <t>observaciones &gt;</t>
  </si>
  <si>
    <r>
      <t xml:space="preserve">observaciones </t>
    </r>
    <r>
      <rPr>
        <b/>
        <sz val="11"/>
        <color theme="1"/>
        <rFont val="Calibri"/>
        <family val="2"/>
      </rPr>
      <t>≤</t>
    </r>
  </si>
  <si>
    <t>TOTAL</t>
  </si>
  <si>
    <t>p</t>
  </si>
  <si>
    <t>n1+n2</t>
  </si>
  <si>
    <t>m1+m2</t>
  </si>
  <si>
    <t>Regla de decision</t>
  </si>
  <si>
    <t xml:space="preserve"> se rechaza H0 si P&lt;α</t>
  </si>
  <si>
    <t>Como</t>
  </si>
  <si>
    <t>&lt;</t>
  </si>
  <si>
    <t>Conclusion</t>
  </si>
  <si>
    <t>Se rechaza la hipotesis nula</t>
  </si>
  <si>
    <t>b</t>
  </si>
  <si>
    <t>a</t>
  </si>
  <si>
    <t>c</t>
  </si>
  <si>
    <t>d</t>
  </si>
  <si>
    <t>X2</t>
  </si>
  <si>
    <t>Si alguna frecuencia es menor a 5</t>
  </si>
  <si>
    <t>n</t>
  </si>
  <si>
    <r>
      <t xml:space="preserve"> se rechaza H0 si X2&gt;X2_1,1-</t>
    </r>
    <r>
      <rPr>
        <sz val="11"/>
        <color theme="1"/>
        <rFont val="Calibri"/>
        <family val="2"/>
      </rPr>
      <t>α</t>
    </r>
  </si>
  <si>
    <t>X2,&lt;5</t>
  </si>
  <si>
    <t>&gt;</t>
  </si>
  <si>
    <t>p^</t>
  </si>
  <si>
    <t>T</t>
  </si>
  <si>
    <r>
      <t xml:space="preserve"> se rechaza H0 si T&gt;Z_1,1-</t>
    </r>
    <r>
      <rPr>
        <sz val="11"/>
        <color theme="1"/>
        <rFont val="Calibri"/>
        <family val="2"/>
      </rPr>
      <t>α</t>
    </r>
  </si>
  <si>
    <t>Numero de alumnos</t>
  </si>
  <si>
    <t>Participantes 1</t>
  </si>
  <si>
    <t>Participantes 2</t>
  </si>
  <si>
    <t>Rangos</t>
  </si>
  <si>
    <t>R1</t>
  </si>
  <si>
    <t>R2</t>
  </si>
  <si>
    <t>U1</t>
  </si>
  <si>
    <t>U2</t>
  </si>
  <si>
    <t>Uc</t>
  </si>
  <si>
    <t>Valor critico</t>
  </si>
  <si>
    <r>
      <t>Ut_n1,n2,</t>
    </r>
    <r>
      <rPr>
        <sz val="11"/>
        <color theme="1"/>
        <rFont val="Calibri"/>
        <family val="2"/>
      </rPr>
      <t>α</t>
    </r>
  </si>
  <si>
    <t>Se rechaza si</t>
  </si>
  <si>
    <t>≤</t>
  </si>
  <si>
    <t>No se rechaza la hipotesis</t>
  </si>
  <si>
    <t>Ut_20,18,0.05</t>
  </si>
  <si>
    <t>µ</t>
  </si>
  <si>
    <t>σ</t>
  </si>
  <si>
    <t># empates</t>
  </si>
  <si>
    <t>T1</t>
  </si>
  <si>
    <t>T2</t>
  </si>
  <si>
    <t>T3</t>
  </si>
  <si>
    <t>T4</t>
  </si>
  <si>
    <t>T5</t>
  </si>
  <si>
    <t>T6</t>
  </si>
  <si>
    <t>T7</t>
  </si>
  <si>
    <t>T8</t>
  </si>
  <si>
    <t>Factor corrector</t>
  </si>
  <si>
    <t>σ^2</t>
  </si>
  <si>
    <t>Zc</t>
  </si>
  <si>
    <r>
      <t>Z_1-</t>
    </r>
    <r>
      <rPr>
        <sz val="11"/>
        <color theme="1"/>
        <rFont val="Calibri"/>
        <family val="2"/>
      </rPr>
      <t>α/2</t>
    </r>
  </si>
  <si>
    <t>Se rechaza la hipotesis</t>
  </si>
  <si>
    <t>𝑃 ̅</t>
  </si>
  <si>
    <t>Q ̅</t>
  </si>
  <si>
    <t>V1</t>
  </si>
  <si>
    <t>V2</t>
  </si>
  <si>
    <t>P</t>
  </si>
  <si>
    <t>Q</t>
  </si>
  <si>
    <t>N</t>
  </si>
  <si>
    <t>F</t>
  </si>
  <si>
    <t>T9</t>
  </si>
  <si>
    <t>T10</t>
  </si>
  <si>
    <t>Normal</t>
  </si>
  <si>
    <t>Hospitalizada</t>
  </si>
  <si>
    <r>
      <t>Z_1-</t>
    </r>
    <r>
      <rPr>
        <sz val="11"/>
        <color theme="1"/>
        <rFont val="Calibri"/>
        <family val="2"/>
      </rPr>
      <t>α</t>
    </r>
  </si>
  <si>
    <t>Pez</t>
  </si>
  <si>
    <t>Cerebro</t>
  </si>
  <si>
    <t xml:space="preserve">Corazon </t>
  </si>
  <si>
    <t>Sangre</t>
  </si>
  <si>
    <t>Ordenando los datos</t>
  </si>
  <si>
    <t>Rango</t>
  </si>
  <si>
    <t>Grupo</t>
  </si>
  <si>
    <t>Calculos</t>
  </si>
  <si>
    <t>R^2/n1</t>
  </si>
  <si>
    <t>R3</t>
  </si>
  <si>
    <t>R^2/n2</t>
  </si>
  <si>
    <t>R^2/n3</t>
  </si>
  <si>
    <t>Sumatoria</t>
  </si>
  <si>
    <t>n3</t>
  </si>
  <si>
    <t>H</t>
  </si>
  <si>
    <t>k</t>
  </si>
  <si>
    <r>
      <t>X^2_k-1,1-</t>
    </r>
    <r>
      <rPr>
        <sz val="11"/>
        <color theme="1"/>
        <rFont val="Calibri"/>
        <family val="2"/>
      </rPr>
      <t>α</t>
    </r>
  </si>
  <si>
    <t>≥</t>
  </si>
  <si>
    <t>Como se rechaza la hipotesis hay almenos una columna diferente</t>
  </si>
  <si>
    <t>Se procede a hacer las comparaciones multiples</t>
  </si>
  <si>
    <t>PROMEDIOS</t>
  </si>
  <si>
    <t xml:space="preserve">Comparación de medidas </t>
  </si>
  <si>
    <t>Ri</t>
  </si>
  <si>
    <t>Rj</t>
  </si>
  <si>
    <t>!Ri-R!</t>
  </si>
  <si>
    <t>Ac</t>
  </si>
  <si>
    <t>conclusion</t>
  </si>
  <si>
    <t>1y2</t>
  </si>
  <si>
    <t>1y3</t>
  </si>
  <si>
    <t>2y3</t>
  </si>
  <si>
    <t>BILATERAL MUESTRAS PEQUEÑAS &lt; 10</t>
  </si>
  <si>
    <t>Animales E.</t>
  </si>
  <si>
    <t>Animales no E.</t>
  </si>
  <si>
    <t>Rangos A</t>
  </si>
  <si>
    <t>Rangos B</t>
  </si>
  <si>
    <t>Media</t>
  </si>
  <si>
    <t xml:space="preserve">H0: </t>
  </si>
  <si>
    <t>ϴ1 = ϴ2</t>
  </si>
  <si>
    <t>H1:</t>
  </si>
  <si>
    <r>
      <t xml:space="preserve">ϴ1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ϴ2</t>
    </r>
  </si>
  <si>
    <t>Grupo X</t>
  </si>
  <si>
    <t>R-Media</t>
  </si>
  <si>
    <t>(R-Media)^2</t>
  </si>
  <si>
    <t>M</t>
  </si>
  <si>
    <t>M'</t>
  </si>
  <si>
    <t>M''</t>
  </si>
  <si>
    <t>α/2</t>
  </si>
  <si>
    <t>1 - α/2</t>
  </si>
  <si>
    <t>No se rechaza la hipotesis nula</t>
  </si>
  <si>
    <t>BILATERAL MUESTRAS GRANDES &gt; 10</t>
  </si>
  <si>
    <t>µ_M</t>
  </si>
  <si>
    <t>σ_M</t>
  </si>
  <si>
    <t>Z_c</t>
  </si>
  <si>
    <t>Decision</t>
  </si>
  <si>
    <t>BILATERAL MUESTRAS PEQUEÑAS &lt;=20</t>
  </si>
  <si>
    <t>Maquina1</t>
  </si>
  <si>
    <t>Maquina2</t>
  </si>
  <si>
    <t>K</t>
  </si>
  <si>
    <t>Sub muestra X</t>
  </si>
  <si>
    <t>Observaciones</t>
  </si>
  <si>
    <t>Suma de cuadrados</t>
  </si>
  <si>
    <t>Sub muestra Y</t>
  </si>
  <si>
    <t xml:space="preserve">Submuestra </t>
  </si>
  <si>
    <t>X,Y</t>
  </si>
  <si>
    <t>X</t>
  </si>
  <si>
    <t>Y</t>
  </si>
  <si>
    <t>Ut_6,5,0.05</t>
  </si>
  <si>
    <t>BILATERAL MUESTRAS GRANDES &gt; 20</t>
  </si>
  <si>
    <t>µc</t>
  </si>
  <si>
    <t>σc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</si>
</sst>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" fontId="1" fillId="2" borderId="5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1" fontId="1" fillId="2" borderId="1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/>
    <xf numFmtId="0" fontId="0" fillId="0" borderId="0" xfId="0" applyBorder="1"/>
    <xf numFmtId="2" fontId="0" fillId="0" borderId="0" xfId="0" applyNumberFormat="1"/>
    <xf numFmtId="1" fontId="0" fillId="0" borderId="0" xfId="0" applyNumberForma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1" fillId="2" borderId="0" xfId="0" applyFont="1" applyFill="1" applyBorder="1" applyAlignment="1">
      <alignment horizontal="center"/>
    </xf>
    <xf numFmtId="0" fontId="0" fillId="7" borderId="0" xfId="0" applyFill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1" xfId="0" applyFont="1" applyFill="1" applyBorder="1"/>
    <xf numFmtId="0" fontId="0" fillId="8" borderId="0" xfId="0" applyFill="1"/>
    <xf numFmtId="0" fontId="0" fillId="0" borderId="0" xfId="0" applyFill="1"/>
    <xf numFmtId="0" fontId="0" fillId="0" borderId="0" xfId="0" quotePrefix="1"/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4" borderId="0" xfId="0" applyFill="1"/>
    <xf numFmtId="0" fontId="3" fillId="0" borderId="0" xfId="0" applyFont="1"/>
    <xf numFmtId="0" fontId="0" fillId="7" borderId="1" xfId="0" applyFill="1" applyBorder="1"/>
    <xf numFmtId="0" fontId="0" fillId="4" borderId="1" xfId="0" applyFill="1" applyBorder="1"/>
    <xf numFmtId="0" fontId="0" fillId="12" borderId="1" xfId="0" applyFill="1" applyBorder="1"/>
    <xf numFmtId="0" fontId="0" fillId="11" borderId="1" xfId="0" applyFill="1" applyBorder="1"/>
    <xf numFmtId="0" fontId="0" fillId="1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784860</xdr:colOff>
      <xdr:row>13</xdr:row>
      <xdr:rowOff>83820</xdr:rowOff>
    </xdr:from>
    <xdr:to>
      <xdr:col>8</xdr:col>
      <xdr:colOff>54236</xdr:colOff>
      <xdr:row>17</xdr:row>
      <xdr:rowOff>97902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71F32F-8D26-4CB1-9745-71EBD78E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9740" y="2506980"/>
          <a:ext cx="1174376" cy="7456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175260</xdr:colOff>
      <xdr:row>15</xdr:row>
      <xdr:rowOff>121920</xdr:rowOff>
    </xdr:from>
    <xdr:to>
      <xdr:col>9</xdr:col>
      <xdr:colOff>429751</xdr:colOff>
      <xdr:row>17</xdr:row>
      <xdr:rowOff>154010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2B9AD3-EEF0-4731-A9CE-2B2627527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2620" y="2910840"/>
          <a:ext cx="2052811" cy="39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15</xdr:row>
      <xdr:rowOff>106680</xdr:rowOff>
    </xdr:from>
    <xdr:to>
      <xdr:col>12</xdr:col>
      <xdr:colOff>455987</xdr:colOff>
      <xdr:row>18</xdr:row>
      <xdr:rowOff>82900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C295C8-3059-4CA5-8238-FAC047291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3880" y="2895600"/>
          <a:ext cx="1995227" cy="524860"/>
        </a:xfrm>
        <a:prstGeom prst="rect">
          <a:avLst/>
        </a:prstGeom>
      </xdr:spPr>
    </xdr:pic>
    <xdr:clientData/>
  </xdr:twoCellAnchor>
  <xdr:twoCellAnchor editAs="oneCell">
    <xdr:from>
      <xdr:col>12</xdr:col>
      <xdr:colOff>701040</xdr:colOff>
      <xdr:row>2</xdr:row>
      <xdr:rowOff>106680</xdr:rowOff>
    </xdr:from>
    <xdr:to>
      <xdr:col>15</xdr:col>
      <xdr:colOff>122076</xdr:colOff>
      <xdr:row>14</xdr:row>
      <xdr:rowOff>15426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96AE3A-16D4-4479-9182-8091F226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4160" y="472440"/>
          <a:ext cx="1798476" cy="2149026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3</xdr:row>
      <xdr:rowOff>22860</xdr:rowOff>
    </xdr:from>
    <xdr:to>
      <xdr:col>22</xdr:col>
      <xdr:colOff>488200</xdr:colOff>
      <xdr:row>23</xdr:row>
      <xdr:rowOff>145112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6BCC291-57FD-4162-B0B2-553CF243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31040" y="571500"/>
          <a:ext cx="6005080" cy="3825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8</xdr:col>
      <xdr:colOff>680640</xdr:colOff>
      <xdr:row>18</xdr:row>
      <xdr:rowOff>117368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B29EEF-87EC-49E3-82E8-E6A6F02F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7360" y="2606040"/>
          <a:ext cx="1686480" cy="84888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15</xdr:row>
      <xdr:rowOff>15240</xdr:rowOff>
    </xdr:from>
    <xdr:to>
      <xdr:col>10</xdr:col>
      <xdr:colOff>480160</xdr:colOff>
      <xdr:row>18</xdr:row>
      <xdr:rowOff>45770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81AE89-50C7-4EE5-913D-0154A454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9980" y="2804160"/>
          <a:ext cx="1158340" cy="5791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53790</xdr:colOff>
      <xdr:row>1</xdr:row>
      <xdr:rowOff>0</xdr:rowOff>
    </xdr:from>
    <xdr:to>
      <xdr:col>14</xdr:col>
      <xdr:colOff>399825</xdr:colOff>
      <xdr:row>3</xdr:row>
      <xdr:rowOff>121631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06F58F-6DB4-473B-BD02-A0A812496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1200" b="70693"/>
        <a:stretch/>
      </xdr:blipFill>
      <xdr:spPr>
        <a:xfrm>
          <a:off x="11003730" y="182880"/>
          <a:ext cx="1138515" cy="48739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159572</xdr:rowOff>
    </xdr:from>
    <xdr:to>
      <xdr:col>14</xdr:col>
      <xdr:colOff>534295</xdr:colOff>
      <xdr:row>7</xdr:row>
      <xdr:rowOff>103481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F10021-B6FC-4531-A842-E121922BF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253" r="35947" b="74584"/>
        <a:stretch/>
      </xdr:blipFill>
      <xdr:spPr>
        <a:xfrm>
          <a:off x="10949940" y="891092"/>
          <a:ext cx="1326775" cy="492549"/>
        </a:xfrm>
        <a:prstGeom prst="rect">
          <a:avLst/>
        </a:prstGeom>
      </xdr:spPr>
    </xdr:pic>
    <xdr:clientData/>
  </xdr:twoCellAnchor>
  <xdr:twoCellAnchor editAs="oneCell">
    <xdr:from>
      <xdr:col>13</xdr:col>
      <xdr:colOff>8962</xdr:colOff>
      <xdr:row>9</xdr:row>
      <xdr:rowOff>7172</xdr:rowOff>
    </xdr:from>
    <xdr:to>
      <xdr:col>14</xdr:col>
      <xdr:colOff>471543</xdr:colOff>
      <xdr:row>11</xdr:row>
      <xdr:rowOff>117290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717D0B-7856-486D-869A-15FAB5980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025" b="72982"/>
        <a:stretch/>
      </xdr:blipFill>
      <xdr:spPr>
        <a:xfrm>
          <a:off x="10958902" y="1653092"/>
          <a:ext cx="1255061" cy="475878"/>
        </a:xfrm>
        <a:prstGeom prst="rect">
          <a:avLst/>
        </a:prstGeom>
      </xdr:spPr>
    </xdr:pic>
    <xdr:clientData/>
  </xdr:twoCellAnchor>
  <xdr:oneCellAnchor>
    <xdr:from>
      <xdr:col>15</xdr:col>
      <xdr:colOff>118334</xdr:colOff>
      <xdr:row>1</xdr:row>
      <xdr:rowOff>98612</xdr:rowOff>
    </xdr:from>
    <xdr:ext cx="986117" cy="387142"/>
    <xdr:pic>
      <xdr:nvPicPr>
        <xdr:cNvPr id="5" name="Imagen 4">
          <a:extLst>
            <a:ext uri="{FF2B5EF4-FFF2-40B4-BE49-F238E27FC236}">
              <a16:creationId xmlns:a16="http://schemas.microsoft.com/office/drawing/2014/main" id="{E541C496-BF98-4349-A90D-1B50F0F72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53" t="60362" r="71765" b="15765"/>
        <a:stretch/>
      </xdr:blipFill>
      <xdr:spPr>
        <a:xfrm>
          <a:off x="12653234" y="281492"/>
          <a:ext cx="986117" cy="387142"/>
        </a:xfrm>
        <a:prstGeom prst="rect">
          <a:avLst/>
        </a:prstGeom>
      </xdr:spPr>
    </xdr:pic>
    <xdr:clientData/>
  </xdr:oneCellAnchor>
  <xdr:oneCellAnchor>
    <xdr:from>
      <xdr:col>14</xdr:col>
      <xdr:colOff>789597</xdr:colOff>
      <xdr:row>4</xdr:row>
      <xdr:rowOff>93699</xdr:rowOff>
    </xdr:from>
    <xdr:ext cx="1210234" cy="638527"/>
    <xdr:pic>
      <xdr:nvPicPr>
        <xdr:cNvPr id="6" name="Imagen 5">
          <a:extLst>
            <a:ext uri="{FF2B5EF4-FFF2-40B4-BE49-F238E27FC236}">
              <a16:creationId xmlns:a16="http://schemas.microsoft.com/office/drawing/2014/main" id="{A27A85B1-75C8-4B44-ACB4-597C58A66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189" t="52623" r="29904" b="-164"/>
        <a:stretch/>
      </xdr:blipFill>
      <xdr:spPr>
        <a:xfrm>
          <a:off x="12532017" y="825219"/>
          <a:ext cx="1210234" cy="638527"/>
        </a:xfrm>
        <a:prstGeom prst="rect">
          <a:avLst/>
        </a:prstGeom>
      </xdr:spPr>
    </xdr:pic>
    <xdr:clientData/>
  </xdr:oneCellAnchor>
  <xdr:oneCellAnchor>
    <xdr:from>
      <xdr:col>15</xdr:col>
      <xdr:colOff>181087</xdr:colOff>
      <xdr:row>9</xdr:row>
      <xdr:rowOff>69924</xdr:rowOff>
    </xdr:from>
    <xdr:ext cx="887506" cy="385481"/>
    <xdr:pic>
      <xdr:nvPicPr>
        <xdr:cNvPr id="7" name="Imagen 6">
          <a:extLst>
            <a:ext uri="{FF2B5EF4-FFF2-40B4-BE49-F238E27FC236}">
              <a16:creationId xmlns:a16="http://schemas.microsoft.com/office/drawing/2014/main" id="{8A87883D-9DA7-4922-9400-FA9988B99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3818" t="62573" r="3159" b="13657"/>
        <a:stretch/>
      </xdr:blipFill>
      <xdr:spPr>
        <a:xfrm>
          <a:off x="12715987" y="1715844"/>
          <a:ext cx="887506" cy="38548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167640</xdr:colOff>
      <xdr:row>3</xdr:row>
      <xdr:rowOff>129540</xdr:rowOff>
    </xdr:from>
    <xdr:to>
      <xdr:col>13</xdr:col>
      <xdr:colOff>510540</xdr:colOff>
      <xdr:row>6</xdr:row>
      <xdr:rowOff>60960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D0D74DC-2BC3-462B-AFC4-83C4F116B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3105" b="-5813"/>
        <a:stretch/>
      </xdr:blipFill>
      <xdr:spPr>
        <a:xfrm>
          <a:off x="9837420" y="678180"/>
          <a:ext cx="1135380" cy="480060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3</xdr:row>
      <xdr:rowOff>144780</xdr:rowOff>
    </xdr:from>
    <xdr:to>
      <xdr:col>15</xdr:col>
      <xdr:colOff>289560</xdr:colOff>
      <xdr:row>6</xdr:row>
      <xdr:rowOff>83820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5113BEF-0CF4-47AF-B9D4-C079D8F46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032" t="1" r="35920" b="-7494"/>
        <a:stretch/>
      </xdr:blipFill>
      <xdr:spPr>
        <a:xfrm>
          <a:off x="11026140" y="693420"/>
          <a:ext cx="1310640" cy="487680"/>
        </a:xfrm>
        <a:prstGeom prst="rect">
          <a:avLst/>
        </a:prstGeom>
      </xdr:spPr>
    </xdr:pic>
    <xdr:clientData/>
  </xdr:twoCellAnchor>
  <xdr:twoCellAnchor editAs="oneCell">
    <xdr:from>
      <xdr:col>15</xdr:col>
      <xdr:colOff>327660</xdr:colOff>
      <xdr:row>3</xdr:row>
      <xdr:rowOff>114300</xdr:rowOff>
    </xdr:from>
    <xdr:to>
      <xdr:col>16</xdr:col>
      <xdr:colOff>784860</xdr:colOff>
      <xdr:row>6</xdr:row>
      <xdr:rowOff>60960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1BF4E3E-B1E3-4106-B77C-E6025E8F42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397" b="-9173"/>
        <a:stretch/>
      </xdr:blipFill>
      <xdr:spPr>
        <a:xfrm>
          <a:off x="12374880" y="662940"/>
          <a:ext cx="1249680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68581</xdr:colOff>
      <xdr:row>7</xdr:row>
      <xdr:rowOff>1</xdr:rowOff>
    </xdr:from>
    <xdr:to>
      <xdr:col>13</xdr:col>
      <xdr:colOff>601980</xdr:colOff>
      <xdr:row>9</xdr:row>
      <xdr:rowOff>176697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3B91DF6-9A8A-44CA-B8C1-6D5519EEA3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9948"/>
        <a:stretch/>
      </xdr:blipFill>
      <xdr:spPr>
        <a:xfrm>
          <a:off x="9738361" y="1280161"/>
          <a:ext cx="1325879" cy="542456"/>
        </a:xfrm>
        <a:prstGeom prst="rect">
          <a:avLst/>
        </a:prstGeom>
      </xdr:spPr>
    </xdr:pic>
    <xdr:clientData/>
  </xdr:twoCellAnchor>
  <xdr:twoCellAnchor editAs="oneCell">
    <xdr:from>
      <xdr:col>13</xdr:col>
      <xdr:colOff>411479</xdr:colOff>
      <xdr:row>6</xdr:row>
      <xdr:rowOff>160021</xdr:rowOff>
    </xdr:from>
    <xdr:to>
      <xdr:col>15</xdr:col>
      <xdr:colOff>419100</xdr:colOff>
      <xdr:row>9</xdr:row>
      <xdr:rowOff>153837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336A0E6-59CE-433A-8A01-11BEFF05A6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861" r="33854"/>
        <a:stretch/>
      </xdr:blipFill>
      <xdr:spPr>
        <a:xfrm>
          <a:off x="10873739" y="1257301"/>
          <a:ext cx="1592581" cy="542456"/>
        </a:xfrm>
        <a:prstGeom prst="rect">
          <a:avLst/>
        </a:prstGeom>
      </xdr:spPr>
    </xdr:pic>
    <xdr:clientData/>
  </xdr:twoCellAnchor>
  <xdr:twoCellAnchor editAs="oneCell">
    <xdr:from>
      <xdr:col>15</xdr:col>
      <xdr:colOff>83819</xdr:colOff>
      <xdr:row>6</xdr:row>
      <xdr:rowOff>144781</xdr:rowOff>
    </xdr:from>
    <xdr:to>
      <xdr:col>16</xdr:col>
      <xdr:colOff>784860</xdr:colOff>
      <xdr:row>9</xdr:row>
      <xdr:rowOff>138597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7BA3AEE-8574-4FAD-B840-426A3CA3E3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149"/>
        <a:stretch/>
      </xdr:blipFill>
      <xdr:spPr>
        <a:xfrm>
          <a:off x="12131039" y="1242061"/>
          <a:ext cx="1493521" cy="5424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327660</xdr:colOff>
      <xdr:row>4</xdr:row>
      <xdr:rowOff>132557</xdr:rowOff>
    </xdr:from>
    <xdr:to>
      <xdr:col>15</xdr:col>
      <xdr:colOff>282590</xdr:colOff>
      <xdr:row>7</xdr:row>
      <xdr:rowOff>38162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B8BAC1-D7EB-468C-B81B-432AFB863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3480" y="864077"/>
          <a:ext cx="4709810" cy="45424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7</xdr:row>
      <xdr:rowOff>165577</xdr:rowOff>
    </xdr:from>
    <xdr:to>
      <xdr:col>15</xdr:col>
      <xdr:colOff>335902</xdr:colOff>
      <xdr:row>11</xdr:row>
      <xdr:rowOff>33575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CD1723-9A19-4B52-8A53-AED105915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70620" y="1445737"/>
          <a:ext cx="4785982" cy="5995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712303</xdr:colOff>
      <xdr:row>3</xdr:row>
      <xdr:rowOff>166011</xdr:rowOff>
    </xdr:from>
    <xdr:to>
      <xdr:col>31</xdr:col>
      <xdr:colOff>636448</xdr:colOff>
      <xdr:row>21</xdr:row>
      <xdr:rowOff>115956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C4B0BA0-D49E-43F6-8BCA-0F9B7266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14103" y="714651"/>
          <a:ext cx="11018865" cy="3241785"/>
        </a:xfrm>
        <a:prstGeom prst="rect">
          <a:avLst/>
        </a:prstGeom>
      </xdr:spPr>
    </xdr:pic>
    <xdr:clientData/>
  </xdr:twoCellAnchor>
  <xdr:twoCellAnchor editAs="oneCell">
    <xdr:from>
      <xdr:col>17</xdr:col>
      <xdr:colOff>662609</xdr:colOff>
      <xdr:row>23</xdr:row>
      <xdr:rowOff>66262</xdr:rowOff>
    </xdr:from>
    <xdr:to>
      <xdr:col>31</xdr:col>
      <xdr:colOff>728871</xdr:colOff>
      <xdr:row>41</xdr:row>
      <xdr:rowOff>82390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1B4D79-EF0B-46BC-9639-5EF216D00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64409" y="4272502"/>
          <a:ext cx="11160982" cy="33079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259081</xdr:colOff>
      <xdr:row>0</xdr:row>
      <xdr:rowOff>99060</xdr:rowOff>
    </xdr:from>
    <xdr:to>
      <xdr:col>8</xdr:col>
      <xdr:colOff>777241</xdr:colOff>
      <xdr:row>19</xdr:row>
      <xdr:rowOff>170117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92C973-9B45-4A6F-A2C3-AD52E54B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1" y="99060"/>
          <a:ext cx="6858000" cy="3545777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20</xdr:row>
      <xdr:rowOff>15241</xdr:rowOff>
    </xdr:from>
    <xdr:to>
      <xdr:col>9</xdr:col>
      <xdr:colOff>0</xdr:colOff>
      <xdr:row>42</xdr:row>
      <xdr:rowOff>94543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C8F6BD-24D8-489B-9DC6-12AC5445E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1" y="3672841"/>
          <a:ext cx="6964679" cy="4102662"/>
        </a:xfrm>
        <a:prstGeom prst="rect">
          <a:avLst/>
        </a:prstGeom>
      </xdr:spPr>
    </xdr:pic>
    <xdr:clientData/>
  </xdr:twoCellAnchor>
  <xdr:twoCellAnchor editAs="oneCell">
    <xdr:from>
      <xdr:col>0</xdr:col>
      <xdr:colOff>12653</xdr:colOff>
      <xdr:row>42</xdr:row>
      <xdr:rowOff>121058</xdr:rowOff>
    </xdr:from>
    <xdr:to>
      <xdr:col>9</xdr:col>
      <xdr:colOff>230038</xdr:colOff>
      <xdr:row>63</xdr:row>
      <xdr:rowOff>176902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E315D73-B244-4EFD-AC52-848DF2DE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3" y="7802018"/>
          <a:ext cx="7349705" cy="389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20419</xdr:rowOff>
    </xdr:from>
    <xdr:to>
      <xdr:col>9</xdr:col>
      <xdr:colOff>258793</xdr:colOff>
      <xdr:row>86</xdr:row>
      <xdr:rowOff>119050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F5F165-2EAE-4E3E-953D-FE66AD2F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24739"/>
          <a:ext cx="7391113" cy="4121991"/>
        </a:xfrm>
        <a:prstGeom prst="rect">
          <a:avLst/>
        </a:prstGeom>
      </xdr:spPr>
    </xdr:pic>
    <xdr:clientData/>
  </xdr:twoCellAnchor>
  <xdr:twoCellAnchor editAs="oneCell">
    <xdr:from>
      <xdr:col>0</xdr:col>
      <xdr:colOff>115019</xdr:colOff>
      <xdr:row>85</xdr:row>
      <xdr:rowOff>115018</xdr:rowOff>
    </xdr:from>
    <xdr:to>
      <xdr:col>9</xdr:col>
      <xdr:colOff>359435</xdr:colOff>
      <xdr:row>106</xdr:row>
      <xdr:rowOff>136214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F8D1A4C-ECB4-4772-BEFB-E5757EAE0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019" y="15659818"/>
          <a:ext cx="7376736" cy="3861676"/>
        </a:xfrm>
        <a:prstGeom prst="rect">
          <a:avLst/>
        </a:prstGeom>
      </xdr:spPr>
    </xdr:pic>
    <xdr:clientData/>
  </xdr:twoCellAnchor>
  <xdr:twoCellAnchor editAs="oneCell">
    <xdr:from>
      <xdr:col>9</xdr:col>
      <xdr:colOff>316303</xdr:colOff>
      <xdr:row>0</xdr:row>
      <xdr:rowOff>143775</xdr:rowOff>
    </xdr:from>
    <xdr:to>
      <xdr:col>18</xdr:col>
      <xdr:colOff>158152</xdr:colOff>
      <xdr:row>21</xdr:row>
      <xdr:rowOff>71452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50A0850-B212-4265-818E-D265615C2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8623" y="143775"/>
          <a:ext cx="6974169" cy="3768157"/>
        </a:xfrm>
        <a:prstGeom prst="rect">
          <a:avLst/>
        </a:prstGeom>
      </xdr:spPr>
    </xdr:pic>
    <xdr:clientData/>
  </xdr:twoCellAnchor>
  <xdr:twoCellAnchor editAs="oneCell">
    <xdr:from>
      <xdr:col>9</xdr:col>
      <xdr:colOff>249383</xdr:colOff>
      <xdr:row>21</xdr:row>
      <xdr:rowOff>166254</xdr:rowOff>
    </xdr:from>
    <xdr:to>
      <xdr:col>18</xdr:col>
      <xdr:colOff>221673</xdr:colOff>
      <xdr:row>43</xdr:row>
      <xdr:rowOff>81132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3D3664-8883-4B6D-AE47-8AC92BF36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1703" y="4006734"/>
          <a:ext cx="7104610" cy="3938238"/>
        </a:xfrm>
        <a:prstGeom prst="rect">
          <a:avLst/>
        </a:prstGeom>
      </xdr:spPr>
    </xdr:pic>
    <xdr:clientData/>
  </xdr:twoCellAnchor>
  <xdr:twoCellAnchor editAs="oneCell">
    <xdr:from>
      <xdr:col>9</xdr:col>
      <xdr:colOff>290948</xdr:colOff>
      <xdr:row>43</xdr:row>
      <xdr:rowOff>152401</xdr:rowOff>
    </xdr:from>
    <xdr:to>
      <xdr:col>18</xdr:col>
      <xdr:colOff>166254</xdr:colOff>
      <xdr:row>64</xdr:row>
      <xdr:rowOff>118643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7E3F531-5842-49FC-85BD-56773CC06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3268" y="8016241"/>
          <a:ext cx="7007626" cy="3806722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304799</xdr:colOff>
      <xdr:row>64</xdr:row>
      <xdr:rowOff>124692</xdr:rowOff>
    </xdr:from>
    <xdr:to>
      <xdr:col>18</xdr:col>
      <xdr:colOff>96981</xdr:colOff>
      <xdr:row>85</xdr:row>
      <xdr:rowOff>76968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2A34AA4-2E94-4B9A-A6BF-5BB1577C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37119" y="11829012"/>
          <a:ext cx="6924502" cy="3792756"/>
        </a:xfrm>
        <a:prstGeom prst="rect">
          <a:avLst/>
        </a:prstGeom>
      </xdr:spPr>
    </xdr:pic>
    <xdr:clientData/>
  </xdr:twoCellAnchor>
  <xdr:twoCellAnchor editAs="oneCell">
    <xdr:from>
      <xdr:col>9</xdr:col>
      <xdr:colOff>429490</xdr:colOff>
      <xdr:row>85</xdr:row>
      <xdr:rowOff>152401</xdr:rowOff>
    </xdr:from>
    <xdr:to>
      <xdr:col>18</xdr:col>
      <xdr:colOff>0</xdr:colOff>
      <xdr:row>108</xdr:row>
      <xdr:rowOff>10500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03BB2C4-7B53-4DA1-B2FF-A5BC00E2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61810" y="15697201"/>
          <a:ext cx="6702830" cy="4064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3DF29-C799-4C30-B257-E43A1CB3A674}">
  <dimension ref="B2:K24"/>
  <sheetViews>
    <sheetView workbookViewId="0">
      <selection activeCell="K19" sqref="K19"/>
    </sheetView>
  </sheetViews>
  <sheetFormatPr baseColWidth="10" defaultRowHeight="14.4" x14ac:dyDescent="0.3"/>
  <cols>
    <col min="8" max="8" width="16.21875" customWidth="1"/>
  </cols>
  <sheetData>
    <row r="2" spans="2:11" x14ac:dyDescent="0.3">
      <c r="B2" s="1" t="s">
        <v>0</v>
      </c>
      <c r="C2" s="1" t="s">
        <v>1</v>
      </c>
      <c r="E2" s="3" t="s">
        <v>2</v>
      </c>
    </row>
    <row r="3" spans="2:11" x14ac:dyDescent="0.3">
      <c r="B3" s="2">
        <v>12</v>
      </c>
      <c r="C3" s="2">
        <v>11.4</v>
      </c>
      <c r="E3" t="s">
        <v>3</v>
      </c>
    </row>
    <row r="4" spans="2:11" x14ac:dyDescent="0.3">
      <c r="B4" s="2">
        <v>12.5</v>
      </c>
      <c r="C4" s="2">
        <v>12.2</v>
      </c>
      <c r="E4" t="s">
        <v>4</v>
      </c>
    </row>
    <row r="5" spans="2:11" x14ac:dyDescent="0.3">
      <c r="B5" s="2">
        <v>13</v>
      </c>
      <c r="C5" s="2">
        <v>11</v>
      </c>
      <c r="E5" s="43" t="s">
        <v>5</v>
      </c>
      <c r="F5" s="43"/>
      <c r="G5">
        <v>0.05</v>
      </c>
    </row>
    <row r="6" spans="2:11" x14ac:dyDescent="0.3">
      <c r="B6" s="2">
        <v>13.5</v>
      </c>
      <c r="C6" s="2">
        <v>13.3</v>
      </c>
    </row>
    <row r="7" spans="2:11" x14ac:dyDescent="0.3">
      <c r="B7" s="2">
        <v>11.7</v>
      </c>
      <c r="C7" s="2">
        <v>12.6</v>
      </c>
      <c r="E7" s="43" t="s">
        <v>6</v>
      </c>
      <c r="F7" s="43"/>
    </row>
    <row r="8" spans="2:11" ht="15" thickBot="1" x14ac:dyDescent="0.35">
      <c r="B8">
        <v>12.8</v>
      </c>
      <c r="C8">
        <v>19.399999999999999</v>
      </c>
    </row>
    <row r="9" spans="2:11" ht="15" thickBot="1" x14ac:dyDescent="0.35">
      <c r="B9">
        <v>13.6</v>
      </c>
      <c r="C9">
        <v>11.1</v>
      </c>
      <c r="E9" s="5" t="s">
        <v>8</v>
      </c>
      <c r="F9" s="5" t="s">
        <v>9</v>
      </c>
      <c r="H9" s="44" t="s">
        <v>14</v>
      </c>
      <c r="I9" s="45"/>
      <c r="J9" s="45"/>
      <c r="K9" s="46"/>
    </row>
    <row r="10" spans="2:11" ht="15" thickBot="1" x14ac:dyDescent="0.35">
      <c r="B10">
        <v>12.9</v>
      </c>
      <c r="C10">
        <v>20</v>
      </c>
      <c r="E10" s="5" t="s">
        <v>7</v>
      </c>
      <c r="F10" s="21">
        <f>MEDIAN(B:C)</f>
        <v>12.95</v>
      </c>
      <c r="H10" s="7"/>
      <c r="I10" s="8"/>
      <c r="J10" s="9" t="str">
        <f>B2</f>
        <v>MUESTRA 1</v>
      </c>
      <c r="K10" s="10" t="str">
        <f>C2</f>
        <v>MUESTRA 2</v>
      </c>
    </row>
    <row r="11" spans="2:11" ht="15" thickBot="1" x14ac:dyDescent="0.35">
      <c r="C11">
        <v>11.9</v>
      </c>
      <c r="E11" s="5" t="s">
        <v>10</v>
      </c>
      <c r="F11" s="5">
        <f>J13</f>
        <v>8</v>
      </c>
      <c r="H11" s="11" t="s">
        <v>15</v>
      </c>
      <c r="I11" s="12">
        <f>F10</f>
        <v>12.95</v>
      </c>
      <c r="J11" s="13">
        <f>COUNTIF(B:B, "&gt; "&amp;F10)</f>
        <v>3</v>
      </c>
      <c r="K11" s="14">
        <f>COUNTIF(C:C, "&gt; "&amp;F10)</f>
        <v>8</v>
      </c>
    </row>
    <row r="12" spans="2:11" ht="15" thickBot="1" x14ac:dyDescent="0.35">
      <c r="C12">
        <v>15.2</v>
      </c>
      <c r="E12" s="5" t="s">
        <v>11</v>
      </c>
      <c r="F12" s="5">
        <f>K13</f>
        <v>14</v>
      </c>
      <c r="H12" s="15" t="s">
        <v>16</v>
      </c>
      <c r="I12" s="16">
        <f>F10</f>
        <v>12.95</v>
      </c>
      <c r="J12" s="17">
        <f>COUNTIF(B:B, "&lt;= "&amp;F10)</f>
        <v>5</v>
      </c>
      <c r="K12" s="18">
        <f>COUNTIF(C:C, "&lt;= "&amp;F10)</f>
        <v>6</v>
      </c>
    </row>
    <row r="13" spans="2:11" ht="15" thickBot="1" x14ac:dyDescent="0.35">
      <c r="C13">
        <v>14.7</v>
      </c>
      <c r="E13" s="5" t="s">
        <v>12</v>
      </c>
      <c r="F13" s="5">
        <f>J11</f>
        <v>3</v>
      </c>
      <c r="H13" s="47" t="s">
        <v>17</v>
      </c>
      <c r="I13" s="48"/>
      <c r="J13" s="19">
        <f>SUM(J11:J12)</f>
        <v>8</v>
      </c>
      <c r="K13" s="20">
        <f>SUM(K11:K12)</f>
        <v>14</v>
      </c>
    </row>
    <row r="14" spans="2:11" x14ac:dyDescent="0.3">
      <c r="C14">
        <v>13.6</v>
      </c>
      <c r="E14" s="6" t="s">
        <v>13</v>
      </c>
      <c r="F14" s="5">
        <f>K11</f>
        <v>8</v>
      </c>
    </row>
    <row r="15" spans="2:11" x14ac:dyDescent="0.3">
      <c r="C15">
        <v>18.2</v>
      </c>
      <c r="E15" s="6" t="s">
        <v>19</v>
      </c>
      <c r="F15" s="5">
        <f>F11+F12</f>
        <v>22</v>
      </c>
    </row>
    <row r="16" spans="2:11" x14ac:dyDescent="0.3">
      <c r="C16">
        <v>15.5</v>
      </c>
      <c r="E16" s="6" t="s">
        <v>20</v>
      </c>
      <c r="F16" s="5">
        <f>F13+F14</f>
        <v>11</v>
      </c>
    </row>
    <row r="18" spans="5:9" x14ac:dyDescent="0.3">
      <c r="E18" s="5" t="s">
        <v>18</v>
      </c>
      <c r="F18" s="5">
        <f>(COMBIN(F11,F13)*COMBIN(F12,F14))/COMBIN(F15,F16)</f>
        <v>0.23839009287925692</v>
      </c>
    </row>
    <row r="20" spans="5:9" x14ac:dyDescent="0.3">
      <c r="E20" s="50" t="s">
        <v>21</v>
      </c>
      <c r="F20" s="50"/>
      <c r="G20" s="49" t="s">
        <v>22</v>
      </c>
      <c r="H20" s="49"/>
      <c r="I20" s="49"/>
    </row>
    <row r="22" spans="5:9" x14ac:dyDescent="0.3">
      <c r="E22" t="s">
        <v>23</v>
      </c>
      <c r="F22">
        <f>F18</f>
        <v>0.23839009287925692</v>
      </c>
      <c r="G22" s="4" t="s">
        <v>24</v>
      </c>
      <c r="H22">
        <f>G5</f>
        <v>0.05</v>
      </c>
    </row>
    <row r="24" spans="5:9" x14ac:dyDescent="0.3">
      <c r="E24" s="3" t="s">
        <v>25</v>
      </c>
      <c r="F24" t="s">
        <v>26</v>
      </c>
    </row>
  </sheetData>
  <mergeCells count="6">
    <mergeCell ref="E5:F5"/>
    <mergeCell ref="E7:F7"/>
    <mergeCell ref="H9:K9"/>
    <mergeCell ref="H13:I13"/>
    <mergeCell ref="G20:I20"/>
    <mergeCell ref="E20:F2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C5F1-82B7-4ECD-891C-A28F95AC8A51}">
  <dimension ref="B2:K29"/>
  <sheetViews>
    <sheetView workbookViewId="0">
      <selection activeCell="P9" sqref="P9"/>
    </sheetView>
  </sheetViews>
  <sheetFormatPr baseColWidth="10" defaultRowHeight="14.4" x14ac:dyDescent="0.3"/>
  <cols>
    <col min="8" max="8" width="14.6640625" customWidth="1"/>
  </cols>
  <sheetData>
    <row r="2" spans="2:11" x14ac:dyDescent="0.3">
      <c r="B2" s="1" t="s">
        <v>0</v>
      </c>
      <c r="C2" s="1" t="s">
        <v>1</v>
      </c>
      <c r="E2" s="3" t="s">
        <v>2</v>
      </c>
    </row>
    <row r="3" spans="2:11" x14ac:dyDescent="0.3">
      <c r="B3" s="2">
        <v>13.2</v>
      </c>
      <c r="C3" s="2">
        <v>15.6</v>
      </c>
      <c r="E3" t="s">
        <v>3</v>
      </c>
    </row>
    <row r="4" spans="2:11" x14ac:dyDescent="0.3">
      <c r="B4" s="2">
        <v>11.7</v>
      </c>
      <c r="C4" s="2">
        <v>17.2</v>
      </c>
      <c r="E4" t="s">
        <v>4</v>
      </c>
    </row>
    <row r="5" spans="2:11" x14ac:dyDescent="0.3">
      <c r="B5" s="2">
        <v>12.9</v>
      </c>
      <c r="C5" s="2">
        <v>10</v>
      </c>
      <c r="E5" s="43" t="s">
        <v>5</v>
      </c>
      <c r="F5" s="43"/>
      <c r="G5">
        <v>0.05</v>
      </c>
    </row>
    <row r="6" spans="2:11" x14ac:dyDescent="0.3">
      <c r="B6" s="2">
        <v>11.3</v>
      </c>
      <c r="C6" s="2">
        <v>13.6</v>
      </c>
    </row>
    <row r="7" spans="2:11" x14ac:dyDescent="0.3">
      <c r="B7" s="2">
        <v>14.7</v>
      </c>
      <c r="C7" s="2">
        <v>12.8</v>
      </c>
      <c r="E7" s="43" t="s">
        <v>6</v>
      </c>
      <c r="F7" s="43"/>
    </row>
    <row r="8" spans="2:11" ht="15" thickBot="1" x14ac:dyDescent="0.35">
      <c r="B8" s="2">
        <v>12.8</v>
      </c>
      <c r="C8" s="2">
        <v>11.2</v>
      </c>
    </row>
    <row r="9" spans="2:11" ht="15" thickBot="1" x14ac:dyDescent="0.35">
      <c r="B9" s="2">
        <v>15.7</v>
      </c>
      <c r="C9" s="2">
        <v>13.7</v>
      </c>
      <c r="E9" s="5" t="s">
        <v>8</v>
      </c>
      <c r="F9" s="5" t="s">
        <v>9</v>
      </c>
      <c r="H9" s="44" t="s">
        <v>14</v>
      </c>
      <c r="I9" s="45"/>
      <c r="J9" s="45"/>
      <c r="K9" s="46"/>
    </row>
    <row r="10" spans="2:11" ht="15" thickBot="1" x14ac:dyDescent="0.35">
      <c r="B10" s="2">
        <v>12.4</v>
      </c>
      <c r="C10" s="2">
        <v>12</v>
      </c>
      <c r="E10" s="5" t="s">
        <v>7</v>
      </c>
      <c r="F10" s="21">
        <f>MEDIAN(B:C)</f>
        <v>13.2</v>
      </c>
      <c r="H10" s="7"/>
      <c r="I10" s="8"/>
      <c r="J10" s="9" t="str">
        <f>B2</f>
        <v>MUESTRA 1</v>
      </c>
      <c r="K10" s="10" t="str">
        <f>C2</f>
        <v>MUESTRA 2</v>
      </c>
    </row>
    <row r="11" spans="2:11" ht="15" thickBot="1" x14ac:dyDescent="0.35">
      <c r="B11" s="2">
        <v>16.8</v>
      </c>
      <c r="C11" s="2">
        <v>11.5</v>
      </c>
      <c r="E11" s="5" t="s">
        <v>10</v>
      </c>
      <c r="F11" s="5">
        <f>J13</f>
        <v>19</v>
      </c>
      <c r="H11" s="11" t="s">
        <v>15</v>
      </c>
      <c r="I11" s="12">
        <f>F10</f>
        <v>13.2</v>
      </c>
      <c r="J11" s="13">
        <f>COUNTIF(B:B, "&gt; "&amp;F10)</f>
        <v>7</v>
      </c>
      <c r="K11" s="14">
        <f>COUNTIF(C:C, "&gt; "&amp;F10)</f>
        <v>15</v>
      </c>
    </row>
    <row r="12" spans="2:11" ht="15" thickBot="1" x14ac:dyDescent="0.35">
      <c r="B12" s="2">
        <v>15.6</v>
      </c>
      <c r="C12" s="2">
        <v>12.7</v>
      </c>
      <c r="E12" s="5" t="s">
        <v>11</v>
      </c>
      <c r="F12" s="5">
        <f>K13</f>
        <v>27</v>
      </c>
      <c r="H12" s="15" t="s">
        <v>16</v>
      </c>
      <c r="I12" s="16">
        <f>F10</f>
        <v>13.2</v>
      </c>
      <c r="J12" s="17">
        <f>COUNTIF(B:B, "&lt;= "&amp;F10)</f>
        <v>12</v>
      </c>
      <c r="K12" s="18">
        <f>COUNTIF(C:C, "&lt;= "&amp;F10)</f>
        <v>12</v>
      </c>
    </row>
    <row r="13" spans="2:11" ht="15" thickBot="1" x14ac:dyDescent="0.35">
      <c r="B13" s="2">
        <v>12.9</v>
      </c>
      <c r="C13" s="2">
        <v>16.600000000000001</v>
      </c>
      <c r="E13" s="5" t="s">
        <v>12</v>
      </c>
      <c r="F13" s="5">
        <f>J11</f>
        <v>7</v>
      </c>
      <c r="H13" s="47" t="s">
        <v>17</v>
      </c>
      <c r="I13" s="48"/>
      <c r="J13" s="19">
        <f>SUM(J11:J12)</f>
        <v>19</v>
      </c>
      <c r="K13" s="20">
        <f>SUM(K11:K12)</f>
        <v>27</v>
      </c>
    </row>
    <row r="14" spans="2:11" x14ac:dyDescent="0.3">
      <c r="B14" s="2">
        <v>10.5</v>
      </c>
      <c r="C14" s="2">
        <v>12.5</v>
      </c>
      <c r="E14" s="6" t="s">
        <v>13</v>
      </c>
      <c r="F14" s="5">
        <f>K11</f>
        <v>15</v>
      </c>
    </row>
    <row r="15" spans="2:11" x14ac:dyDescent="0.3">
      <c r="B15" s="2">
        <v>12.1</v>
      </c>
      <c r="C15" s="2">
        <v>13</v>
      </c>
      <c r="E15" s="6" t="s">
        <v>28</v>
      </c>
      <c r="F15" s="5">
        <f>J11</f>
        <v>7</v>
      </c>
      <c r="K15" t="s">
        <v>32</v>
      </c>
    </row>
    <row r="16" spans="2:11" x14ac:dyDescent="0.3">
      <c r="B16" s="2">
        <v>13.2</v>
      </c>
      <c r="C16" s="2">
        <v>16.600000000000001</v>
      </c>
      <c r="E16" s="6" t="s">
        <v>27</v>
      </c>
      <c r="F16" s="5">
        <f>K11</f>
        <v>15</v>
      </c>
    </row>
    <row r="17" spans="2:9" x14ac:dyDescent="0.3">
      <c r="B17" s="2">
        <v>11.6</v>
      </c>
      <c r="C17" s="2">
        <v>14.7</v>
      </c>
      <c r="E17" s="6" t="s">
        <v>29</v>
      </c>
      <c r="F17" s="5">
        <f>J12</f>
        <v>12</v>
      </c>
    </row>
    <row r="18" spans="2:9" x14ac:dyDescent="0.3">
      <c r="B18" s="2">
        <v>17.600000000000001</v>
      </c>
      <c r="C18" s="2">
        <v>19.600000000000001</v>
      </c>
      <c r="E18" s="6" t="s">
        <v>30</v>
      </c>
      <c r="F18" s="5">
        <f>K12</f>
        <v>12</v>
      </c>
    </row>
    <row r="19" spans="2:9" x14ac:dyDescent="0.3">
      <c r="B19" s="2">
        <v>19.100000000000001</v>
      </c>
      <c r="C19" s="2">
        <v>15</v>
      </c>
      <c r="E19" s="6" t="s">
        <v>33</v>
      </c>
      <c r="F19" s="5">
        <f>F11+F12</f>
        <v>46</v>
      </c>
    </row>
    <row r="20" spans="2:9" x14ac:dyDescent="0.3">
      <c r="B20" s="2">
        <v>17.5</v>
      </c>
      <c r="C20" s="2">
        <v>17.399999999999999</v>
      </c>
    </row>
    <row r="21" spans="2:9" x14ac:dyDescent="0.3">
      <c r="B21" s="2">
        <v>12.6</v>
      </c>
      <c r="C21" s="2">
        <v>19.3</v>
      </c>
      <c r="E21" s="5" t="s">
        <v>31</v>
      </c>
      <c r="F21" s="5">
        <f>(F19*(F15*F18-F16*F17)^2)/((F15+F16)*(F17+F18)*(F15+F17)*(F16+F18))</f>
        <v>1.5651249335459863</v>
      </c>
    </row>
    <row r="22" spans="2:9" x14ac:dyDescent="0.3">
      <c r="B22" s="2"/>
      <c r="C22" s="2">
        <v>16</v>
      </c>
      <c r="E22" s="6" t="s">
        <v>35</v>
      </c>
      <c r="F22" s="5">
        <f>(F19*(ABS(F15*F18-F16*F17)-F19/2)^2)/((F15+F16)*(F17+F18)*(F15+F17)*(F16+F18))</f>
        <v>0.90500767913048619</v>
      </c>
      <c r="I22" s="23"/>
    </row>
    <row r="23" spans="2:9" x14ac:dyDescent="0.3">
      <c r="C23">
        <v>12.5</v>
      </c>
    </row>
    <row r="24" spans="2:9" x14ac:dyDescent="0.3">
      <c r="C24">
        <v>11.6</v>
      </c>
      <c r="E24" s="51" t="s">
        <v>21</v>
      </c>
      <c r="F24" s="51"/>
      <c r="G24" s="52" t="s">
        <v>34</v>
      </c>
      <c r="H24" s="52"/>
    </row>
    <row r="25" spans="2:9" x14ac:dyDescent="0.3">
      <c r="C25">
        <v>15</v>
      </c>
    </row>
    <row r="26" spans="2:9" x14ac:dyDescent="0.3">
      <c r="C26">
        <v>12.6</v>
      </c>
      <c r="E26" t="s">
        <v>23</v>
      </c>
      <c r="F26">
        <f>F21</f>
        <v>1.5651249335459863</v>
      </c>
      <c r="G26" s="4" t="s">
        <v>36</v>
      </c>
      <c r="H26">
        <f>_xlfn.CHISQ.INV(1-G5,1)</f>
        <v>3.8414588206941236</v>
      </c>
    </row>
    <row r="27" spans="2:9" x14ac:dyDescent="0.3">
      <c r="C27">
        <v>18.600000000000001</v>
      </c>
      <c r="E27" t="s">
        <v>23</v>
      </c>
      <c r="F27">
        <f>F22</f>
        <v>0.90500767913048619</v>
      </c>
      <c r="G27" s="4" t="s">
        <v>36</v>
      </c>
      <c r="H27">
        <f>_xlfn.CHISQ.INV(1-G5,1)</f>
        <v>3.8414588206941236</v>
      </c>
    </row>
    <row r="28" spans="2:9" x14ac:dyDescent="0.3">
      <c r="C28">
        <v>16.7</v>
      </c>
    </row>
    <row r="29" spans="2:9" x14ac:dyDescent="0.3">
      <c r="C29">
        <v>11</v>
      </c>
      <c r="E29" s="3" t="s">
        <v>25</v>
      </c>
      <c r="F29" t="s">
        <v>26</v>
      </c>
    </row>
  </sheetData>
  <mergeCells count="6">
    <mergeCell ref="E24:F24"/>
    <mergeCell ref="G24:H24"/>
    <mergeCell ref="E5:F5"/>
    <mergeCell ref="E7:F7"/>
    <mergeCell ref="H9:K9"/>
    <mergeCell ref="H13:I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885E1-F655-4D3D-B151-6812DF0AC979}">
  <dimension ref="B2:K49"/>
  <sheetViews>
    <sheetView workbookViewId="0">
      <selection activeCell="F17" sqref="F17"/>
    </sheetView>
  </sheetViews>
  <sheetFormatPr baseColWidth="10" defaultRowHeight="14.4" x14ac:dyDescent="0.3"/>
  <cols>
    <col min="8" max="8" width="14.6640625" customWidth="1"/>
  </cols>
  <sheetData>
    <row r="2" spans="2:11" x14ac:dyDescent="0.3">
      <c r="B2" s="1" t="s">
        <v>0</v>
      </c>
      <c r="C2" s="1" t="s">
        <v>1</v>
      </c>
      <c r="E2" s="3" t="s">
        <v>2</v>
      </c>
    </row>
    <row r="3" spans="2:11" x14ac:dyDescent="0.3">
      <c r="B3" s="2">
        <v>18.3</v>
      </c>
      <c r="C3" s="2">
        <v>19.100000000000001</v>
      </c>
      <c r="E3" t="s">
        <v>3</v>
      </c>
    </row>
    <row r="4" spans="2:11" x14ac:dyDescent="0.3">
      <c r="B4" s="2">
        <v>13.2</v>
      </c>
      <c r="C4" s="2">
        <v>16.2</v>
      </c>
      <c r="E4" t="s">
        <v>4</v>
      </c>
    </row>
    <row r="5" spans="2:11" x14ac:dyDescent="0.3">
      <c r="B5" s="2">
        <v>18.600000000000001</v>
      </c>
      <c r="C5" s="2">
        <v>16.8</v>
      </c>
      <c r="E5" s="43" t="s">
        <v>5</v>
      </c>
      <c r="F5" s="43"/>
      <c r="G5">
        <v>0.05</v>
      </c>
    </row>
    <row r="6" spans="2:11" x14ac:dyDescent="0.3">
      <c r="B6" s="2">
        <v>10.5</v>
      </c>
      <c r="C6" s="2">
        <v>20</v>
      </c>
    </row>
    <row r="7" spans="2:11" x14ac:dyDescent="0.3">
      <c r="B7" s="2">
        <v>12</v>
      </c>
      <c r="C7" s="2">
        <v>15.3</v>
      </c>
      <c r="E7" s="43" t="s">
        <v>6</v>
      </c>
      <c r="F7" s="43"/>
    </row>
    <row r="8" spans="2:11" ht="15" thickBot="1" x14ac:dyDescent="0.35">
      <c r="B8" s="2">
        <v>19.2</v>
      </c>
      <c r="C8" s="2">
        <v>16.8</v>
      </c>
    </row>
    <row r="9" spans="2:11" ht="15" thickBot="1" x14ac:dyDescent="0.35">
      <c r="B9" s="2">
        <v>19.7</v>
      </c>
      <c r="C9" s="2">
        <v>20</v>
      </c>
      <c r="E9" s="5" t="s">
        <v>8</v>
      </c>
      <c r="F9" s="5" t="s">
        <v>9</v>
      </c>
      <c r="H9" s="44" t="s">
        <v>14</v>
      </c>
      <c r="I9" s="45"/>
      <c r="J9" s="45"/>
      <c r="K9" s="46"/>
    </row>
    <row r="10" spans="2:11" ht="15" thickBot="1" x14ac:dyDescent="0.35">
      <c r="B10" s="2">
        <v>13.7</v>
      </c>
      <c r="C10" s="2">
        <v>16.2</v>
      </c>
      <c r="E10" s="5" t="s">
        <v>7</v>
      </c>
      <c r="F10" s="21">
        <f>MEDIAN(B:C)</f>
        <v>15.45</v>
      </c>
      <c r="H10" s="7"/>
      <c r="I10" s="8"/>
      <c r="J10" s="9" t="str">
        <f>B2</f>
        <v>MUESTRA 1</v>
      </c>
      <c r="K10" s="10" t="str">
        <f>C2</f>
        <v>MUESTRA 2</v>
      </c>
    </row>
    <row r="11" spans="2:11" ht="15" thickBot="1" x14ac:dyDescent="0.35">
      <c r="B11" s="2">
        <v>20.8</v>
      </c>
      <c r="C11" s="2">
        <v>17.399999999999999</v>
      </c>
      <c r="E11" s="5" t="s">
        <v>10</v>
      </c>
      <c r="F11" s="5">
        <f>J13</f>
        <v>43</v>
      </c>
      <c r="H11" s="11" t="s">
        <v>15</v>
      </c>
      <c r="I11" s="12">
        <f>F10</f>
        <v>15.45</v>
      </c>
      <c r="J11" s="13">
        <f>COUNTIF(B:B, "&gt; "&amp;F10)</f>
        <v>18</v>
      </c>
      <c r="K11" s="14">
        <f>COUNTIF(C:C, "&gt; "&amp;F10)</f>
        <v>27</v>
      </c>
    </row>
    <row r="12" spans="2:11" ht="15" thickBot="1" x14ac:dyDescent="0.35">
      <c r="B12" s="2">
        <v>19.3</v>
      </c>
      <c r="C12" s="2">
        <v>13.5</v>
      </c>
      <c r="E12" s="5" t="s">
        <v>11</v>
      </c>
      <c r="F12" s="5">
        <f>K13</f>
        <v>47</v>
      </c>
      <c r="H12" s="15" t="s">
        <v>16</v>
      </c>
      <c r="I12" s="16">
        <f>F10</f>
        <v>15.45</v>
      </c>
      <c r="J12" s="17">
        <f>COUNTIF(B:B, "&lt;= "&amp;F10)</f>
        <v>25</v>
      </c>
      <c r="K12" s="18">
        <f>COUNTIF(C:C, "&lt;= "&amp;F10)</f>
        <v>20</v>
      </c>
    </row>
    <row r="13" spans="2:11" ht="15" thickBot="1" x14ac:dyDescent="0.35">
      <c r="B13" s="2">
        <v>19.100000000000001</v>
      </c>
      <c r="C13" s="2">
        <v>12.5</v>
      </c>
      <c r="E13" s="5" t="s">
        <v>12</v>
      </c>
      <c r="F13" s="5">
        <f>J11</f>
        <v>18</v>
      </c>
      <c r="H13" s="47" t="s">
        <v>17</v>
      </c>
      <c r="I13" s="48"/>
      <c r="J13" s="19">
        <f>SUM(J11:J12)</f>
        <v>43</v>
      </c>
      <c r="K13" s="20">
        <f>SUM(K11:K12)</f>
        <v>47</v>
      </c>
    </row>
    <row r="14" spans="2:11" x14ac:dyDescent="0.3">
      <c r="B14" s="2">
        <v>16.7</v>
      </c>
      <c r="C14" s="2">
        <v>20</v>
      </c>
      <c r="E14" s="6" t="s">
        <v>13</v>
      </c>
      <c r="F14" s="5">
        <f>K11</f>
        <v>27</v>
      </c>
    </row>
    <row r="15" spans="2:11" x14ac:dyDescent="0.3">
      <c r="B15" s="2">
        <v>12.4</v>
      </c>
      <c r="C15" s="2">
        <v>17.100000000000001</v>
      </c>
      <c r="E15" s="6" t="s">
        <v>37</v>
      </c>
      <c r="F15" s="5">
        <f>(F13+F14)/(F11+F12)</f>
        <v>0.5</v>
      </c>
    </row>
    <row r="16" spans="2:11" x14ac:dyDescent="0.3">
      <c r="B16" s="2">
        <v>20</v>
      </c>
      <c r="C16" s="2">
        <v>19.7</v>
      </c>
      <c r="E16" s="6" t="s">
        <v>38</v>
      </c>
      <c r="F16" s="5">
        <f>((F13/F11)+(F14/F12))/(SQRT((1/F11 + 1/F12) *F15 * (1-F15)))</f>
        <v>9.4118057818470895</v>
      </c>
    </row>
    <row r="17" spans="2:9" x14ac:dyDescent="0.3">
      <c r="B17" s="2">
        <v>17.100000000000001</v>
      </c>
      <c r="C17" s="2">
        <v>10</v>
      </c>
      <c r="E17" s="25"/>
      <c r="F17" s="26"/>
    </row>
    <row r="18" spans="2:9" x14ac:dyDescent="0.3">
      <c r="B18" s="2">
        <v>12.5</v>
      </c>
      <c r="C18" s="2">
        <v>13.1</v>
      </c>
      <c r="E18" s="25"/>
      <c r="F18" s="26"/>
    </row>
    <row r="19" spans="2:9" x14ac:dyDescent="0.3">
      <c r="B19" s="2">
        <v>14.3</v>
      </c>
      <c r="C19" s="2">
        <v>18.5</v>
      </c>
      <c r="E19" s="25"/>
      <c r="F19" s="26"/>
    </row>
    <row r="20" spans="2:9" x14ac:dyDescent="0.3">
      <c r="B20" s="2">
        <v>20</v>
      </c>
      <c r="C20" s="2">
        <v>16.8</v>
      </c>
      <c r="E20" s="24" t="s">
        <v>21</v>
      </c>
      <c r="F20" s="24"/>
      <c r="G20" s="23" t="s">
        <v>39</v>
      </c>
      <c r="H20" s="23"/>
    </row>
    <row r="21" spans="2:9" x14ac:dyDescent="0.3">
      <c r="B21" s="2">
        <v>12.8</v>
      </c>
      <c r="C21" s="2">
        <v>13.9</v>
      </c>
    </row>
    <row r="22" spans="2:9" x14ac:dyDescent="0.3">
      <c r="B22" s="2">
        <v>18.8</v>
      </c>
      <c r="C22" s="2">
        <v>14.4</v>
      </c>
      <c r="E22" t="s">
        <v>23</v>
      </c>
      <c r="F22">
        <f>F16</f>
        <v>9.4118057818470895</v>
      </c>
      <c r="G22" s="4" t="s">
        <v>36</v>
      </c>
      <c r="H22" s="27">
        <f>NORMSINV(1-G5/2)</f>
        <v>1.9599639845400536</v>
      </c>
      <c r="I22" s="23"/>
    </row>
    <row r="23" spans="2:9" x14ac:dyDescent="0.3">
      <c r="B23" s="28">
        <v>15</v>
      </c>
      <c r="C23">
        <v>19.600000000000001</v>
      </c>
      <c r="G23" s="4"/>
    </row>
    <row r="24" spans="2:9" x14ac:dyDescent="0.3">
      <c r="B24" s="28">
        <v>13.1</v>
      </c>
      <c r="C24">
        <v>12.8</v>
      </c>
      <c r="E24" s="3" t="s">
        <v>25</v>
      </c>
      <c r="F24" t="s">
        <v>26</v>
      </c>
    </row>
    <row r="25" spans="2:9" x14ac:dyDescent="0.3">
      <c r="B25" s="28">
        <v>11.2</v>
      </c>
      <c r="C25">
        <v>16.2</v>
      </c>
    </row>
    <row r="26" spans="2:9" x14ac:dyDescent="0.3">
      <c r="B26" s="28">
        <v>14.8</v>
      </c>
      <c r="C26">
        <v>10.1</v>
      </c>
    </row>
    <row r="27" spans="2:9" x14ac:dyDescent="0.3">
      <c r="B27" s="28">
        <v>13.6</v>
      </c>
      <c r="C27">
        <v>18.7</v>
      </c>
    </row>
    <row r="28" spans="2:9" x14ac:dyDescent="0.3">
      <c r="B28" s="28">
        <v>10.9</v>
      </c>
      <c r="C28">
        <v>16.399999999999999</v>
      </c>
    </row>
    <row r="29" spans="2:9" x14ac:dyDescent="0.3">
      <c r="B29" s="28">
        <v>18.5</v>
      </c>
      <c r="C29">
        <v>17.7</v>
      </c>
    </row>
    <row r="30" spans="2:9" x14ac:dyDescent="0.3">
      <c r="B30" s="28">
        <v>17.399999999999999</v>
      </c>
      <c r="C30">
        <v>13.8</v>
      </c>
    </row>
    <row r="31" spans="2:9" x14ac:dyDescent="0.3">
      <c r="B31" s="28">
        <v>13.1</v>
      </c>
      <c r="C31">
        <v>19.2</v>
      </c>
    </row>
    <row r="32" spans="2:9" x14ac:dyDescent="0.3">
      <c r="B32" s="28">
        <v>10.5</v>
      </c>
      <c r="C32">
        <v>11.7</v>
      </c>
    </row>
    <row r="33" spans="2:3" x14ac:dyDescent="0.3">
      <c r="B33" s="28">
        <v>10.7</v>
      </c>
      <c r="C33">
        <v>10.8</v>
      </c>
    </row>
    <row r="34" spans="2:3" x14ac:dyDescent="0.3">
      <c r="B34" s="28">
        <v>15.3</v>
      </c>
      <c r="C34">
        <v>17.899999999999999</v>
      </c>
    </row>
    <row r="35" spans="2:3" x14ac:dyDescent="0.3">
      <c r="B35" s="28">
        <v>16.8</v>
      </c>
      <c r="C35">
        <v>10.4</v>
      </c>
    </row>
    <row r="36" spans="2:3" x14ac:dyDescent="0.3">
      <c r="B36">
        <v>10</v>
      </c>
      <c r="C36">
        <v>15.6</v>
      </c>
    </row>
    <row r="37" spans="2:3" x14ac:dyDescent="0.3">
      <c r="B37">
        <v>14.6</v>
      </c>
      <c r="C37">
        <v>16.7</v>
      </c>
    </row>
    <row r="38" spans="2:3" x14ac:dyDescent="0.3">
      <c r="B38">
        <v>20</v>
      </c>
      <c r="C38">
        <v>13.1</v>
      </c>
    </row>
    <row r="39" spans="2:3" x14ac:dyDescent="0.3">
      <c r="B39">
        <v>18.3</v>
      </c>
      <c r="C39">
        <v>19.2</v>
      </c>
    </row>
    <row r="40" spans="2:3" x14ac:dyDescent="0.3">
      <c r="B40">
        <v>10.5</v>
      </c>
      <c r="C40">
        <v>9.9</v>
      </c>
    </row>
    <row r="41" spans="2:3" x14ac:dyDescent="0.3">
      <c r="B41">
        <v>11.7</v>
      </c>
      <c r="C41">
        <v>11.6</v>
      </c>
    </row>
    <row r="42" spans="2:3" x14ac:dyDescent="0.3">
      <c r="B42">
        <v>14.8</v>
      </c>
      <c r="C42">
        <v>14.3</v>
      </c>
    </row>
    <row r="43" spans="2:3" x14ac:dyDescent="0.3">
      <c r="B43">
        <v>12.9</v>
      </c>
      <c r="C43">
        <v>10</v>
      </c>
    </row>
    <row r="44" spans="2:3" x14ac:dyDescent="0.3">
      <c r="B44">
        <v>20</v>
      </c>
      <c r="C44">
        <v>17.100000000000001</v>
      </c>
    </row>
    <row r="45" spans="2:3" x14ac:dyDescent="0.3">
      <c r="B45">
        <v>14.3</v>
      </c>
      <c r="C45">
        <v>16.7</v>
      </c>
    </row>
    <row r="46" spans="2:3" x14ac:dyDescent="0.3">
      <c r="C46">
        <v>19</v>
      </c>
    </row>
    <row r="47" spans="2:3" x14ac:dyDescent="0.3">
      <c r="C47">
        <v>12.7</v>
      </c>
    </row>
    <row r="48" spans="2:3" x14ac:dyDescent="0.3">
      <c r="C48">
        <v>14.6</v>
      </c>
    </row>
    <row r="49" spans="3:3" x14ac:dyDescent="0.3">
      <c r="C49">
        <v>20</v>
      </c>
    </row>
  </sheetData>
  <mergeCells count="4">
    <mergeCell ref="E5:F5"/>
    <mergeCell ref="E7:F7"/>
    <mergeCell ref="H9:K9"/>
    <mergeCell ref="H13:I1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5E3F-0B54-453A-932D-0E90685E2C29}">
  <dimension ref="B2:O62"/>
  <sheetViews>
    <sheetView workbookViewId="0">
      <selection activeCell="F33" sqref="F33:F62"/>
    </sheetView>
  </sheetViews>
  <sheetFormatPr baseColWidth="10" defaultRowHeight="14.4" x14ac:dyDescent="0.3"/>
  <cols>
    <col min="2" max="2" width="21" customWidth="1"/>
  </cols>
  <sheetData>
    <row r="2" spans="2:12" x14ac:dyDescent="0.3">
      <c r="B2" s="1" t="s">
        <v>40</v>
      </c>
      <c r="C2" s="1" t="s">
        <v>41</v>
      </c>
      <c r="D2" s="1" t="s">
        <v>42</v>
      </c>
      <c r="F2" s="34" t="s">
        <v>9</v>
      </c>
      <c r="G2" s="34" t="s">
        <v>43</v>
      </c>
      <c r="J2" s="3" t="s">
        <v>2</v>
      </c>
    </row>
    <row r="3" spans="2:12" x14ac:dyDescent="0.3">
      <c r="B3" s="29">
        <v>1</v>
      </c>
      <c r="C3" s="30">
        <v>13.2</v>
      </c>
      <c r="D3" s="31">
        <v>15.6</v>
      </c>
      <c r="F3" s="30">
        <v>13.2</v>
      </c>
      <c r="G3">
        <f>_xlfn.RANK.AVG(F3,F$3:F$62,1)</f>
        <v>23.5</v>
      </c>
      <c r="J3" t="s">
        <v>3</v>
      </c>
    </row>
    <row r="4" spans="2:12" x14ac:dyDescent="0.3">
      <c r="B4" s="29">
        <v>2</v>
      </c>
      <c r="C4" s="30">
        <v>11.7</v>
      </c>
      <c r="D4" s="31">
        <v>17.2</v>
      </c>
      <c r="F4" s="30">
        <v>11.7</v>
      </c>
      <c r="G4">
        <f t="shared" ref="G4:G62" si="0">_xlfn.RANK.AVG(F4,F$3:F$62,1)</f>
        <v>9</v>
      </c>
      <c r="J4" t="s">
        <v>4</v>
      </c>
    </row>
    <row r="5" spans="2:12" x14ac:dyDescent="0.3">
      <c r="B5" s="29">
        <v>3</v>
      </c>
      <c r="C5" s="30">
        <v>12.9</v>
      </c>
      <c r="D5" s="31">
        <v>10</v>
      </c>
      <c r="F5" s="30">
        <v>12.9</v>
      </c>
      <c r="G5">
        <f t="shared" si="0"/>
        <v>20.5</v>
      </c>
      <c r="J5" s="43" t="s">
        <v>5</v>
      </c>
      <c r="K5" s="43"/>
      <c r="L5">
        <v>0.05</v>
      </c>
    </row>
    <row r="6" spans="2:12" x14ac:dyDescent="0.3">
      <c r="B6" s="29">
        <v>4</v>
      </c>
      <c r="C6" s="30">
        <v>11.3</v>
      </c>
      <c r="D6" s="31">
        <v>13.6</v>
      </c>
      <c r="F6" s="30">
        <v>11.3</v>
      </c>
      <c r="G6">
        <f t="shared" si="0"/>
        <v>5</v>
      </c>
    </row>
    <row r="7" spans="2:12" x14ac:dyDescent="0.3">
      <c r="B7" s="29">
        <v>5</v>
      </c>
      <c r="C7" s="30">
        <v>14.7</v>
      </c>
      <c r="D7" s="31">
        <v>12.8</v>
      </c>
      <c r="F7" s="30">
        <v>14.7</v>
      </c>
      <c r="G7">
        <f t="shared" si="0"/>
        <v>27.5</v>
      </c>
      <c r="J7" s="3" t="s">
        <v>6</v>
      </c>
    </row>
    <row r="8" spans="2:12" x14ac:dyDescent="0.3">
      <c r="B8" s="29">
        <v>6</v>
      </c>
      <c r="C8" s="30">
        <v>12.8</v>
      </c>
      <c r="D8" s="31">
        <v>11.2</v>
      </c>
      <c r="F8" s="30">
        <v>12.8</v>
      </c>
      <c r="G8">
        <f t="shared" si="0"/>
        <v>18.5</v>
      </c>
      <c r="J8" s="5" t="s">
        <v>10</v>
      </c>
      <c r="K8" s="5">
        <f>COUNT(C:C)</f>
        <v>19</v>
      </c>
    </row>
    <row r="9" spans="2:12" x14ac:dyDescent="0.3">
      <c r="B9" s="29">
        <v>7</v>
      </c>
      <c r="C9" s="30">
        <v>15.7</v>
      </c>
      <c r="D9" s="31">
        <v>13.7</v>
      </c>
      <c r="F9" s="30">
        <v>15.7</v>
      </c>
      <c r="G9">
        <f t="shared" si="0"/>
        <v>33</v>
      </c>
      <c r="J9" s="5" t="s">
        <v>11</v>
      </c>
      <c r="K9" s="5">
        <f>COUNT(D:D)</f>
        <v>27</v>
      </c>
    </row>
    <row r="10" spans="2:12" x14ac:dyDescent="0.3">
      <c r="B10" s="29">
        <v>8</v>
      </c>
      <c r="C10" s="30">
        <v>12.4</v>
      </c>
      <c r="D10" s="31">
        <v>12</v>
      </c>
      <c r="F10" s="30">
        <v>12.4</v>
      </c>
      <c r="G10">
        <f t="shared" si="0"/>
        <v>12</v>
      </c>
      <c r="J10" s="5" t="s">
        <v>44</v>
      </c>
      <c r="K10" s="5">
        <f>SUMIF(G3:G32,"&gt;=0")</f>
        <v>425.5</v>
      </c>
    </row>
    <row r="11" spans="2:12" x14ac:dyDescent="0.3">
      <c r="B11" s="29">
        <v>9</v>
      </c>
      <c r="C11" s="30">
        <v>16.8</v>
      </c>
      <c r="D11" s="31">
        <v>11.5</v>
      </c>
      <c r="F11" s="30">
        <v>16.8</v>
      </c>
      <c r="G11">
        <f t="shared" si="0"/>
        <v>38</v>
      </c>
      <c r="J11" s="5" t="s">
        <v>45</v>
      </c>
      <c r="K11" s="5">
        <f>SUMIF(G33:G62,"&gt;=0")</f>
        <v>655.5</v>
      </c>
    </row>
    <row r="12" spans="2:12" x14ac:dyDescent="0.3">
      <c r="B12" s="29">
        <v>10</v>
      </c>
      <c r="C12" s="30">
        <v>15.6</v>
      </c>
      <c r="D12" s="31">
        <v>12.7</v>
      </c>
      <c r="F12" s="30">
        <v>15.6</v>
      </c>
      <c r="G12">
        <f t="shared" si="0"/>
        <v>31.5</v>
      </c>
      <c r="J12" s="5" t="s">
        <v>46</v>
      </c>
      <c r="K12" s="5">
        <f>K10- (K8*(K8+1))/2</f>
        <v>235.5</v>
      </c>
    </row>
    <row r="13" spans="2:12" x14ac:dyDescent="0.3">
      <c r="B13" s="29">
        <v>11</v>
      </c>
      <c r="C13" s="30">
        <v>12.9</v>
      </c>
      <c r="D13" s="31">
        <v>16.600000000000001</v>
      </c>
      <c r="F13" s="30">
        <v>12.9</v>
      </c>
      <c r="G13">
        <f t="shared" si="0"/>
        <v>20.5</v>
      </c>
      <c r="J13" s="5" t="s">
        <v>47</v>
      </c>
      <c r="K13" s="5">
        <f>K11- (K9*(K9+1))/2</f>
        <v>277.5</v>
      </c>
    </row>
    <row r="14" spans="2:12" x14ac:dyDescent="0.3">
      <c r="B14" s="29">
        <v>12</v>
      </c>
      <c r="C14" s="30">
        <v>10.5</v>
      </c>
      <c r="D14" s="31">
        <v>12.5</v>
      </c>
      <c r="F14" s="30">
        <v>10.5</v>
      </c>
      <c r="G14">
        <f t="shared" si="0"/>
        <v>2</v>
      </c>
      <c r="J14" s="5" t="s">
        <v>48</v>
      </c>
      <c r="K14" s="5">
        <f>MIN(K12:K13)</f>
        <v>235.5</v>
      </c>
    </row>
    <row r="15" spans="2:12" x14ac:dyDescent="0.3">
      <c r="B15" s="29">
        <v>13</v>
      </c>
      <c r="C15" s="30">
        <v>12.1</v>
      </c>
      <c r="D15" s="31">
        <v>13</v>
      </c>
      <c r="F15" s="30">
        <v>12.1</v>
      </c>
      <c r="G15">
        <f t="shared" si="0"/>
        <v>11</v>
      </c>
    </row>
    <row r="16" spans="2:12" x14ac:dyDescent="0.3">
      <c r="B16" s="29">
        <v>14</v>
      </c>
      <c r="C16" s="30">
        <v>13.2</v>
      </c>
      <c r="D16" s="31">
        <v>16.600000000000001</v>
      </c>
      <c r="F16" s="30">
        <v>13.2</v>
      </c>
      <c r="G16">
        <f t="shared" si="0"/>
        <v>23.5</v>
      </c>
    </row>
    <row r="17" spans="2:15" x14ac:dyDescent="0.3">
      <c r="B17" s="29">
        <v>15</v>
      </c>
      <c r="C17" s="30">
        <v>11.6</v>
      </c>
      <c r="D17" s="31">
        <v>14.7</v>
      </c>
      <c r="F17" s="30">
        <v>11.6</v>
      </c>
      <c r="G17">
        <f t="shared" si="0"/>
        <v>7.5</v>
      </c>
      <c r="J17" s="3" t="s">
        <v>49</v>
      </c>
      <c r="K17" t="s">
        <v>50</v>
      </c>
      <c r="L17" t="s">
        <v>54</v>
      </c>
      <c r="M17" s="35">
        <v>30</v>
      </c>
    </row>
    <row r="18" spans="2:15" x14ac:dyDescent="0.3">
      <c r="B18" s="29">
        <v>16</v>
      </c>
      <c r="C18" s="30">
        <v>17.600000000000001</v>
      </c>
      <c r="D18" s="31">
        <v>19.600000000000001</v>
      </c>
      <c r="F18" s="30">
        <v>17.600000000000001</v>
      </c>
      <c r="G18">
        <f t="shared" si="0"/>
        <v>42</v>
      </c>
    </row>
    <row r="19" spans="2:15" x14ac:dyDescent="0.3">
      <c r="B19" s="29">
        <v>17</v>
      </c>
      <c r="C19" s="30">
        <v>19.100000000000001</v>
      </c>
      <c r="D19" s="31">
        <v>15</v>
      </c>
      <c r="F19" s="30">
        <v>19.100000000000001</v>
      </c>
      <c r="G19">
        <f t="shared" si="0"/>
        <v>44</v>
      </c>
      <c r="J19" s="43" t="s">
        <v>21</v>
      </c>
      <c r="K19" s="43"/>
      <c r="L19" t="s">
        <v>51</v>
      </c>
      <c r="M19">
        <f>K14</f>
        <v>235.5</v>
      </c>
      <c r="N19" s="36" t="s">
        <v>52</v>
      </c>
      <c r="O19">
        <f>M17</f>
        <v>30</v>
      </c>
    </row>
    <row r="20" spans="2:15" x14ac:dyDescent="0.3">
      <c r="B20" s="29">
        <v>18</v>
      </c>
      <c r="C20" s="30">
        <v>17.5</v>
      </c>
      <c r="D20" s="31">
        <v>17.399999999999999</v>
      </c>
      <c r="F20" s="30">
        <v>17.5</v>
      </c>
      <c r="G20">
        <f t="shared" si="0"/>
        <v>41</v>
      </c>
    </row>
    <row r="21" spans="2:15" x14ac:dyDescent="0.3">
      <c r="B21" s="29">
        <v>19</v>
      </c>
      <c r="C21" s="30">
        <v>12.6</v>
      </c>
      <c r="D21" s="31">
        <v>19.3</v>
      </c>
      <c r="F21" s="30">
        <v>12.6</v>
      </c>
      <c r="G21">
        <f t="shared" si="0"/>
        <v>15.5</v>
      </c>
      <c r="J21" s="3" t="s">
        <v>25</v>
      </c>
      <c r="K21" t="s">
        <v>53</v>
      </c>
    </row>
    <row r="22" spans="2:15" x14ac:dyDescent="0.3">
      <c r="B22" s="29">
        <v>20</v>
      </c>
      <c r="C22" s="30"/>
      <c r="D22" s="31">
        <v>16</v>
      </c>
      <c r="F22" s="30"/>
      <c r="G22" t="e">
        <f t="shared" si="0"/>
        <v>#N/A</v>
      </c>
    </row>
    <row r="23" spans="2:15" x14ac:dyDescent="0.3">
      <c r="C23" s="32"/>
      <c r="D23" s="33">
        <v>12.5</v>
      </c>
      <c r="F23" s="32"/>
      <c r="G23" t="e">
        <f t="shared" si="0"/>
        <v>#N/A</v>
      </c>
    </row>
    <row r="24" spans="2:15" x14ac:dyDescent="0.3">
      <c r="C24" s="32"/>
      <c r="D24" s="33">
        <v>11.6</v>
      </c>
      <c r="F24" s="32"/>
      <c r="G24" t="e">
        <f t="shared" si="0"/>
        <v>#N/A</v>
      </c>
    </row>
    <row r="25" spans="2:15" x14ac:dyDescent="0.3">
      <c r="C25" s="32"/>
      <c r="D25" s="33">
        <v>15</v>
      </c>
      <c r="F25" s="32"/>
      <c r="G25" t="e">
        <f t="shared" si="0"/>
        <v>#N/A</v>
      </c>
    </row>
    <row r="26" spans="2:15" x14ac:dyDescent="0.3">
      <c r="C26" s="32"/>
      <c r="D26" s="33">
        <v>12.6</v>
      </c>
      <c r="F26" s="32"/>
      <c r="G26" t="e">
        <f t="shared" si="0"/>
        <v>#N/A</v>
      </c>
    </row>
    <row r="27" spans="2:15" x14ac:dyDescent="0.3">
      <c r="C27" s="32"/>
      <c r="D27" s="33">
        <v>18.600000000000001</v>
      </c>
      <c r="F27" s="32"/>
      <c r="G27" t="e">
        <f t="shared" si="0"/>
        <v>#N/A</v>
      </c>
    </row>
    <row r="28" spans="2:15" x14ac:dyDescent="0.3">
      <c r="C28" s="32"/>
      <c r="D28" s="33">
        <v>16.7</v>
      </c>
      <c r="F28" s="32"/>
      <c r="G28" t="e">
        <f t="shared" si="0"/>
        <v>#N/A</v>
      </c>
    </row>
    <row r="29" spans="2:15" x14ac:dyDescent="0.3">
      <c r="C29" s="32"/>
      <c r="D29" s="33">
        <v>11</v>
      </c>
      <c r="F29" s="32"/>
      <c r="G29" t="e">
        <f t="shared" si="0"/>
        <v>#N/A</v>
      </c>
    </row>
    <row r="30" spans="2:15" x14ac:dyDescent="0.3">
      <c r="C30" s="32"/>
      <c r="D30" s="33"/>
      <c r="F30" s="32"/>
      <c r="G30" t="e">
        <f t="shared" si="0"/>
        <v>#N/A</v>
      </c>
    </row>
    <row r="31" spans="2:15" x14ac:dyDescent="0.3">
      <c r="C31" s="32"/>
      <c r="D31" s="33"/>
      <c r="F31" s="32"/>
      <c r="G31" t="e">
        <f t="shared" si="0"/>
        <v>#N/A</v>
      </c>
    </row>
    <row r="32" spans="2:15" x14ac:dyDescent="0.3">
      <c r="C32" s="32"/>
      <c r="D32" s="33"/>
      <c r="F32" s="32"/>
      <c r="G32" t="e">
        <f t="shared" si="0"/>
        <v>#N/A</v>
      </c>
    </row>
    <row r="33" spans="6:7" x14ac:dyDescent="0.3">
      <c r="F33" s="31">
        <v>15.6</v>
      </c>
      <c r="G33">
        <f t="shared" si="0"/>
        <v>31.5</v>
      </c>
    </row>
    <row r="34" spans="6:7" x14ac:dyDescent="0.3">
      <c r="F34" s="31">
        <v>17.2</v>
      </c>
      <c r="G34">
        <f t="shared" si="0"/>
        <v>39</v>
      </c>
    </row>
    <row r="35" spans="6:7" x14ac:dyDescent="0.3">
      <c r="F35" s="31">
        <v>10</v>
      </c>
      <c r="G35">
        <f t="shared" si="0"/>
        <v>1</v>
      </c>
    </row>
    <row r="36" spans="6:7" x14ac:dyDescent="0.3">
      <c r="F36" s="31">
        <v>13.6</v>
      </c>
      <c r="G36">
        <f t="shared" si="0"/>
        <v>25</v>
      </c>
    </row>
    <row r="37" spans="6:7" x14ac:dyDescent="0.3">
      <c r="F37" s="31">
        <v>12.8</v>
      </c>
      <c r="G37">
        <f t="shared" si="0"/>
        <v>18.5</v>
      </c>
    </row>
    <row r="38" spans="6:7" x14ac:dyDescent="0.3">
      <c r="F38" s="31">
        <v>11.2</v>
      </c>
      <c r="G38">
        <f t="shared" si="0"/>
        <v>4</v>
      </c>
    </row>
    <row r="39" spans="6:7" x14ac:dyDescent="0.3">
      <c r="F39" s="31">
        <v>13.7</v>
      </c>
      <c r="G39">
        <f t="shared" si="0"/>
        <v>26</v>
      </c>
    </row>
    <row r="40" spans="6:7" x14ac:dyDescent="0.3">
      <c r="F40" s="31">
        <v>12</v>
      </c>
      <c r="G40">
        <f t="shared" si="0"/>
        <v>10</v>
      </c>
    </row>
    <row r="41" spans="6:7" x14ac:dyDescent="0.3">
      <c r="F41" s="31">
        <v>11.5</v>
      </c>
      <c r="G41">
        <f t="shared" si="0"/>
        <v>6</v>
      </c>
    </row>
    <row r="42" spans="6:7" x14ac:dyDescent="0.3">
      <c r="F42" s="31">
        <v>12.7</v>
      </c>
      <c r="G42">
        <f t="shared" si="0"/>
        <v>17</v>
      </c>
    </row>
    <row r="43" spans="6:7" x14ac:dyDescent="0.3">
      <c r="F43" s="31">
        <v>16.600000000000001</v>
      </c>
      <c r="G43">
        <f t="shared" si="0"/>
        <v>35.5</v>
      </c>
    </row>
    <row r="44" spans="6:7" x14ac:dyDescent="0.3">
      <c r="F44" s="31">
        <v>12.5</v>
      </c>
      <c r="G44">
        <f t="shared" si="0"/>
        <v>13.5</v>
      </c>
    </row>
    <row r="45" spans="6:7" x14ac:dyDescent="0.3">
      <c r="F45" s="31">
        <v>13</v>
      </c>
      <c r="G45">
        <f t="shared" si="0"/>
        <v>22</v>
      </c>
    </row>
    <row r="46" spans="6:7" x14ac:dyDescent="0.3">
      <c r="F46" s="31">
        <v>16.600000000000001</v>
      </c>
      <c r="G46">
        <f t="shared" si="0"/>
        <v>35.5</v>
      </c>
    </row>
    <row r="47" spans="6:7" x14ac:dyDescent="0.3">
      <c r="F47" s="31">
        <v>14.7</v>
      </c>
      <c r="G47">
        <f t="shared" si="0"/>
        <v>27.5</v>
      </c>
    </row>
    <row r="48" spans="6:7" x14ac:dyDescent="0.3">
      <c r="F48" s="31">
        <v>19.600000000000001</v>
      </c>
      <c r="G48">
        <f t="shared" si="0"/>
        <v>46</v>
      </c>
    </row>
    <row r="49" spans="6:7" x14ac:dyDescent="0.3">
      <c r="F49" s="31">
        <v>15</v>
      </c>
      <c r="G49">
        <f t="shared" si="0"/>
        <v>29.5</v>
      </c>
    </row>
    <row r="50" spans="6:7" x14ac:dyDescent="0.3">
      <c r="F50" s="31">
        <v>17.399999999999999</v>
      </c>
      <c r="G50">
        <f t="shared" si="0"/>
        <v>40</v>
      </c>
    </row>
    <row r="51" spans="6:7" x14ac:dyDescent="0.3">
      <c r="F51" s="31">
        <v>19.3</v>
      </c>
      <c r="G51">
        <f t="shared" si="0"/>
        <v>45</v>
      </c>
    </row>
    <row r="52" spans="6:7" x14ac:dyDescent="0.3">
      <c r="F52" s="31">
        <v>16</v>
      </c>
      <c r="G52">
        <f t="shared" si="0"/>
        <v>34</v>
      </c>
    </row>
    <row r="53" spans="6:7" x14ac:dyDescent="0.3">
      <c r="F53" s="33">
        <v>12.5</v>
      </c>
      <c r="G53">
        <f t="shared" si="0"/>
        <v>13.5</v>
      </c>
    </row>
    <row r="54" spans="6:7" x14ac:dyDescent="0.3">
      <c r="F54" s="33">
        <v>11.6</v>
      </c>
      <c r="G54">
        <f t="shared" si="0"/>
        <v>7.5</v>
      </c>
    </row>
    <row r="55" spans="6:7" x14ac:dyDescent="0.3">
      <c r="F55" s="33">
        <v>15</v>
      </c>
      <c r="G55">
        <f t="shared" si="0"/>
        <v>29.5</v>
      </c>
    </row>
    <row r="56" spans="6:7" x14ac:dyDescent="0.3">
      <c r="F56" s="33">
        <v>12.6</v>
      </c>
      <c r="G56">
        <f t="shared" si="0"/>
        <v>15.5</v>
      </c>
    </row>
    <row r="57" spans="6:7" x14ac:dyDescent="0.3">
      <c r="F57" s="33">
        <v>18.600000000000001</v>
      </c>
      <c r="G57">
        <f t="shared" si="0"/>
        <v>43</v>
      </c>
    </row>
    <row r="58" spans="6:7" x14ac:dyDescent="0.3">
      <c r="F58" s="33">
        <v>16.7</v>
      </c>
      <c r="G58">
        <f t="shared" si="0"/>
        <v>37</v>
      </c>
    </row>
    <row r="59" spans="6:7" x14ac:dyDescent="0.3">
      <c r="F59" s="33">
        <v>11</v>
      </c>
      <c r="G59">
        <f t="shared" si="0"/>
        <v>3</v>
      </c>
    </row>
    <row r="60" spans="6:7" x14ac:dyDescent="0.3">
      <c r="F60" s="33"/>
      <c r="G60" t="e">
        <f t="shared" si="0"/>
        <v>#N/A</v>
      </c>
    </row>
    <row r="61" spans="6:7" x14ac:dyDescent="0.3">
      <c r="F61" s="33"/>
      <c r="G61" t="e">
        <f t="shared" si="0"/>
        <v>#N/A</v>
      </c>
    </row>
    <row r="62" spans="6:7" x14ac:dyDescent="0.3">
      <c r="F62" s="33"/>
      <c r="G62" t="e">
        <f t="shared" si="0"/>
        <v>#N/A</v>
      </c>
    </row>
  </sheetData>
  <mergeCells count="2">
    <mergeCell ref="J19:K19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55114-7638-4398-9188-157D12E88875}">
  <dimension ref="B2:R62"/>
  <sheetViews>
    <sheetView topLeftCell="F10" workbookViewId="0">
      <selection activeCell="K19" sqref="K19"/>
    </sheetView>
  </sheetViews>
  <sheetFormatPr baseColWidth="10" defaultRowHeight="14.4" x14ac:dyDescent="0.3"/>
  <cols>
    <col min="10" max="10" width="13.88671875" customWidth="1"/>
  </cols>
  <sheetData>
    <row r="2" spans="2:18" x14ac:dyDescent="0.3">
      <c r="B2" s="1" t="s">
        <v>40</v>
      </c>
      <c r="C2" s="1" t="s">
        <v>41</v>
      </c>
      <c r="D2" s="1" t="s">
        <v>42</v>
      </c>
      <c r="F2" s="34" t="s">
        <v>9</v>
      </c>
      <c r="G2" s="34" t="s">
        <v>43</v>
      </c>
      <c r="J2" s="3" t="s">
        <v>2</v>
      </c>
    </row>
    <row r="3" spans="2:18" x14ac:dyDescent="0.3">
      <c r="B3" s="29">
        <v>1</v>
      </c>
      <c r="C3" s="30">
        <v>13.2</v>
      </c>
      <c r="D3" s="31">
        <v>15.6</v>
      </c>
      <c r="F3" s="30">
        <v>13.2</v>
      </c>
      <c r="G3">
        <f>_xlfn.RANK.AVG(F3,F$3:F$62,1)</f>
        <v>23.5</v>
      </c>
      <c r="H3" t="b">
        <f>COUNTIF(F$3:F$68, F3) &gt;= 2</f>
        <v>1</v>
      </c>
      <c r="J3" t="s">
        <v>3</v>
      </c>
      <c r="R3" s="39">
        <f>IF(H3=TRUE, F3, "")</f>
        <v>13.2</v>
      </c>
    </row>
    <row r="4" spans="2:18" x14ac:dyDescent="0.3">
      <c r="B4" s="29">
        <v>2</v>
      </c>
      <c r="C4" s="30">
        <v>11.7</v>
      </c>
      <c r="D4" s="31">
        <v>17.2</v>
      </c>
      <c r="F4" s="30">
        <v>11.7</v>
      </c>
      <c r="G4">
        <f t="shared" ref="G4:G62" si="0">_xlfn.RANK.AVG(F4,F$3:F$62,1)</f>
        <v>9</v>
      </c>
      <c r="H4" t="b">
        <f t="shared" ref="H4:H62" si="1">COUNTIF(F$3:F$68, F4) &gt;= 2</f>
        <v>0</v>
      </c>
      <c r="J4" t="s">
        <v>4</v>
      </c>
      <c r="R4" s="39" t="str">
        <f t="shared" ref="R4:R62" si="2">IF(H4=TRUE, F4, "")</f>
        <v/>
      </c>
    </row>
    <row r="5" spans="2:18" x14ac:dyDescent="0.3">
      <c r="B5" s="29">
        <v>3</v>
      </c>
      <c r="C5" s="30">
        <v>12.9</v>
      </c>
      <c r="D5" s="31">
        <v>10</v>
      </c>
      <c r="F5" s="30">
        <v>12.9</v>
      </c>
      <c r="G5">
        <f t="shared" si="0"/>
        <v>20.5</v>
      </c>
      <c r="H5" t="b">
        <f t="shared" si="1"/>
        <v>1</v>
      </c>
      <c r="J5" s="43" t="s">
        <v>5</v>
      </c>
      <c r="K5" s="43"/>
      <c r="L5">
        <v>0.05</v>
      </c>
      <c r="R5" s="39">
        <f t="shared" si="2"/>
        <v>12.9</v>
      </c>
    </row>
    <row r="6" spans="2:18" x14ac:dyDescent="0.3">
      <c r="B6" s="29">
        <v>4</v>
      </c>
      <c r="C6" s="30">
        <v>11.3</v>
      </c>
      <c r="D6" s="31">
        <v>13.6</v>
      </c>
      <c r="F6" s="30">
        <v>11.3</v>
      </c>
      <c r="G6">
        <f t="shared" si="0"/>
        <v>5</v>
      </c>
      <c r="H6" t="b">
        <f t="shared" si="1"/>
        <v>0</v>
      </c>
      <c r="R6" s="39" t="str">
        <f t="shared" si="2"/>
        <v/>
      </c>
    </row>
    <row r="7" spans="2:18" x14ac:dyDescent="0.3">
      <c r="B7" s="29">
        <v>5</v>
      </c>
      <c r="C7" s="30">
        <v>14.7</v>
      </c>
      <c r="D7" s="31">
        <v>12.8</v>
      </c>
      <c r="F7" s="30">
        <v>14.7</v>
      </c>
      <c r="G7">
        <f t="shared" si="0"/>
        <v>27.5</v>
      </c>
      <c r="H7" t="b">
        <f t="shared" si="1"/>
        <v>1</v>
      </c>
      <c r="J7" s="3" t="s">
        <v>6</v>
      </c>
      <c r="R7" s="39">
        <f t="shared" si="2"/>
        <v>14.7</v>
      </c>
    </row>
    <row r="8" spans="2:18" x14ac:dyDescent="0.3">
      <c r="B8" s="29">
        <v>6</v>
      </c>
      <c r="C8" s="30">
        <v>12.8</v>
      </c>
      <c r="D8" s="31">
        <v>11.2</v>
      </c>
      <c r="F8" s="30">
        <v>12.8</v>
      </c>
      <c r="G8">
        <f t="shared" si="0"/>
        <v>18.5</v>
      </c>
      <c r="H8" t="b">
        <f t="shared" si="1"/>
        <v>1</v>
      </c>
      <c r="J8" s="5" t="s">
        <v>10</v>
      </c>
      <c r="K8" s="5">
        <f>COUNT(C:C)</f>
        <v>19</v>
      </c>
      <c r="R8" s="39">
        <f t="shared" si="2"/>
        <v>12.8</v>
      </c>
    </row>
    <row r="9" spans="2:18" x14ac:dyDescent="0.3">
      <c r="B9" s="29">
        <v>7</v>
      </c>
      <c r="C9" s="30">
        <v>15.7</v>
      </c>
      <c r="D9" s="31">
        <v>13.7</v>
      </c>
      <c r="F9" s="30">
        <v>15.7</v>
      </c>
      <c r="G9">
        <f t="shared" si="0"/>
        <v>33</v>
      </c>
      <c r="H9" t="b">
        <f t="shared" si="1"/>
        <v>0</v>
      </c>
      <c r="J9" s="5" t="s">
        <v>11</v>
      </c>
      <c r="K9" s="5">
        <f>COUNT(D:D)</f>
        <v>27</v>
      </c>
      <c r="R9" s="39" t="str">
        <f t="shared" si="2"/>
        <v/>
      </c>
    </row>
    <row r="10" spans="2:18" x14ac:dyDescent="0.3">
      <c r="B10" s="29">
        <v>8</v>
      </c>
      <c r="C10" s="30">
        <v>12.4</v>
      </c>
      <c r="D10" s="31">
        <v>12</v>
      </c>
      <c r="F10" s="30">
        <v>12.4</v>
      </c>
      <c r="G10">
        <f t="shared" si="0"/>
        <v>12</v>
      </c>
      <c r="H10" t="b">
        <f t="shared" si="1"/>
        <v>0</v>
      </c>
      <c r="J10" s="5" t="s">
        <v>44</v>
      </c>
      <c r="K10" s="5">
        <f>SUMIF(G3:G32,"&gt;=0")</f>
        <v>425.5</v>
      </c>
      <c r="R10" s="39" t="str">
        <f t="shared" si="2"/>
        <v/>
      </c>
    </row>
    <row r="11" spans="2:18" x14ac:dyDescent="0.3">
      <c r="B11" s="29">
        <v>9</v>
      </c>
      <c r="C11" s="30">
        <v>16.8</v>
      </c>
      <c r="D11" s="31">
        <v>11.5</v>
      </c>
      <c r="F11" s="30">
        <v>16.8</v>
      </c>
      <c r="G11">
        <f t="shared" si="0"/>
        <v>38</v>
      </c>
      <c r="H11" t="b">
        <f t="shared" si="1"/>
        <v>0</v>
      </c>
      <c r="J11" s="5" t="s">
        <v>45</v>
      </c>
      <c r="K11" s="5">
        <f>SUMIF(G33:G62,"&gt;=0")</f>
        <v>655.5</v>
      </c>
      <c r="R11" s="39" t="str">
        <f t="shared" si="2"/>
        <v/>
      </c>
    </row>
    <row r="12" spans="2:18" x14ac:dyDescent="0.3">
      <c r="B12" s="29">
        <v>10</v>
      </c>
      <c r="C12" s="30">
        <v>15.6</v>
      </c>
      <c r="D12" s="31">
        <v>12.7</v>
      </c>
      <c r="F12" s="30">
        <v>15.6</v>
      </c>
      <c r="G12">
        <f t="shared" si="0"/>
        <v>31.5</v>
      </c>
      <c r="H12" t="b">
        <f t="shared" si="1"/>
        <v>1</v>
      </c>
      <c r="J12" s="5" t="s">
        <v>46</v>
      </c>
      <c r="K12" s="5">
        <f>K10- (K8*(K8+1))/2</f>
        <v>235.5</v>
      </c>
      <c r="R12" s="39">
        <f t="shared" si="2"/>
        <v>15.6</v>
      </c>
    </row>
    <row r="13" spans="2:18" x14ac:dyDescent="0.3">
      <c r="B13" s="29">
        <v>11</v>
      </c>
      <c r="C13" s="30">
        <v>12.9</v>
      </c>
      <c r="D13" s="31">
        <v>16.600000000000001</v>
      </c>
      <c r="F13" s="30">
        <v>12.9</v>
      </c>
      <c r="G13">
        <f t="shared" si="0"/>
        <v>20.5</v>
      </c>
      <c r="H13" t="b">
        <f t="shared" si="1"/>
        <v>1</v>
      </c>
      <c r="J13" s="5" t="s">
        <v>47</v>
      </c>
      <c r="K13" s="5">
        <f>K11- (K9*(K9+1))/2</f>
        <v>277.5</v>
      </c>
      <c r="R13" s="39">
        <f t="shared" si="2"/>
        <v>12.9</v>
      </c>
    </row>
    <row r="14" spans="2:18" x14ac:dyDescent="0.3">
      <c r="B14" s="29">
        <v>12</v>
      </c>
      <c r="C14" s="30">
        <v>10.5</v>
      </c>
      <c r="D14" s="31">
        <v>12.5</v>
      </c>
      <c r="F14" s="30">
        <v>10.5</v>
      </c>
      <c r="G14">
        <f t="shared" si="0"/>
        <v>2</v>
      </c>
      <c r="H14" t="b">
        <f t="shared" si="1"/>
        <v>0</v>
      </c>
      <c r="J14" s="5" t="s">
        <v>48</v>
      </c>
      <c r="K14" s="5">
        <f>MIN(K12:K13)</f>
        <v>235.5</v>
      </c>
      <c r="N14" t="s">
        <v>57</v>
      </c>
      <c r="O14" cm="1">
        <f t="array" ref="O14">SUM(IF(COUNTIF(F3:F62, F3:F62)&gt;=2, 1/COUNTIF(F3:F62, F3:F62)))</f>
        <v>10</v>
      </c>
      <c r="R14" s="39" t="str">
        <f t="shared" si="2"/>
        <v/>
      </c>
    </row>
    <row r="15" spans="2:18" x14ac:dyDescent="0.3">
      <c r="B15" s="29">
        <v>13</v>
      </c>
      <c r="C15" s="30">
        <v>12.1</v>
      </c>
      <c r="D15" s="31">
        <v>13</v>
      </c>
      <c r="F15" s="30">
        <v>12.1</v>
      </c>
      <c r="G15">
        <f t="shared" si="0"/>
        <v>11</v>
      </c>
      <c r="H15" t="b">
        <f t="shared" si="1"/>
        <v>0</v>
      </c>
      <c r="R15" s="39" t="str">
        <f t="shared" si="2"/>
        <v/>
      </c>
    </row>
    <row r="16" spans="2:18" x14ac:dyDescent="0.3">
      <c r="B16" s="29">
        <v>14</v>
      </c>
      <c r="C16" s="30">
        <v>13.2</v>
      </c>
      <c r="D16" s="31">
        <v>16.600000000000001</v>
      </c>
      <c r="F16" s="30">
        <v>13.2</v>
      </c>
      <c r="G16">
        <f t="shared" si="0"/>
        <v>23.5</v>
      </c>
      <c r="H16" t="b">
        <f t="shared" si="1"/>
        <v>1</v>
      </c>
      <c r="J16" s="5" t="s">
        <v>48</v>
      </c>
      <c r="K16" s="5">
        <f>K14</f>
        <v>235.5</v>
      </c>
      <c r="N16" t="s">
        <v>58</v>
      </c>
      <c r="O16" s="39">
        <v>13.2</v>
      </c>
      <c r="P16">
        <f>COUNTIF($R$3:$R$62,O16)</f>
        <v>2</v>
      </c>
      <c r="Q16">
        <f>POWER(P16,3)-P16</f>
        <v>6</v>
      </c>
      <c r="R16" s="39">
        <f t="shared" si="2"/>
        <v>13.2</v>
      </c>
    </row>
    <row r="17" spans="2:18" x14ac:dyDescent="0.3">
      <c r="B17" s="29">
        <v>15</v>
      </c>
      <c r="C17" s="30">
        <v>11.6</v>
      </c>
      <c r="D17" s="31">
        <v>14.7</v>
      </c>
      <c r="F17" s="30">
        <v>11.6</v>
      </c>
      <c r="G17">
        <f t="shared" si="0"/>
        <v>7.5</v>
      </c>
      <c r="H17" t="b">
        <f t="shared" si="1"/>
        <v>1</v>
      </c>
      <c r="J17" s="37" t="s">
        <v>55</v>
      </c>
      <c r="K17" s="5">
        <f>K8*K9/2</f>
        <v>256.5</v>
      </c>
      <c r="N17" t="s">
        <v>59</v>
      </c>
      <c r="O17" s="39">
        <v>12.9</v>
      </c>
      <c r="P17">
        <f t="shared" ref="P17:P25" si="3">COUNTIF($R$3:$R$62,O17)</f>
        <v>2</v>
      </c>
      <c r="Q17">
        <f t="shared" ref="Q17:Q25" si="4">POWER(P17,3)-P17</f>
        <v>6</v>
      </c>
      <c r="R17" s="39">
        <f t="shared" si="2"/>
        <v>11.6</v>
      </c>
    </row>
    <row r="18" spans="2:18" x14ac:dyDescent="0.3">
      <c r="B18" s="29">
        <v>16</v>
      </c>
      <c r="C18" s="30">
        <v>17.600000000000001</v>
      </c>
      <c r="D18" s="31">
        <v>19.600000000000001</v>
      </c>
      <c r="F18" s="30">
        <v>17.600000000000001</v>
      </c>
      <c r="G18">
        <f t="shared" si="0"/>
        <v>42</v>
      </c>
      <c r="H18" t="b">
        <f t="shared" si="1"/>
        <v>0</v>
      </c>
      <c r="J18" s="38" t="s">
        <v>56</v>
      </c>
      <c r="K18" s="5">
        <f>SQRT((K8*K9*(K8+K9+1))/(12))</f>
        <v>44.824658392451802</v>
      </c>
      <c r="N18" t="s">
        <v>60</v>
      </c>
      <c r="O18" s="39">
        <v>14.7</v>
      </c>
      <c r="P18">
        <f t="shared" si="3"/>
        <v>2</v>
      </c>
      <c r="Q18">
        <f t="shared" si="4"/>
        <v>6</v>
      </c>
      <c r="R18" s="39" t="str">
        <f t="shared" si="2"/>
        <v/>
      </c>
    </row>
    <row r="19" spans="2:18" x14ac:dyDescent="0.3">
      <c r="B19" s="29">
        <v>17</v>
      </c>
      <c r="C19" s="30">
        <v>19.100000000000001</v>
      </c>
      <c r="D19" s="31">
        <v>15</v>
      </c>
      <c r="F19" s="30">
        <v>19.100000000000001</v>
      </c>
      <c r="G19">
        <f t="shared" si="0"/>
        <v>44</v>
      </c>
      <c r="H19" t="b">
        <f t="shared" si="1"/>
        <v>0</v>
      </c>
      <c r="J19" s="38" t="s">
        <v>67</v>
      </c>
      <c r="K19" s="5">
        <f>(K8*K9*(K8+K9+1))/(12)</f>
        <v>2009.25</v>
      </c>
      <c r="N19" t="s">
        <v>61</v>
      </c>
      <c r="O19" s="39">
        <v>12.8</v>
      </c>
      <c r="P19">
        <f t="shared" si="3"/>
        <v>2</v>
      </c>
      <c r="Q19">
        <f t="shared" si="4"/>
        <v>6</v>
      </c>
      <c r="R19" s="39" t="str">
        <f t="shared" si="2"/>
        <v/>
      </c>
    </row>
    <row r="20" spans="2:18" x14ac:dyDescent="0.3">
      <c r="B20" s="29">
        <v>18</v>
      </c>
      <c r="C20" s="30">
        <v>17.5</v>
      </c>
      <c r="D20" s="31">
        <v>17.399999999999999</v>
      </c>
      <c r="F20" s="30">
        <v>17.5</v>
      </c>
      <c r="G20">
        <f t="shared" si="0"/>
        <v>41</v>
      </c>
      <c r="H20" t="b">
        <f t="shared" si="1"/>
        <v>0</v>
      </c>
      <c r="J20" s="5" t="s">
        <v>66</v>
      </c>
      <c r="K20" s="5">
        <f>(K8*K9*Q26)/(12*(K8+K9)*(K8+K9-1))</f>
        <v>1.2391304347826086</v>
      </c>
      <c r="N20" t="s">
        <v>62</v>
      </c>
      <c r="O20" s="39">
        <v>15.6</v>
      </c>
      <c r="P20">
        <f t="shared" si="3"/>
        <v>2</v>
      </c>
      <c r="Q20">
        <f t="shared" si="4"/>
        <v>6</v>
      </c>
      <c r="R20" s="39" t="str">
        <f t="shared" si="2"/>
        <v/>
      </c>
    </row>
    <row r="21" spans="2:18" x14ac:dyDescent="0.3">
      <c r="B21" s="29">
        <v>19</v>
      </c>
      <c r="C21" s="30">
        <v>12.6</v>
      </c>
      <c r="D21" s="31">
        <v>19.3</v>
      </c>
      <c r="F21" s="30">
        <v>12.6</v>
      </c>
      <c r="G21">
        <f t="shared" si="0"/>
        <v>15.5</v>
      </c>
      <c r="H21" t="b">
        <f t="shared" si="1"/>
        <v>1</v>
      </c>
      <c r="J21" s="5" t="s">
        <v>68</v>
      </c>
      <c r="K21" s="5">
        <f>(K16-K17)/SQRT(K19-K20)</f>
        <v>-0.46863666641742113</v>
      </c>
      <c r="N21" t="s">
        <v>63</v>
      </c>
      <c r="O21" s="39">
        <v>11.6</v>
      </c>
      <c r="P21">
        <f t="shared" si="3"/>
        <v>2</v>
      </c>
      <c r="Q21">
        <f t="shared" si="4"/>
        <v>6</v>
      </c>
      <c r="R21" s="39">
        <f t="shared" si="2"/>
        <v>12.6</v>
      </c>
    </row>
    <row r="22" spans="2:18" x14ac:dyDescent="0.3">
      <c r="B22" s="29">
        <v>20</v>
      </c>
      <c r="C22" s="30"/>
      <c r="D22" s="31">
        <v>16</v>
      </c>
      <c r="F22" s="30"/>
      <c r="G22" t="e">
        <f t="shared" si="0"/>
        <v>#N/A</v>
      </c>
      <c r="H22" t="b">
        <f t="shared" si="1"/>
        <v>0</v>
      </c>
      <c r="N22" t="s">
        <v>64</v>
      </c>
      <c r="O22" s="39">
        <v>12.6</v>
      </c>
      <c r="P22">
        <f t="shared" si="3"/>
        <v>2</v>
      </c>
      <c r="Q22">
        <f t="shared" si="4"/>
        <v>6</v>
      </c>
      <c r="R22" s="39" t="str">
        <f t="shared" si="2"/>
        <v/>
      </c>
    </row>
    <row r="23" spans="2:18" x14ac:dyDescent="0.3">
      <c r="C23" s="32"/>
      <c r="D23" s="33">
        <v>12.5</v>
      </c>
      <c r="F23" s="32"/>
      <c r="G23" t="e">
        <f t="shared" si="0"/>
        <v>#N/A</v>
      </c>
      <c r="H23" t="b">
        <f t="shared" si="1"/>
        <v>0</v>
      </c>
      <c r="N23" t="s">
        <v>65</v>
      </c>
      <c r="O23" s="39">
        <v>16.600000000000001</v>
      </c>
      <c r="P23">
        <f t="shared" si="3"/>
        <v>2</v>
      </c>
      <c r="Q23">
        <f t="shared" si="4"/>
        <v>6</v>
      </c>
      <c r="R23" s="39" t="str">
        <f t="shared" si="2"/>
        <v/>
      </c>
    </row>
    <row r="24" spans="2:18" x14ac:dyDescent="0.3">
      <c r="C24" s="32"/>
      <c r="D24" s="33">
        <v>11.6</v>
      </c>
      <c r="F24" s="32"/>
      <c r="G24" t="e">
        <f t="shared" si="0"/>
        <v>#N/A</v>
      </c>
      <c r="H24" t="b">
        <f t="shared" si="1"/>
        <v>0</v>
      </c>
      <c r="N24" t="s">
        <v>79</v>
      </c>
      <c r="O24" s="39">
        <v>12.5</v>
      </c>
      <c r="P24">
        <f t="shared" si="3"/>
        <v>2</v>
      </c>
      <c r="Q24">
        <f t="shared" si="4"/>
        <v>6</v>
      </c>
      <c r="R24" s="39" t="str">
        <f t="shared" si="2"/>
        <v/>
      </c>
    </row>
    <row r="25" spans="2:18" x14ac:dyDescent="0.3">
      <c r="C25" s="32"/>
      <c r="D25" s="33">
        <v>15</v>
      </c>
      <c r="F25" s="32"/>
      <c r="G25" t="e">
        <f t="shared" si="0"/>
        <v>#N/A</v>
      </c>
      <c r="H25" t="b">
        <f t="shared" si="1"/>
        <v>0</v>
      </c>
      <c r="J25" s="3" t="s">
        <v>49</v>
      </c>
      <c r="K25" t="s">
        <v>69</v>
      </c>
      <c r="L25">
        <f>_xlfn.NORM.S.INV(1-L5/2)</f>
        <v>1.9599639845400536</v>
      </c>
      <c r="M25" s="40"/>
      <c r="N25" t="s">
        <v>80</v>
      </c>
      <c r="O25" s="39">
        <v>15</v>
      </c>
      <c r="P25">
        <f t="shared" si="3"/>
        <v>2</v>
      </c>
      <c r="Q25">
        <f t="shared" si="4"/>
        <v>6</v>
      </c>
      <c r="R25" s="39" t="str">
        <f t="shared" si="2"/>
        <v/>
      </c>
    </row>
    <row r="26" spans="2:18" x14ac:dyDescent="0.3">
      <c r="C26" s="32"/>
      <c r="D26" s="33">
        <v>12.6</v>
      </c>
      <c r="F26" s="32"/>
      <c r="G26" t="e">
        <f t="shared" si="0"/>
        <v>#N/A</v>
      </c>
      <c r="H26" t="b">
        <f t="shared" si="1"/>
        <v>0</v>
      </c>
      <c r="Q26">
        <f>SUM(Q16:Q25)</f>
        <v>60</v>
      </c>
      <c r="R26" s="39" t="str">
        <f t="shared" si="2"/>
        <v/>
      </c>
    </row>
    <row r="27" spans="2:18" x14ac:dyDescent="0.3">
      <c r="C27" s="32"/>
      <c r="D27" s="33">
        <v>18.600000000000001</v>
      </c>
      <c r="F27" s="32"/>
      <c r="G27" t="e">
        <f t="shared" si="0"/>
        <v>#N/A</v>
      </c>
      <c r="H27" t="b">
        <f t="shared" si="1"/>
        <v>0</v>
      </c>
      <c r="J27" s="43" t="s">
        <v>21</v>
      </c>
      <c r="K27" s="43"/>
      <c r="L27" t="s">
        <v>51</v>
      </c>
      <c r="M27">
        <f>ABS(K21)</f>
        <v>0.46863666641742113</v>
      </c>
      <c r="N27" s="36" t="s">
        <v>36</v>
      </c>
      <c r="O27">
        <f>L25</f>
        <v>1.9599639845400536</v>
      </c>
      <c r="R27" s="39" t="str">
        <f t="shared" si="2"/>
        <v/>
      </c>
    </row>
    <row r="28" spans="2:18" x14ac:dyDescent="0.3">
      <c r="C28" s="32"/>
      <c r="D28" s="33">
        <v>16.7</v>
      </c>
      <c r="F28" s="32"/>
      <c r="G28" t="e">
        <f t="shared" si="0"/>
        <v>#N/A</v>
      </c>
      <c r="H28" t="b">
        <f t="shared" si="1"/>
        <v>0</v>
      </c>
      <c r="R28" s="39" t="str">
        <f t="shared" si="2"/>
        <v/>
      </c>
    </row>
    <row r="29" spans="2:18" x14ac:dyDescent="0.3">
      <c r="C29" s="32"/>
      <c r="D29" s="33">
        <v>11</v>
      </c>
      <c r="F29" s="32"/>
      <c r="G29" t="e">
        <f t="shared" si="0"/>
        <v>#N/A</v>
      </c>
      <c r="H29" t="b">
        <f t="shared" si="1"/>
        <v>0</v>
      </c>
      <c r="J29" s="3" t="s">
        <v>25</v>
      </c>
      <c r="K29" t="s">
        <v>70</v>
      </c>
      <c r="R29" s="39" t="str">
        <f t="shared" si="2"/>
        <v/>
      </c>
    </row>
    <row r="30" spans="2:18" x14ac:dyDescent="0.3">
      <c r="C30" s="32"/>
      <c r="D30" s="33"/>
      <c r="F30" s="32"/>
      <c r="G30" t="e">
        <f t="shared" si="0"/>
        <v>#N/A</v>
      </c>
      <c r="H30" t="b">
        <f t="shared" si="1"/>
        <v>0</v>
      </c>
      <c r="R30" s="39" t="str">
        <f t="shared" si="2"/>
        <v/>
      </c>
    </row>
    <row r="31" spans="2:18" x14ac:dyDescent="0.3">
      <c r="C31" s="32"/>
      <c r="D31" s="33"/>
      <c r="F31" s="32"/>
      <c r="G31" t="e">
        <f t="shared" si="0"/>
        <v>#N/A</v>
      </c>
      <c r="H31" t="b">
        <f t="shared" si="1"/>
        <v>0</v>
      </c>
      <c r="R31" s="39" t="str">
        <f t="shared" si="2"/>
        <v/>
      </c>
    </row>
    <row r="32" spans="2:18" x14ac:dyDescent="0.3">
      <c r="C32" s="32"/>
      <c r="D32" s="33"/>
      <c r="F32" s="32"/>
      <c r="G32" t="e">
        <f t="shared" si="0"/>
        <v>#N/A</v>
      </c>
      <c r="H32" t="b">
        <f t="shared" si="1"/>
        <v>0</v>
      </c>
      <c r="R32" s="39" t="str">
        <f t="shared" si="2"/>
        <v/>
      </c>
    </row>
    <row r="33" spans="6:18" x14ac:dyDescent="0.3">
      <c r="F33" s="31">
        <v>15.6</v>
      </c>
      <c r="G33">
        <f t="shared" si="0"/>
        <v>31.5</v>
      </c>
      <c r="H33" t="b">
        <f t="shared" si="1"/>
        <v>1</v>
      </c>
      <c r="R33" s="39">
        <f t="shared" si="2"/>
        <v>15.6</v>
      </c>
    </row>
    <row r="34" spans="6:18" x14ac:dyDescent="0.3">
      <c r="F34" s="31">
        <v>17.2</v>
      </c>
      <c r="G34">
        <f t="shared" si="0"/>
        <v>39</v>
      </c>
      <c r="H34" t="b">
        <f t="shared" si="1"/>
        <v>0</v>
      </c>
      <c r="R34" s="39" t="str">
        <f t="shared" si="2"/>
        <v/>
      </c>
    </row>
    <row r="35" spans="6:18" x14ac:dyDescent="0.3">
      <c r="F35" s="31">
        <v>10</v>
      </c>
      <c r="G35">
        <f t="shared" si="0"/>
        <v>1</v>
      </c>
      <c r="H35" t="b">
        <f t="shared" si="1"/>
        <v>0</v>
      </c>
      <c r="R35" s="39" t="str">
        <f t="shared" si="2"/>
        <v/>
      </c>
    </row>
    <row r="36" spans="6:18" x14ac:dyDescent="0.3">
      <c r="F36" s="31">
        <v>13.6</v>
      </c>
      <c r="G36">
        <f t="shared" si="0"/>
        <v>25</v>
      </c>
      <c r="H36" t="b">
        <f t="shared" si="1"/>
        <v>0</v>
      </c>
      <c r="R36" s="39" t="str">
        <f t="shared" si="2"/>
        <v/>
      </c>
    </row>
    <row r="37" spans="6:18" x14ac:dyDescent="0.3">
      <c r="F37" s="31">
        <v>12.8</v>
      </c>
      <c r="G37">
        <f t="shared" si="0"/>
        <v>18.5</v>
      </c>
      <c r="H37" t="b">
        <f t="shared" si="1"/>
        <v>1</v>
      </c>
      <c r="R37" s="39">
        <f t="shared" si="2"/>
        <v>12.8</v>
      </c>
    </row>
    <row r="38" spans="6:18" x14ac:dyDescent="0.3">
      <c r="F38" s="31">
        <v>11.2</v>
      </c>
      <c r="G38">
        <f t="shared" si="0"/>
        <v>4</v>
      </c>
      <c r="H38" t="b">
        <f t="shared" si="1"/>
        <v>0</v>
      </c>
      <c r="R38" s="39" t="str">
        <f t="shared" si="2"/>
        <v/>
      </c>
    </row>
    <row r="39" spans="6:18" x14ac:dyDescent="0.3">
      <c r="F39" s="31">
        <v>13.7</v>
      </c>
      <c r="G39">
        <f t="shared" si="0"/>
        <v>26</v>
      </c>
      <c r="H39" t="b">
        <f t="shared" si="1"/>
        <v>0</v>
      </c>
      <c r="R39" s="39" t="str">
        <f t="shared" si="2"/>
        <v/>
      </c>
    </row>
    <row r="40" spans="6:18" x14ac:dyDescent="0.3">
      <c r="F40" s="31">
        <v>12</v>
      </c>
      <c r="G40">
        <f t="shared" si="0"/>
        <v>10</v>
      </c>
      <c r="H40" t="b">
        <f t="shared" si="1"/>
        <v>0</v>
      </c>
      <c r="R40" s="39" t="str">
        <f t="shared" si="2"/>
        <v/>
      </c>
    </row>
    <row r="41" spans="6:18" x14ac:dyDescent="0.3">
      <c r="F41" s="31">
        <v>11.5</v>
      </c>
      <c r="G41">
        <f t="shared" si="0"/>
        <v>6</v>
      </c>
      <c r="H41" t="b">
        <f t="shared" si="1"/>
        <v>0</v>
      </c>
      <c r="R41" s="39" t="str">
        <f t="shared" si="2"/>
        <v/>
      </c>
    </row>
    <row r="42" spans="6:18" x14ac:dyDescent="0.3">
      <c r="F42" s="31">
        <v>12.7</v>
      </c>
      <c r="G42">
        <f t="shared" si="0"/>
        <v>17</v>
      </c>
      <c r="H42" t="b">
        <f t="shared" si="1"/>
        <v>0</v>
      </c>
      <c r="R42" s="39" t="str">
        <f t="shared" si="2"/>
        <v/>
      </c>
    </row>
    <row r="43" spans="6:18" x14ac:dyDescent="0.3">
      <c r="F43" s="31">
        <v>16.600000000000001</v>
      </c>
      <c r="G43">
        <f t="shared" si="0"/>
        <v>35.5</v>
      </c>
      <c r="H43" t="b">
        <f t="shared" si="1"/>
        <v>1</v>
      </c>
      <c r="R43" s="39">
        <f t="shared" si="2"/>
        <v>16.600000000000001</v>
      </c>
    </row>
    <row r="44" spans="6:18" x14ac:dyDescent="0.3">
      <c r="F44" s="31">
        <v>12.5</v>
      </c>
      <c r="G44">
        <f t="shared" si="0"/>
        <v>13.5</v>
      </c>
      <c r="H44" t="b">
        <f t="shared" si="1"/>
        <v>1</v>
      </c>
      <c r="R44" s="39">
        <f t="shared" si="2"/>
        <v>12.5</v>
      </c>
    </row>
    <row r="45" spans="6:18" x14ac:dyDescent="0.3">
      <c r="F45" s="31">
        <v>13</v>
      </c>
      <c r="G45">
        <f t="shared" si="0"/>
        <v>22</v>
      </c>
      <c r="H45" t="b">
        <f t="shared" si="1"/>
        <v>0</v>
      </c>
      <c r="R45" s="39" t="str">
        <f t="shared" si="2"/>
        <v/>
      </c>
    </row>
    <row r="46" spans="6:18" x14ac:dyDescent="0.3">
      <c r="F46" s="31">
        <v>16.600000000000001</v>
      </c>
      <c r="G46">
        <f t="shared" si="0"/>
        <v>35.5</v>
      </c>
      <c r="H46" t="b">
        <f t="shared" si="1"/>
        <v>1</v>
      </c>
      <c r="R46" s="39">
        <f t="shared" si="2"/>
        <v>16.600000000000001</v>
      </c>
    </row>
    <row r="47" spans="6:18" x14ac:dyDescent="0.3">
      <c r="F47" s="31">
        <v>14.7</v>
      </c>
      <c r="G47">
        <f t="shared" si="0"/>
        <v>27.5</v>
      </c>
      <c r="H47" t="b">
        <f t="shared" si="1"/>
        <v>1</v>
      </c>
      <c r="R47" s="39">
        <f t="shared" si="2"/>
        <v>14.7</v>
      </c>
    </row>
    <row r="48" spans="6:18" x14ac:dyDescent="0.3">
      <c r="F48" s="31">
        <v>19.600000000000001</v>
      </c>
      <c r="G48">
        <f t="shared" si="0"/>
        <v>46</v>
      </c>
      <c r="H48" t="b">
        <f t="shared" si="1"/>
        <v>0</v>
      </c>
      <c r="R48" s="39" t="str">
        <f t="shared" si="2"/>
        <v/>
      </c>
    </row>
    <row r="49" spans="6:18" x14ac:dyDescent="0.3">
      <c r="F49" s="31">
        <v>15</v>
      </c>
      <c r="G49">
        <f t="shared" si="0"/>
        <v>29.5</v>
      </c>
      <c r="H49" t="b">
        <f t="shared" si="1"/>
        <v>1</v>
      </c>
      <c r="R49" s="39">
        <f t="shared" si="2"/>
        <v>15</v>
      </c>
    </row>
    <row r="50" spans="6:18" x14ac:dyDescent="0.3">
      <c r="F50" s="31">
        <v>17.399999999999999</v>
      </c>
      <c r="G50">
        <f t="shared" si="0"/>
        <v>40</v>
      </c>
      <c r="H50" t="b">
        <f t="shared" si="1"/>
        <v>0</v>
      </c>
      <c r="R50" s="39" t="str">
        <f t="shared" si="2"/>
        <v/>
      </c>
    </row>
    <row r="51" spans="6:18" x14ac:dyDescent="0.3">
      <c r="F51" s="31">
        <v>19.3</v>
      </c>
      <c r="G51">
        <f t="shared" si="0"/>
        <v>45</v>
      </c>
      <c r="H51" t="b">
        <f t="shared" si="1"/>
        <v>0</v>
      </c>
      <c r="R51" s="39" t="str">
        <f t="shared" si="2"/>
        <v/>
      </c>
    </row>
    <row r="52" spans="6:18" x14ac:dyDescent="0.3">
      <c r="F52" s="31">
        <v>16</v>
      </c>
      <c r="G52">
        <f t="shared" si="0"/>
        <v>34</v>
      </c>
      <c r="H52" t="b">
        <f t="shared" si="1"/>
        <v>0</v>
      </c>
      <c r="R52" s="39" t="str">
        <f t="shared" si="2"/>
        <v/>
      </c>
    </row>
    <row r="53" spans="6:18" x14ac:dyDescent="0.3">
      <c r="F53" s="33">
        <v>12.5</v>
      </c>
      <c r="G53">
        <f t="shared" si="0"/>
        <v>13.5</v>
      </c>
      <c r="H53" t="b">
        <f t="shared" si="1"/>
        <v>1</v>
      </c>
      <c r="R53" s="39">
        <f t="shared" si="2"/>
        <v>12.5</v>
      </c>
    </row>
    <row r="54" spans="6:18" x14ac:dyDescent="0.3">
      <c r="F54" s="33">
        <v>11.6</v>
      </c>
      <c r="G54">
        <f t="shared" si="0"/>
        <v>7.5</v>
      </c>
      <c r="H54" t="b">
        <f t="shared" si="1"/>
        <v>1</v>
      </c>
      <c r="R54" s="39">
        <f t="shared" si="2"/>
        <v>11.6</v>
      </c>
    </row>
    <row r="55" spans="6:18" x14ac:dyDescent="0.3">
      <c r="F55" s="33">
        <v>15</v>
      </c>
      <c r="G55">
        <f t="shared" si="0"/>
        <v>29.5</v>
      </c>
      <c r="H55" t="b">
        <f t="shared" si="1"/>
        <v>1</v>
      </c>
      <c r="R55" s="39">
        <f t="shared" si="2"/>
        <v>15</v>
      </c>
    </row>
    <row r="56" spans="6:18" x14ac:dyDescent="0.3">
      <c r="F56" s="33">
        <v>12.6</v>
      </c>
      <c r="G56">
        <f t="shared" si="0"/>
        <v>15.5</v>
      </c>
      <c r="H56" t="b">
        <f t="shared" si="1"/>
        <v>1</v>
      </c>
      <c r="R56" s="39">
        <f t="shared" si="2"/>
        <v>12.6</v>
      </c>
    </row>
    <row r="57" spans="6:18" x14ac:dyDescent="0.3">
      <c r="F57" s="33">
        <v>18.600000000000001</v>
      </c>
      <c r="G57">
        <f t="shared" si="0"/>
        <v>43</v>
      </c>
      <c r="H57" t="b">
        <f t="shared" si="1"/>
        <v>0</v>
      </c>
      <c r="R57" s="39" t="str">
        <f t="shared" si="2"/>
        <v/>
      </c>
    </row>
    <row r="58" spans="6:18" x14ac:dyDescent="0.3">
      <c r="F58" s="33">
        <v>16.7</v>
      </c>
      <c r="G58">
        <f t="shared" si="0"/>
        <v>37</v>
      </c>
      <c r="H58" t="b">
        <f t="shared" si="1"/>
        <v>0</v>
      </c>
      <c r="R58" s="39" t="str">
        <f t="shared" si="2"/>
        <v/>
      </c>
    </row>
    <row r="59" spans="6:18" x14ac:dyDescent="0.3">
      <c r="F59" s="33">
        <v>11</v>
      </c>
      <c r="G59">
        <f t="shared" si="0"/>
        <v>3</v>
      </c>
      <c r="H59" t="b">
        <f t="shared" si="1"/>
        <v>0</v>
      </c>
      <c r="R59" s="39" t="str">
        <f t="shared" si="2"/>
        <v/>
      </c>
    </row>
    <row r="60" spans="6:18" x14ac:dyDescent="0.3">
      <c r="F60" s="33"/>
      <c r="G60" t="e">
        <f t="shared" si="0"/>
        <v>#N/A</v>
      </c>
      <c r="H60" t="b">
        <f t="shared" si="1"/>
        <v>0</v>
      </c>
      <c r="R60" s="39" t="str">
        <f t="shared" si="2"/>
        <v/>
      </c>
    </row>
    <row r="61" spans="6:18" x14ac:dyDescent="0.3">
      <c r="F61" s="33"/>
      <c r="G61" t="e">
        <f t="shared" si="0"/>
        <v>#N/A</v>
      </c>
      <c r="H61" t="b">
        <f t="shared" si="1"/>
        <v>0</v>
      </c>
      <c r="R61" s="39" t="str">
        <f t="shared" si="2"/>
        <v/>
      </c>
    </row>
    <row r="62" spans="6:18" x14ac:dyDescent="0.3">
      <c r="F62" s="33"/>
      <c r="G62" t="e">
        <f t="shared" si="0"/>
        <v>#N/A</v>
      </c>
      <c r="H62" t="b">
        <f t="shared" si="1"/>
        <v>0</v>
      </c>
      <c r="R62" s="39" t="str">
        <f t="shared" si="2"/>
        <v/>
      </c>
    </row>
  </sheetData>
  <mergeCells count="2">
    <mergeCell ref="J5:K5"/>
    <mergeCell ref="J27:K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0156-1CAC-4902-AF43-C83BB58000E1}">
  <dimension ref="B2:L61"/>
  <sheetViews>
    <sheetView zoomScale="86" zoomScaleNormal="99" workbookViewId="0">
      <selection activeCell="J20" sqref="J20"/>
    </sheetView>
  </sheetViews>
  <sheetFormatPr baseColWidth="10" defaultRowHeight="14.4" x14ac:dyDescent="0.3"/>
  <cols>
    <col min="2" max="2" width="19.77734375" customWidth="1"/>
    <col min="3" max="3" width="22.77734375" customWidth="1"/>
  </cols>
  <sheetData>
    <row r="2" spans="2:9" x14ac:dyDescent="0.3">
      <c r="B2" s="1" t="s">
        <v>81</v>
      </c>
      <c r="C2" s="1" t="s">
        <v>82</v>
      </c>
      <c r="E2" s="3" t="s">
        <v>2</v>
      </c>
    </row>
    <row r="3" spans="2:9" x14ac:dyDescent="0.3">
      <c r="B3" s="22">
        <v>2.4</v>
      </c>
      <c r="C3" s="22">
        <v>1.5</v>
      </c>
      <c r="E3" t="s">
        <v>3</v>
      </c>
    </row>
    <row r="4" spans="2:9" x14ac:dyDescent="0.3">
      <c r="B4" s="22">
        <v>3.5</v>
      </c>
      <c r="C4" s="22">
        <v>2.1</v>
      </c>
      <c r="E4" t="s">
        <v>4</v>
      </c>
    </row>
    <row r="5" spans="2:9" x14ac:dyDescent="0.3">
      <c r="B5" s="22">
        <v>3.1</v>
      </c>
      <c r="C5" s="22">
        <v>3.4</v>
      </c>
      <c r="E5" s="43" t="s">
        <v>5</v>
      </c>
      <c r="F5" s="43"/>
      <c r="G5" s="41">
        <v>0.05</v>
      </c>
    </row>
    <row r="6" spans="2:9" x14ac:dyDescent="0.3">
      <c r="B6" s="22">
        <v>4.0999999999999996</v>
      </c>
      <c r="C6" s="22">
        <v>1.7</v>
      </c>
    </row>
    <row r="7" spans="2:9" x14ac:dyDescent="0.3">
      <c r="B7" s="22">
        <v>4.2</v>
      </c>
      <c r="C7" s="22">
        <v>3.8</v>
      </c>
      <c r="E7" s="3" t="s">
        <v>6</v>
      </c>
    </row>
    <row r="8" spans="2:9" x14ac:dyDescent="0.3">
      <c r="B8" s="22">
        <v>3.4</v>
      </c>
      <c r="C8" s="22">
        <v>3.5</v>
      </c>
      <c r="E8" s="5" t="s">
        <v>75</v>
      </c>
      <c r="F8" s="5" t="s">
        <v>76</v>
      </c>
    </row>
    <row r="9" spans="2:9" x14ac:dyDescent="0.3">
      <c r="B9" s="22">
        <v>4.5</v>
      </c>
      <c r="C9" s="22">
        <v>3.1</v>
      </c>
      <c r="E9" s="5">
        <f>IF(B3="","",COUNTIF(C:C,"&lt;"&amp;B3)+0.5*COUNTIF(C:C,B3))</f>
        <v>4</v>
      </c>
      <c r="F9" s="5">
        <f>IF(C3="","",COUNTIF(B:B,"&lt;"&amp;C3)+0.5*COUNTIF(B:B,C3))</f>
        <v>0</v>
      </c>
      <c r="H9" s="5" t="s">
        <v>10</v>
      </c>
      <c r="I9" s="5">
        <f>COUNT(B:B)</f>
        <v>10</v>
      </c>
    </row>
    <row r="10" spans="2:9" x14ac:dyDescent="0.3">
      <c r="B10" s="22">
        <v>5.0999999999999996</v>
      </c>
      <c r="C10" s="22">
        <v>1.3</v>
      </c>
      <c r="E10" s="5">
        <f t="shared" ref="E10:E61" si="0">IF(B4="","",COUNTIF(C:C,"&lt;"&amp;B4)+0.5*COUNTIF(C:C,B4))</f>
        <v>6.5</v>
      </c>
      <c r="F10" s="5">
        <f t="shared" ref="F10:F61" si="1">IF(C4="","",COUNTIF(B:B,"&lt;"&amp;C4)+0.5*COUNTIF(B:B,C4))</f>
        <v>0</v>
      </c>
      <c r="H10" s="5" t="s">
        <v>11</v>
      </c>
      <c r="I10" s="5">
        <f>COUNT(C:C)</f>
        <v>8</v>
      </c>
    </row>
    <row r="11" spans="2:9" x14ac:dyDescent="0.3">
      <c r="B11" s="22">
        <v>2.9</v>
      </c>
      <c r="C11" s="22"/>
      <c r="E11" s="5">
        <f t="shared" si="0"/>
        <v>4.5</v>
      </c>
      <c r="F11" s="5">
        <f t="shared" si="1"/>
        <v>4.5</v>
      </c>
      <c r="H11" s="5" t="s">
        <v>77</v>
      </c>
      <c r="I11" s="5">
        <f>SUM(I9:I10)</f>
        <v>18</v>
      </c>
    </row>
    <row r="12" spans="2:9" x14ac:dyDescent="0.3">
      <c r="B12" s="22">
        <v>3.2</v>
      </c>
      <c r="C12" s="22"/>
      <c r="E12" s="5">
        <f t="shared" si="0"/>
        <v>8</v>
      </c>
      <c r="F12" s="5">
        <f t="shared" si="1"/>
        <v>0</v>
      </c>
      <c r="H12" s="5" t="s">
        <v>71</v>
      </c>
      <c r="I12" s="5">
        <f>AVERAGE(E:E)</f>
        <v>6.15</v>
      </c>
    </row>
    <row r="13" spans="2:9" x14ac:dyDescent="0.3">
      <c r="B13" s="22"/>
      <c r="C13" s="22"/>
      <c r="E13" s="5">
        <f t="shared" si="0"/>
        <v>8</v>
      </c>
      <c r="F13" s="5">
        <f t="shared" si="1"/>
        <v>6</v>
      </c>
      <c r="H13" s="5" t="s">
        <v>72</v>
      </c>
      <c r="I13" s="5">
        <f>AVERAGE(F:F)</f>
        <v>2.3125</v>
      </c>
    </row>
    <row r="14" spans="2:9" x14ac:dyDescent="0.3">
      <c r="B14" s="22"/>
      <c r="C14" s="22"/>
      <c r="E14" s="5">
        <f t="shared" si="0"/>
        <v>5.5</v>
      </c>
      <c r="F14" s="5">
        <f t="shared" si="1"/>
        <v>5.5</v>
      </c>
      <c r="H14" s="5" t="s">
        <v>73</v>
      </c>
      <c r="I14" s="5">
        <f>_xlfn.VAR.S(E:E)*(I$9-1)</f>
        <v>27.524999999999977</v>
      </c>
    </row>
    <row r="15" spans="2:9" x14ac:dyDescent="0.3">
      <c r="B15" s="22"/>
      <c r="C15" s="22"/>
      <c r="E15" s="5">
        <f t="shared" si="0"/>
        <v>8</v>
      </c>
      <c r="F15" s="5">
        <f t="shared" si="1"/>
        <v>2.5</v>
      </c>
      <c r="H15" s="5" t="s">
        <v>74</v>
      </c>
      <c r="I15" s="5">
        <f>_xlfn.VAR.S(F:F)*(I$10-1)</f>
        <v>49.96875</v>
      </c>
    </row>
    <row r="16" spans="2:9" x14ac:dyDescent="0.3">
      <c r="B16" s="22"/>
      <c r="C16" s="22"/>
      <c r="E16" s="5">
        <f t="shared" si="0"/>
        <v>8</v>
      </c>
      <c r="F16" s="5">
        <f t="shared" si="1"/>
        <v>0</v>
      </c>
    </row>
    <row r="17" spans="2:12" x14ac:dyDescent="0.3">
      <c r="B17" s="22"/>
      <c r="C17" s="22"/>
      <c r="E17" s="5">
        <f t="shared" si="0"/>
        <v>4</v>
      </c>
      <c r="F17" s="5" t="str">
        <f t="shared" si="1"/>
        <v/>
      </c>
      <c r="H17" s="5" t="s">
        <v>78</v>
      </c>
      <c r="I17" s="5">
        <f>(I9*I12-I10*I13)/(2*SQRT(I14+I15+I12*I13))</f>
        <v>2.2450023241902475</v>
      </c>
    </row>
    <row r="18" spans="2:12" x14ac:dyDescent="0.3">
      <c r="B18" s="5"/>
      <c r="C18" s="5"/>
      <c r="E18" s="5">
        <f t="shared" si="0"/>
        <v>5</v>
      </c>
      <c r="F18" s="5" t="str">
        <f t="shared" si="1"/>
        <v/>
      </c>
    </row>
    <row r="19" spans="2:12" x14ac:dyDescent="0.3">
      <c r="B19" s="5"/>
      <c r="C19" s="5"/>
      <c r="E19" s="5" t="str">
        <f t="shared" si="0"/>
        <v/>
      </c>
      <c r="F19" s="5" t="str">
        <f t="shared" si="1"/>
        <v/>
      </c>
      <c r="H19" s="3" t="s">
        <v>49</v>
      </c>
      <c r="I19" t="s">
        <v>83</v>
      </c>
      <c r="J19">
        <f>_xlfn.NORM.S.INV(1-G5)</f>
        <v>1.6448536269514715</v>
      </c>
    </row>
    <row r="20" spans="2:12" x14ac:dyDescent="0.3">
      <c r="B20" s="5"/>
      <c r="C20" s="5"/>
      <c r="E20" s="5" t="str">
        <f t="shared" si="0"/>
        <v/>
      </c>
      <c r="F20" s="5" t="str">
        <f t="shared" si="1"/>
        <v/>
      </c>
    </row>
    <row r="21" spans="2:12" x14ac:dyDescent="0.3">
      <c r="B21" s="5"/>
      <c r="C21" s="5"/>
      <c r="E21" s="5" t="str">
        <f t="shared" si="0"/>
        <v/>
      </c>
      <c r="F21" s="5" t="str">
        <f t="shared" si="1"/>
        <v/>
      </c>
      <c r="H21" s="43" t="s">
        <v>21</v>
      </c>
      <c r="I21" s="43"/>
      <c r="J21">
        <f>ABS(I17)</f>
        <v>2.2450023241902475</v>
      </c>
      <c r="K21" s="4" t="s">
        <v>36</v>
      </c>
      <c r="L21">
        <f>J19</f>
        <v>1.6448536269514715</v>
      </c>
    </row>
    <row r="22" spans="2:12" x14ac:dyDescent="0.3">
      <c r="B22" s="5"/>
      <c r="C22" s="5"/>
      <c r="E22" s="5" t="str">
        <f t="shared" si="0"/>
        <v/>
      </c>
      <c r="F22" s="5" t="str">
        <f t="shared" si="1"/>
        <v/>
      </c>
    </row>
    <row r="23" spans="2:12" x14ac:dyDescent="0.3">
      <c r="B23" s="5"/>
      <c r="C23" s="5"/>
      <c r="E23" s="5" t="str">
        <f t="shared" si="0"/>
        <v/>
      </c>
      <c r="F23" s="5" t="str">
        <f t="shared" si="1"/>
        <v/>
      </c>
      <c r="H23" s="3" t="s">
        <v>25</v>
      </c>
      <c r="I23" t="s">
        <v>26</v>
      </c>
    </row>
    <row r="24" spans="2:12" x14ac:dyDescent="0.3">
      <c r="B24" s="5"/>
      <c r="C24" s="5"/>
      <c r="E24" s="5" t="str">
        <f t="shared" si="0"/>
        <v/>
      </c>
      <c r="F24" s="5" t="str">
        <f t="shared" si="1"/>
        <v/>
      </c>
    </row>
    <row r="25" spans="2:12" x14ac:dyDescent="0.3">
      <c r="B25" s="5"/>
      <c r="C25" s="5"/>
      <c r="E25" s="5" t="str">
        <f t="shared" si="0"/>
        <v/>
      </c>
      <c r="F25" s="5" t="str">
        <f t="shared" si="1"/>
        <v/>
      </c>
    </row>
    <row r="26" spans="2:12" x14ac:dyDescent="0.3">
      <c r="B26" s="5"/>
      <c r="C26" s="5"/>
      <c r="E26" s="5" t="str">
        <f t="shared" si="0"/>
        <v/>
      </c>
      <c r="F26" s="5" t="str">
        <f t="shared" si="1"/>
        <v/>
      </c>
    </row>
    <row r="27" spans="2:12" x14ac:dyDescent="0.3">
      <c r="B27" s="5"/>
      <c r="C27" s="5"/>
      <c r="E27" s="5" t="str">
        <f t="shared" si="0"/>
        <v/>
      </c>
      <c r="F27" s="5" t="str">
        <f t="shared" si="1"/>
        <v/>
      </c>
    </row>
    <row r="28" spans="2:12" x14ac:dyDescent="0.3">
      <c r="E28" s="5" t="str">
        <f t="shared" si="0"/>
        <v/>
      </c>
      <c r="F28" s="5" t="str">
        <f t="shared" si="1"/>
        <v/>
      </c>
    </row>
    <row r="29" spans="2:12" x14ac:dyDescent="0.3">
      <c r="E29" s="5" t="str">
        <f t="shared" si="0"/>
        <v/>
      </c>
      <c r="F29" s="5" t="str">
        <f t="shared" si="1"/>
        <v/>
      </c>
    </row>
    <row r="30" spans="2:12" x14ac:dyDescent="0.3">
      <c r="E30" s="5" t="str">
        <f t="shared" si="0"/>
        <v/>
      </c>
      <c r="F30" s="5" t="str">
        <f t="shared" si="1"/>
        <v/>
      </c>
    </row>
    <row r="31" spans="2:12" x14ac:dyDescent="0.3">
      <c r="E31" s="5" t="str">
        <f t="shared" si="0"/>
        <v/>
      </c>
      <c r="F31" s="5" t="str">
        <f t="shared" si="1"/>
        <v/>
      </c>
    </row>
    <row r="32" spans="2:12" x14ac:dyDescent="0.3">
      <c r="E32" s="5" t="str">
        <f t="shared" si="0"/>
        <v/>
      </c>
      <c r="F32" s="5" t="str">
        <f t="shared" si="1"/>
        <v/>
      </c>
    </row>
    <row r="33" spans="5:6" x14ac:dyDescent="0.3">
      <c r="E33" s="5" t="str">
        <f t="shared" si="0"/>
        <v/>
      </c>
      <c r="F33" s="5" t="str">
        <f t="shared" si="1"/>
        <v/>
      </c>
    </row>
    <row r="34" spans="5:6" x14ac:dyDescent="0.3">
      <c r="E34" s="5" t="str">
        <f t="shared" si="0"/>
        <v/>
      </c>
      <c r="F34" s="5" t="str">
        <f t="shared" si="1"/>
        <v/>
      </c>
    </row>
    <row r="35" spans="5:6" x14ac:dyDescent="0.3">
      <c r="E35" s="5" t="str">
        <f t="shared" si="0"/>
        <v/>
      </c>
      <c r="F35" s="5" t="str">
        <f t="shared" si="1"/>
        <v/>
      </c>
    </row>
    <row r="36" spans="5:6" x14ac:dyDescent="0.3">
      <c r="E36" s="5" t="str">
        <f t="shared" si="0"/>
        <v/>
      </c>
      <c r="F36" s="5" t="str">
        <f t="shared" si="1"/>
        <v/>
      </c>
    </row>
    <row r="37" spans="5:6" x14ac:dyDescent="0.3">
      <c r="E37" s="5" t="str">
        <f t="shared" si="0"/>
        <v/>
      </c>
      <c r="F37" s="5" t="str">
        <f t="shared" si="1"/>
        <v/>
      </c>
    </row>
    <row r="38" spans="5:6" x14ac:dyDescent="0.3">
      <c r="E38" s="5" t="str">
        <f t="shared" si="0"/>
        <v/>
      </c>
      <c r="F38" s="5" t="str">
        <f t="shared" si="1"/>
        <v/>
      </c>
    </row>
    <row r="39" spans="5:6" x14ac:dyDescent="0.3">
      <c r="E39" s="5" t="str">
        <f t="shared" si="0"/>
        <v/>
      </c>
      <c r="F39" s="5" t="str">
        <f t="shared" si="1"/>
        <v/>
      </c>
    </row>
    <row r="40" spans="5:6" x14ac:dyDescent="0.3">
      <c r="E40" s="5" t="str">
        <f t="shared" si="0"/>
        <v/>
      </c>
      <c r="F40" s="5" t="str">
        <f t="shared" si="1"/>
        <v/>
      </c>
    </row>
    <row r="41" spans="5:6" x14ac:dyDescent="0.3">
      <c r="E41" s="5" t="str">
        <f t="shared" si="0"/>
        <v/>
      </c>
      <c r="F41" s="5" t="str">
        <f t="shared" si="1"/>
        <v/>
      </c>
    </row>
    <row r="42" spans="5:6" x14ac:dyDescent="0.3">
      <c r="E42" s="5" t="str">
        <f t="shared" si="0"/>
        <v/>
      </c>
      <c r="F42" s="5" t="str">
        <f t="shared" si="1"/>
        <v/>
      </c>
    </row>
    <row r="43" spans="5:6" x14ac:dyDescent="0.3">
      <c r="E43" s="5" t="str">
        <f t="shared" si="0"/>
        <v/>
      </c>
      <c r="F43" s="5" t="str">
        <f t="shared" si="1"/>
        <v/>
      </c>
    </row>
    <row r="44" spans="5:6" x14ac:dyDescent="0.3">
      <c r="E44" s="5" t="str">
        <f t="shared" si="0"/>
        <v/>
      </c>
      <c r="F44" s="5" t="str">
        <f t="shared" si="1"/>
        <v/>
      </c>
    </row>
    <row r="45" spans="5:6" x14ac:dyDescent="0.3">
      <c r="E45" s="5" t="str">
        <f t="shared" si="0"/>
        <v/>
      </c>
      <c r="F45" s="5" t="str">
        <f t="shared" si="1"/>
        <v/>
      </c>
    </row>
    <row r="46" spans="5:6" x14ac:dyDescent="0.3">
      <c r="E46" s="5" t="str">
        <f t="shared" si="0"/>
        <v/>
      </c>
      <c r="F46" s="5" t="str">
        <f t="shared" si="1"/>
        <v/>
      </c>
    </row>
    <row r="47" spans="5:6" x14ac:dyDescent="0.3">
      <c r="E47" s="5" t="str">
        <f t="shared" si="0"/>
        <v/>
      </c>
      <c r="F47" s="5" t="str">
        <f t="shared" si="1"/>
        <v/>
      </c>
    </row>
    <row r="48" spans="5:6" x14ac:dyDescent="0.3">
      <c r="E48" s="5" t="str">
        <f t="shared" si="0"/>
        <v/>
      </c>
      <c r="F48" s="5" t="str">
        <f t="shared" si="1"/>
        <v/>
      </c>
    </row>
    <row r="49" spans="5:6" x14ac:dyDescent="0.3">
      <c r="E49" s="5" t="str">
        <f t="shared" si="0"/>
        <v/>
      </c>
      <c r="F49" s="5" t="str">
        <f t="shared" si="1"/>
        <v/>
      </c>
    </row>
    <row r="50" spans="5:6" x14ac:dyDescent="0.3">
      <c r="E50" s="5" t="str">
        <f t="shared" si="0"/>
        <v/>
      </c>
      <c r="F50" s="5" t="str">
        <f t="shared" si="1"/>
        <v/>
      </c>
    </row>
    <row r="51" spans="5:6" x14ac:dyDescent="0.3">
      <c r="E51" s="5" t="str">
        <f t="shared" si="0"/>
        <v/>
      </c>
      <c r="F51" s="5" t="str">
        <f t="shared" si="1"/>
        <v/>
      </c>
    </row>
    <row r="52" spans="5:6" x14ac:dyDescent="0.3">
      <c r="E52" s="5" t="str">
        <f t="shared" si="0"/>
        <v/>
      </c>
      <c r="F52" s="5" t="str">
        <f t="shared" si="1"/>
        <v/>
      </c>
    </row>
    <row r="53" spans="5:6" x14ac:dyDescent="0.3">
      <c r="E53" s="5" t="str">
        <f t="shared" si="0"/>
        <v/>
      </c>
      <c r="F53" s="5" t="str">
        <f t="shared" si="1"/>
        <v/>
      </c>
    </row>
    <row r="54" spans="5:6" x14ac:dyDescent="0.3">
      <c r="E54" s="5" t="str">
        <f t="shared" si="0"/>
        <v/>
      </c>
      <c r="F54" s="5" t="str">
        <f t="shared" si="1"/>
        <v/>
      </c>
    </row>
    <row r="55" spans="5:6" x14ac:dyDescent="0.3">
      <c r="E55" s="5" t="str">
        <f t="shared" si="0"/>
        <v/>
      </c>
      <c r="F55" s="5" t="str">
        <f t="shared" si="1"/>
        <v/>
      </c>
    </row>
    <row r="56" spans="5:6" x14ac:dyDescent="0.3">
      <c r="E56" s="5" t="str">
        <f t="shared" si="0"/>
        <v/>
      </c>
      <c r="F56" s="5" t="str">
        <f t="shared" si="1"/>
        <v/>
      </c>
    </row>
    <row r="57" spans="5:6" x14ac:dyDescent="0.3">
      <c r="E57" s="5" t="str">
        <f t="shared" si="0"/>
        <v/>
      </c>
      <c r="F57" s="5" t="str">
        <f t="shared" si="1"/>
        <v/>
      </c>
    </row>
    <row r="58" spans="5:6" x14ac:dyDescent="0.3">
      <c r="E58" s="5" t="str">
        <f t="shared" si="0"/>
        <v/>
      </c>
      <c r="F58" s="5" t="str">
        <f t="shared" si="1"/>
        <v/>
      </c>
    </row>
    <row r="59" spans="5:6" x14ac:dyDescent="0.3">
      <c r="E59" s="5" t="str">
        <f t="shared" si="0"/>
        <v/>
      </c>
      <c r="F59" s="5" t="str">
        <f t="shared" si="1"/>
        <v/>
      </c>
    </row>
    <row r="60" spans="5:6" x14ac:dyDescent="0.3">
      <c r="E60" s="5" t="str">
        <f t="shared" si="0"/>
        <v/>
      </c>
      <c r="F60" s="5" t="str">
        <f t="shared" si="1"/>
        <v/>
      </c>
    </row>
    <row r="61" spans="5:6" x14ac:dyDescent="0.3">
      <c r="E61" s="5" t="str">
        <f t="shared" si="0"/>
        <v/>
      </c>
      <c r="F61" s="5" t="str">
        <f t="shared" si="1"/>
        <v/>
      </c>
    </row>
  </sheetData>
  <mergeCells count="2">
    <mergeCell ref="E5:F5"/>
    <mergeCell ref="H21:I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5F03-9F4E-4631-BBCF-B062CFA83B5C}">
  <dimension ref="A1:P68"/>
  <sheetViews>
    <sheetView zoomScale="73" workbookViewId="0">
      <selection activeCell="R15" sqref="R15"/>
    </sheetView>
  </sheetViews>
  <sheetFormatPr baseColWidth="10" defaultRowHeight="14.4" x14ac:dyDescent="0.3"/>
  <sheetData>
    <row r="1" spans="1:16" x14ac:dyDescent="0.3">
      <c r="J1" s="3" t="s">
        <v>2</v>
      </c>
      <c r="K1" t="s">
        <v>3</v>
      </c>
    </row>
    <row r="2" spans="1:16" x14ac:dyDescent="0.3">
      <c r="A2" t="s">
        <v>84</v>
      </c>
      <c r="B2" t="s">
        <v>85</v>
      </c>
      <c r="C2" t="s">
        <v>86</v>
      </c>
      <c r="D2" t="s">
        <v>87</v>
      </c>
      <c r="F2" t="s">
        <v>88</v>
      </c>
      <c r="G2" t="s">
        <v>89</v>
      </c>
      <c r="H2" t="s">
        <v>90</v>
      </c>
      <c r="K2" t="s">
        <v>4</v>
      </c>
    </row>
    <row r="3" spans="1:16" x14ac:dyDescent="0.3">
      <c r="A3">
        <v>1</v>
      </c>
      <c r="B3" s="53">
        <v>164</v>
      </c>
      <c r="C3" s="54">
        <v>96</v>
      </c>
      <c r="D3" s="55">
        <v>51</v>
      </c>
      <c r="E3" t="b">
        <f>COUNTIF(F$3:F$68, F3) &gt;= 2</f>
        <v>0</v>
      </c>
      <c r="F3" s="53">
        <v>164</v>
      </c>
      <c r="G3">
        <f>_xlfn.RANK.AVG(F3,F:F,1)</f>
        <v>36</v>
      </c>
      <c r="H3">
        <v>1</v>
      </c>
      <c r="J3" s="43" t="s">
        <v>5</v>
      </c>
      <c r="K3" s="43"/>
      <c r="L3">
        <v>0.03</v>
      </c>
      <c r="P3" s="39" t="str">
        <f>IF(E3=TRUE, F3, "")</f>
        <v/>
      </c>
    </row>
    <row r="4" spans="1:16" x14ac:dyDescent="0.3">
      <c r="A4">
        <v>2</v>
      </c>
      <c r="B4" s="53">
        <v>105</v>
      </c>
      <c r="C4" s="54">
        <v>115</v>
      </c>
      <c r="D4" s="55">
        <v>41</v>
      </c>
      <c r="E4" t="b">
        <f t="shared" ref="E4:E67" si="0">COUNTIF(F$3:F$68, F4) &gt;= 2</f>
        <v>1</v>
      </c>
      <c r="F4" s="53">
        <v>105</v>
      </c>
      <c r="G4">
        <f t="shared" ref="G4:G68" si="1">_xlfn.RANK.AVG(F4,F:F,1)</f>
        <v>25.5</v>
      </c>
      <c r="H4">
        <v>1</v>
      </c>
      <c r="J4" t="s">
        <v>44</v>
      </c>
      <c r="K4">
        <f>SUMIF(G3:G24,"&gt;=0")</f>
        <v>355</v>
      </c>
      <c r="M4" t="s">
        <v>91</v>
      </c>
      <c r="P4" s="39">
        <f t="shared" ref="P4:P67" si="2">IF(E4=TRUE, F4, "")</f>
        <v>105</v>
      </c>
    </row>
    <row r="5" spans="1:16" x14ac:dyDescent="0.3">
      <c r="A5">
        <v>3</v>
      </c>
      <c r="B5" s="53">
        <v>150</v>
      </c>
      <c r="C5" s="54">
        <v>100</v>
      </c>
      <c r="D5" s="55">
        <v>46</v>
      </c>
      <c r="E5" t="b">
        <f t="shared" si="0"/>
        <v>0</v>
      </c>
      <c r="F5" s="53">
        <v>150</v>
      </c>
      <c r="G5">
        <f t="shared" si="1"/>
        <v>34</v>
      </c>
      <c r="H5">
        <v>1</v>
      </c>
      <c r="J5" t="s">
        <v>45</v>
      </c>
      <c r="K5">
        <f>SUMIF(G25:G46,"&gt;=0")</f>
        <v>230</v>
      </c>
      <c r="M5" t="s">
        <v>92</v>
      </c>
      <c r="N5">
        <f>K4^2/K7</f>
        <v>10502.083333333334</v>
      </c>
      <c r="P5" s="39" t="str">
        <f t="shared" si="2"/>
        <v/>
      </c>
    </row>
    <row r="6" spans="1:16" x14ac:dyDescent="0.3">
      <c r="A6">
        <v>4</v>
      </c>
      <c r="B6" s="53">
        <v>145</v>
      </c>
      <c r="C6" s="54">
        <v>75</v>
      </c>
      <c r="D6" s="55">
        <v>79</v>
      </c>
      <c r="E6" t="b">
        <f t="shared" si="0"/>
        <v>0</v>
      </c>
      <c r="F6" s="53">
        <v>145</v>
      </c>
      <c r="G6">
        <f t="shared" si="1"/>
        <v>32</v>
      </c>
      <c r="H6">
        <v>1</v>
      </c>
      <c r="J6" t="s">
        <v>93</v>
      </c>
      <c r="K6">
        <f>SUMIF(G47:G67,"&gt;=0")</f>
        <v>81</v>
      </c>
      <c r="M6" t="s">
        <v>94</v>
      </c>
      <c r="N6">
        <f t="shared" ref="N6:N7" si="3">K5^2/K8</f>
        <v>4408.333333333333</v>
      </c>
      <c r="P6" s="39" t="str">
        <f t="shared" si="2"/>
        <v/>
      </c>
    </row>
    <row r="7" spans="1:16" x14ac:dyDescent="0.3">
      <c r="A7">
        <v>5</v>
      </c>
      <c r="B7" s="53">
        <v>139</v>
      </c>
      <c r="C7" s="54">
        <v>88</v>
      </c>
      <c r="D7" s="55">
        <v>52</v>
      </c>
      <c r="E7" t="b">
        <f t="shared" si="0"/>
        <v>1</v>
      </c>
      <c r="F7" s="53">
        <v>139</v>
      </c>
      <c r="G7">
        <f t="shared" si="1"/>
        <v>29.5</v>
      </c>
      <c r="H7">
        <v>1</v>
      </c>
      <c r="J7" t="s">
        <v>10</v>
      </c>
      <c r="K7">
        <f>COUNT(B3:B24)</f>
        <v>12</v>
      </c>
      <c r="M7" t="s">
        <v>95</v>
      </c>
      <c r="N7">
        <f t="shared" si="3"/>
        <v>546.75</v>
      </c>
      <c r="P7" s="39">
        <f t="shared" si="2"/>
        <v>139</v>
      </c>
    </row>
    <row r="8" spans="1:16" x14ac:dyDescent="0.3">
      <c r="A8">
        <v>6</v>
      </c>
      <c r="B8" s="53">
        <v>144</v>
      </c>
      <c r="C8" s="54">
        <v>64</v>
      </c>
      <c r="D8" s="55">
        <v>70</v>
      </c>
      <c r="E8" t="b">
        <f t="shared" si="0"/>
        <v>0</v>
      </c>
      <c r="F8" s="53">
        <v>144</v>
      </c>
      <c r="G8">
        <f t="shared" si="1"/>
        <v>31</v>
      </c>
      <c r="H8">
        <v>1</v>
      </c>
      <c r="J8" t="s">
        <v>11</v>
      </c>
      <c r="K8">
        <f>COUNT(C3:C24)</f>
        <v>12</v>
      </c>
      <c r="M8" t="s">
        <v>96</v>
      </c>
      <c r="N8">
        <f>SUM(N5:N7)</f>
        <v>15457.166666666668</v>
      </c>
      <c r="P8" s="39" t="str">
        <f t="shared" si="2"/>
        <v/>
      </c>
    </row>
    <row r="9" spans="1:16" x14ac:dyDescent="0.3">
      <c r="A9">
        <v>7</v>
      </c>
      <c r="B9" s="53">
        <v>139</v>
      </c>
      <c r="C9" s="54">
        <v>97</v>
      </c>
      <c r="D9" s="55">
        <v>46</v>
      </c>
      <c r="E9" t="b">
        <f t="shared" si="0"/>
        <v>1</v>
      </c>
      <c r="F9" s="53">
        <v>139</v>
      </c>
      <c r="G9">
        <f t="shared" si="1"/>
        <v>29.5</v>
      </c>
      <c r="H9">
        <v>1</v>
      </c>
      <c r="J9" t="s">
        <v>97</v>
      </c>
      <c r="K9">
        <f>COUNT(D3:D24)</f>
        <v>12</v>
      </c>
      <c r="P9" s="39">
        <f t="shared" si="2"/>
        <v>139</v>
      </c>
    </row>
    <row r="10" spans="1:16" x14ac:dyDescent="0.3">
      <c r="A10">
        <v>8</v>
      </c>
      <c r="B10" s="53">
        <v>98</v>
      </c>
      <c r="C10" s="54">
        <v>101</v>
      </c>
      <c r="D10" s="55">
        <v>52</v>
      </c>
      <c r="E10" t="b">
        <f t="shared" si="0"/>
        <v>0</v>
      </c>
      <c r="F10" s="53">
        <v>98</v>
      </c>
      <c r="G10">
        <f t="shared" si="1"/>
        <v>20</v>
      </c>
      <c r="H10">
        <v>1</v>
      </c>
      <c r="J10" t="s">
        <v>77</v>
      </c>
      <c r="K10">
        <f>SUM(K7:K9)</f>
        <v>36</v>
      </c>
      <c r="P10" s="39" t="str">
        <f t="shared" si="2"/>
        <v/>
      </c>
    </row>
    <row r="11" spans="1:16" x14ac:dyDescent="0.3">
      <c r="A11">
        <v>9</v>
      </c>
      <c r="B11" s="53">
        <v>146</v>
      </c>
      <c r="C11" s="54">
        <v>99</v>
      </c>
      <c r="D11" s="55">
        <v>55</v>
      </c>
      <c r="E11" t="b">
        <f t="shared" si="0"/>
        <v>0</v>
      </c>
      <c r="F11" s="53">
        <v>146</v>
      </c>
      <c r="G11">
        <f t="shared" si="1"/>
        <v>33</v>
      </c>
      <c r="H11">
        <v>1</v>
      </c>
      <c r="J11" s="43" t="s">
        <v>6</v>
      </c>
      <c r="K11" s="43"/>
      <c r="M11" t="s">
        <v>57</v>
      </c>
      <c r="N11" cm="1">
        <f t="array" ref="N11">SUM(IF(COUNTIF(F3:F68, F3:F68)&gt;=2, 1/COUNTIF(F3:F68, F3:F68)))</f>
        <v>6</v>
      </c>
      <c r="P11" s="39" t="str">
        <f t="shared" si="2"/>
        <v/>
      </c>
    </row>
    <row r="12" spans="1:16" x14ac:dyDescent="0.3">
      <c r="A12">
        <v>10</v>
      </c>
      <c r="B12" s="53">
        <v>153</v>
      </c>
      <c r="C12" s="54">
        <v>91</v>
      </c>
      <c r="D12" s="55">
        <v>39</v>
      </c>
      <c r="E12" t="b">
        <f t="shared" si="0"/>
        <v>0</v>
      </c>
      <c r="F12" s="53">
        <v>153</v>
      </c>
      <c r="G12">
        <f t="shared" si="1"/>
        <v>35</v>
      </c>
      <c r="H12">
        <v>1</v>
      </c>
      <c r="J12" t="s">
        <v>98</v>
      </c>
      <c r="K12">
        <f>(12/(K10*(K10+1)) * N8 - (3 * (K10+1)))/(1-(O19)/(K10^3-K10))</f>
        <v>28.286518060387412</v>
      </c>
      <c r="P12" s="39" t="str">
        <f t="shared" si="2"/>
        <v/>
      </c>
    </row>
    <row r="13" spans="1:16" x14ac:dyDescent="0.3">
      <c r="A13">
        <v>11</v>
      </c>
      <c r="B13" s="53">
        <v>138</v>
      </c>
      <c r="C13" s="54">
        <v>94</v>
      </c>
      <c r="D13" s="55">
        <v>41</v>
      </c>
      <c r="E13" t="b">
        <f t="shared" si="0"/>
        <v>0</v>
      </c>
      <c r="F13" s="53">
        <v>138</v>
      </c>
      <c r="G13">
        <f t="shared" si="1"/>
        <v>28</v>
      </c>
      <c r="H13">
        <v>1</v>
      </c>
      <c r="L13" t="s">
        <v>58</v>
      </c>
      <c r="M13" s="39">
        <v>105</v>
      </c>
      <c r="N13">
        <f>COUNTIF($P$3:$P$68,M13)</f>
        <v>2</v>
      </c>
      <c r="O13">
        <f>POWER(N13,3)-N13</f>
        <v>6</v>
      </c>
      <c r="P13" s="39" t="str">
        <f t="shared" si="2"/>
        <v/>
      </c>
    </row>
    <row r="14" spans="1:16" x14ac:dyDescent="0.3">
      <c r="A14">
        <v>12</v>
      </c>
      <c r="B14" s="53">
        <v>99</v>
      </c>
      <c r="C14" s="54">
        <v>105</v>
      </c>
      <c r="D14" s="55">
        <v>46</v>
      </c>
      <c r="E14" t="b">
        <f t="shared" si="0"/>
        <v>1</v>
      </c>
      <c r="F14" s="53">
        <v>99</v>
      </c>
      <c r="G14">
        <f t="shared" si="1"/>
        <v>21.5</v>
      </c>
      <c r="H14">
        <v>1</v>
      </c>
      <c r="L14" t="s">
        <v>59</v>
      </c>
      <c r="M14" s="39">
        <v>139</v>
      </c>
      <c r="N14">
        <f t="shared" ref="N14:N18" si="4">COUNTIF($P$3:$P$68,M14)</f>
        <v>2</v>
      </c>
      <c r="O14">
        <f t="shared" ref="O14:O18" si="5">POWER(N14,3)-N14</f>
        <v>6</v>
      </c>
      <c r="P14" s="39">
        <f t="shared" si="2"/>
        <v>99</v>
      </c>
    </row>
    <row r="15" spans="1:16" x14ac:dyDescent="0.3">
      <c r="B15" s="53"/>
      <c r="C15" s="54"/>
      <c r="D15" s="55"/>
      <c r="E15" t="b">
        <f t="shared" si="0"/>
        <v>0</v>
      </c>
      <c r="F15" s="53"/>
      <c r="G15" t="e">
        <f t="shared" si="1"/>
        <v>#N/A</v>
      </c>
      <c r="H15">
        <v>1</v>
      </c>
      <c r="L15" t="s">
        <v>60</v>
      </c>
      <c r="M15" s="39">
        <v>99</v>
      </c>
      <c r="N15">
        <f t="shared" si="4"/>
        <v>2</v>
      </c>
      <c r="O15">
        <f t="shared" si="5"/>
        <v>6</v>
      </c>
      <c r="P15" s="39" t="str">
        <f t="shared" si="2"/>
        <v/>
      </c>
    </row>
    <row r="16" spans="1:16" x14ac:dyDescent="0.3">
      <c r="B16" s="53"/>
      <c r="C16" s="54"/>
      <c r="D16" s="55"/>
      <c r="E16" t="b">
        <f t="shared" si="0"/>
        <v>0</v>
      </c>
      <c r="F16" s="53"/>
      <c r="G16" t="e">
        <f t="shared" si="1"/>
        <v>#N/A</v>
      </c>
      <c r="H16">
        <v>1</v>
      </c>
      <c r="L16" t="s">
        <v>61</v>
      </c>
      <c r="M16" s="39">
        <v>41</v>
      </c>
      <c r="N16">
        <f t="shared" si="4"/>
        <v>2</v>
      </c>
      <c r="O16">
        <f t="shared" si="5"/>
        <v>6</v>
      </c>
      <c r="P16" s="39" t="str">
        <f t="shared" si="2"/>
        <v/>
      </c>
    </row>
    <row r="17" spans="2:16" x14ac:dyDescent="0.3">
      <c r="B17" s="53"/>
      <c r="C17" s="54"/>
      <c r="D17" s="55"/>
      <c r="E17" t="b">
        <f t="shared" si="0"/>
        <v>0</v>
      </c>
      <c r="F17" s="53"/>
      <c r="G17" t="e">
        <f t="shared" si="1"/>
        <v>#N/A</v>
      </c>
      <c r="H17">
        <v>1</v>
      </c>
      <c r="L17" t="s">
        <v>62</v>
      </c>
      <c r="M17" s="39">
        <v>46</v>
      </c>
      <c r="N17">
        <f t="shared" si="4"/>
        <v>3</v>
      </c>
      <c r="O17">
        <f t="shared" si="5"/>
        <v>24</v>
      </c>
      <c r="P17" s="39" t="str">
        <f t="shared" si="2"/>
        <v/>
      </c>
    </row>
    <row r="18" spans="2:16" x14ac:dyDescent="0.3">
      <c r="B18" s="53"/>
      <c r="C18" s="54"/>
      <c r="D18" s="55"/>
      <c r="E18" t="b">
        <f t="shared" si="0"/>
        <v>0</v>
      </c>
      <c r="F18" s="53"/>
      <c r="G18" t="e">
        <f t="shared" si="1"/>
        <v>#N/A</v>
      </c>
      <c r="H18">
        <v>1</v>
      </c>
      <c r="L18" t="s">
        <v>63</v>
      </c>
      <c r="M18" s="39">
        <v>52</v>
      </c>
      <c r="N18">
        <f t="shared" si="4"/>
        <v>2</v>
      </c>
      <c r="O18">
        <f t="shared" si="5"/>
        <v>6</v>
      </c>
      <c r="P18" s="39" t="str">
        <f t="shared" si="2"/>
        <v/>
      </c>
    </row>
    <row r="19" spans="2:16" x14ac:dyDescent="0.3">
      <c r="B19" s="53"/>
      <c r="C19" s="54"/>
      <c r="D19" s="55"/>
      <c r="E19" t="b">
        <f t="shared" si="0"/>
        <v>0</v>
      </c>
      <c r="F19" s="53"/>
      <c r="G19" t="e">
        <f t="shared" si="1"/>
        <v>#N/A</v>
      </c>
      <c r="H19">
        <v>1</v>
      </c>
      <c r="J19" s="3" t="s">
        <v>21</v>
      </c>
      <c r="O19">
        <f>SUM(O13:O18)</f>
        <v>54</v>
      </c>
      <c r="P19" s="39" t="str">
        <f t="shared" si="2"/>
        <v/>
      </c>
    </row>
    <row r="20" spans="2:16" x14ac:dyDescent="0.3">
      <c r="B20" s="53"/>
      <c r="C20" s="54"/>
      <c r="D20" s="55"/>
      <c r="E20" t="b">
        <f t="shared" si="0"/>
        <v>0</v>
      </c>
      <c r="F20" s="53"/>
      <c r="G20" t="e">
        <f t="shared" si="1"/>
        <v>#N/A</v>
      </c>
      <c r="H20">
        <v>1</v>
      </c>
      <c r="J20" t="s">
        <v>99</v>
      </c>
      <c r="K20">
        <f>COUNT(B3:D3)</f>
        <v>3</v>
      </c>
      <c r="P20" s="39" t="str">
        <f t="shared" si="2"/>
        <v/>
      </c>
    </row>
    <row r="21" spans="2:16" x14ac:dyDescent="0.3">
      <c r="B21" s="53"/>
      <c r="C21" s="54"/>
      <c r="D21" s="55"/>
      <c r="E21" t="b">
        <f t="shared" si="0"/>
        <v>0</v>
      </c>
      <c r="F21" s="53"/>
      <c r="G21" t="e">
        <f t="shared" si="1"/>
        <v>#N/A</v>
      </c>
      <c r="H21">
        <v>1</v>
      </c>
      <c r="J21" t="s">
        <v>100</v>
      </c>
      <c r="K21">
        <f>_xlfn.CHISQ.INV(J23,J22)</f>
        <v>7.0131157946399618</v>
      </c>
      <c r="P21" s="39" t="str">
        <f t="shared" si="2"/>
        <v/>
      </c>
    </row>
    <row r="22" spans="2:16" x14ac:dyDescent="0.3">
      <c r="B22" s="53"/>
      <c r="C22" s="54"/>
      <c r="D22" s="55"/>
      <c r="E22" t="b">
        <f t="shared" si="0"/>
        <v>0</v>
      </c>
      <c r="F22" s="53"/>
      <c r="G22" t="e">
        <f t="shared" si="1"/>
        <v>#N/A</v>
      </c>
      <c r="H22">
        <v>1</v>
      </c>
      <c r="J22">
        <f>K20-1</f>
        <v>2</v>
      </c>
      <c r="P22" s="39" t="str">
        <f t="shared" si="2"/>
        <v/>
      </c>
    </row>
    <row r="23" spans="2:16" x14ac:dyDescent="0.3">
      <c r="B23" s="53"/>
      <c r="C23" s="54"/>
      <c r="D23" s="55"/>
      <c r="E23" t="b">
        <f t="shared" si="0"/>
        <v>0</v>
      </c>
      <c r="F23" s="53"/>
      <c r="G23" t="e">
        <f t="shared" si="1"/>
        <v>#N/A</v>
      </c>
      <c r="H23">
        <v>1</v>
      </c>
      <c r="J23">
        <f>1-L3</f>
        <v>0.97</v>
      </c>
      <c r="P23" s="39" t="str">
        <f t="shared" si="2"/>
        <v/>
      </c>
    </row>
    <row r="24" spans="2:16" x14ac:dyDescent="0.3">
      <c r="B24" s="53"/>
      <c r="C24" s="54"/>
      <c r="D24" s="55"/>
      <c r="E24" t="b">
        <f t="shared" si="0"/>
        <v>0</v>
      </c>
      <c r="F24" s="53"/>
      <c r="G24" t="e">
        <f t="shared" si="1"/>
        <v>#N/A</v>
      </c>
      <c r="H24">
        <v>1</v>
      </c>
      <c r="P24" s="39" t="str">
        <f t="shared" si="2"/>
        <v/>
      </c>
    </row>
    <row r="25" spans="2:16" x14ac:dyDescent="0.3">
      <c r="E25" t="b">
        <f t="shared" si="0"/>
        <v>0</v>
      </c>
      <c r="F25" s="54">
        <v>96</v>
      </c>
      <c r="G25">
        <f t="shared" si="1"/>
        <v>18</v>
      </c>
      <c r="H25">
        <v>2</v>
      </c>
      <c r="J25" t="s">
        <v>51</v>
      </c>
      <c r="P25" s="39" t="str">
        <f t="shared" si="2"/>
        <v/>
      </c>
    </row>
    <row r="26" spans="2:16" x14ac:dyDescent="0.3">
      <c r="C26">
        <f>MEDIAN(B3:D14)</f>
        <v>96.5</v>
      </c>
      <c r="E26" t="b">
        <f t="shared" si="0"/>
        <v>0</v>
      </c>
      <c r="F26" s="54">
        <v>115</v>
      </c>
      <c r="G26">
        <f t="shared" si="1"/>
        <v>27</v>
      </c>
      <c r="H26">
        <v>2</v>
      </c>
      <c r="J26">
        <f>K12</f>
        <v>28.286518060387412</v>
      </c>
      <c r="K26" s="36" t="s">
        <v>101</v>
      </c>
      <c r="L26">
        <f>K21</f>
        <v>7.0131157946399618</v>
      </c>
      <c r="P26" s="39" t="str">
        <f t="shared" si="2"/>
        <v/>
      </c>
    </row>
    <row r="27" spans="2:16" x14ac:dyDescent="0.3">
      <c r="E27" t="b">
        <f t="shared" si="0"/>
        <v>0</v>
      </c>
      <c r="F27" s="54">
        <v>100</v>
      </c>
      <c r="G27">
        <f t="shared" si="1"/>
        <v>23</v>
      </c>
      <c r="H27">
        <v>2</v>
      </c>
      <c r="P27" s="39" t="str">
        <f t="shared" si="2"/>
        <v/>
      </c>
    </row>
    <row r="28" spans="2:16" x14ac:dyDescent="0.3">
      <c r="E28" t="b">
        <f t="shared" si="0"/>
        <v>0</v>
      </c>
      <c r="F28" s="54">
        <v>75</v>
      </c>
      <c r="G28">
        <f t="shared" si="1"/>
        <v>13</v>
      </c>
      <c r="H28">
        <v>2</v>
      </c>
      <c r="J28" s="3" t="s">
        <v>25</v>
      </c>
      <c r="K28" t="s">
        <v>70</v>
      </c>
      <c r="P28" s="39" t="str">
        <f t="shared" si="2"/>
        <v/>
      </c>
    </row>
    <row r="29" spans="2:16" x14ac:dyDescent="0.3">
      <c r="E29" t="b">
        <f t="shared" si="0"/>
        <v>0</v>
      </c>
      <c r="F29" s="54">
        <v>88</v>
      </c>
      <c r="G29">
        <f t="shared" si="1"/>
        <v>15</v>
      </c>
      <c r="H29">
        <v>2</v>
      </c>
      <c r="P29" s="39" t="str">
        <f t="shared" si="2"/>
        <v/>
      </c>
    </row>
    <row r="30" spans="2:16" x14ac:dyDescent="0.3">
      <c r="E30" t="b">
        <f t="shared" si="0"/>
        <v>0</v>
      </c>
      <c r="F30" s="54">
        <v>64</v>
      </c>
      <c r="G30">
        <f t="shared" si="1"/>
        <v>11</v>
      </c>
      <c r="H30">
        <v>2</v>
      </c>
      <c r="J30" t="s">
        <v>102</v>
      </c>
      <c r="P30" s="39" t="str">
        <f t="shared" si="2"/>
        <v/>
      </c>
    </row>
    <row r="31" spans="2:16" x14ac:dyDescent="0.3">
      <c r="E31" t="b">
        <f t="shared" si="0"/>
        <v>0</v>
      </c>
      <c r="F31" s="54">
        <v>97</v>
      </c>
      <c r="G31">
        <f t="shared" si="1"/>
        <v>19</v>
      </c>
      <c r="H31">
        <v>2</v>
      </c>
      <c r="J31" t="s">
        <v>103</v>
      </c>
      <c r="P31" s="39" t="str">
        <f t="shared" si="2"/>
        <v/>
      </c>
    </row>
    <row r="32" spans="2:16" x14ac:dyDescent="0.3">
      <c r="E32" t="b">
        <f t="shared" si="0"/>
        <v>0</v>
      </c>
      <c r="F32" s="54">
        <v>101</v>
      </c>
      <c r="G32">
        <f t="shared" si="1"/>
        <v>24</v>
      </c>
      <c r="H32">
        <v>2</v>
      </c>
      <c r="P32" s="39" t="str">
        <f t="shared" si="2"/>
        <v/>
      </c>
    </row>
    <row r="33" spans="5:16" x14ac:dyDescent="0.3">
      <c r="E33" t="b">
        <f t="shared" si="0"/>
        <v>1</v>
      </c>
      <c r="F33" s="54">
        <v>99</v>
      </c>
      <c r="G33">
        <f t="shared" si="1"/>
        <v>21.5</v>
      </c>
      <c r="H33">
        <v>2</v>
      </c>
      <c r="J33" t="s">
        <v>104</v>
      </c>
      <c r="P33" s="39">
        <f t="shared" si="2"/>
        <v>99</v>
      </c>
    </row>
    <row r="34" spans="5:16" x14ac:dyDescent="0.3">
      <c r="E34" t="b">
        <f t="shared" si="0"/>
        <v>0</v>
      </c>
      <c r="F34" s="54">
        <v>91</v>
      </c>
      <c r="G34">
        <f t="shared" si="1"/>
        <v>16</v>
      </c>
      <c r="H34">
        <v>2</v>
      </c>
      <c r="J34" t="s">
        <v>44</v>
      </c>
      <c r="K34">
        <f>K4/K7</f>
        <v>29.583333333333332</v>
      </c>
      <c r="P34" s="39" t="str">
        <f t="shared" si="2"/>
        <v/>
      </c>
    </row>
    <row r="35" spans="5:16" x14ac:dyDescent="0.3">
      <c r="E35" t="b">
        <f t="shared" si="0"/>
        <v>0</v>
      </c>
      <c r="F35" s="54">
        <v>94</v>
      </c>
      <c r="G35">
        <f t="shared" si="1"/>
        <v>17</v>
      </c>
      <c r="H35">
        <v>2</v>
      </c>
      <c r="J35" t="s">
        <v>45</v>
      </c>
      <c r="K35">
        <f t="shared" ref="K35" si="6">K5/K8</f>
        <v>19.166666666666668</v>
      </c>
      <c r="P35" s="39" t="str">
        <f t="shared" si="2"/>
        <v/>
      </c>
    </row>
    <row r="36" spans="5:16" x14ac:dyDescent="0.3">
      <c r="E36" t="b">
        <f t="shared" si="0"/>
        <v>1</v>
      </c>
      <c r="F36" s="54">
        <v>105</v>
      </c>
      <c r="G36">
        <f t="shared" si="1"/>
        <v>25.5</v>
      </c>
      <c r="H36">
        <v>2</v>
      </c>
      <c r="J36" t="s">
        <v>93</v>
      </c>
      <c r="K36">
        <f>K6/K9</f>
        <v>6.75</v>
      </c>
      <c r="P36" s="39">
        <f t="shared" si="2"/>
        <v>105</v>
      </c>
    </row>
    <row r="37" spans="5:16" x14ac:dyDescent="0.3">
      <c r="E37" t="b">
        <f t="shared" si="0"/>
        <v>0</v>
      </c>
      <c r="F37" s="54"/>
      <c r="G37" t="e">
        <f t="shared" si="1"/>
        <v>#N/A</v>
      </c>
      <c r="H37">
        <v>2</v>
      </c>
      <c r="P37" s="39" t="str">
        <f t="shared" si="2"/>
        <v/>
      </c>
    </row>
    <row r="38" spans="5:16" x14ac:dyDescent="0.3">
      <c r="E38" t="b">
        <f t="shared" si="0"/>
        <v>0</v>
      </c>
      <c r="F38" s="54"/>
      <c r="G38" t="e">
        <f t="shared" si="1"/>
        <v>#N/A</v>
      </c>
      <c r="H38">
        <v>2</v>
      </c>
      <c r="J38" s="5" t="s">
        <v>105</v>
      </c>
      <c r="K38" s="5" t="s">
        <v>106</v>
      </c>
      <c r="L38" s="5" t="s">
        <v>107</v>
      </c>
      <c r="M38" s="5" t="s">
        <v>108</v>
      </c>
      <c r="N38" s="5" t="s">
        <v>109</v>
      </c>
      <c r="O38" s="5" t="s">
        <v>110</v>
      </c>
      <c r="P38" s="39" t="str">
        <f t="shared" si="2"/>
        <v/>
      </c>
    </row>
    <row r="39" spans="5:16" x14ac:dyDescent="0.3">
      <c r="E39" t="b">
        <f t="shared" si="0"/>
        <v>0</v>
      </c>
      <c r="F39" s="54"/>
      <c r="G39" t="e">
        <f t="shared" si="1"/>
        <v>#N/A</v>
      </c>
      <c r="H39">
        <v>2</v>
      </c>
      <c r="J39" s="5" t="s">
        <v>111</v>
      </c>
      <c r="K39" s="5">
        <f>K34</f>
        <v>29.583333333333332</v>
      </c>
      <c r="L39" s="5">
        <f>K35</f>
        <v>19.166666666666668</v>
      </c>
      <c r="M39" s="5">
        <f>ABS(K39-L39)</f>
        <v>10.416666666666664</v>
      </c>
      <c r="N39" s="5">
        <f>_xlfn.NORM.S.INV(1-L$3/(K$20*(K$20-1))) *SQRT(((K$10*(K$10+1))/12 - O$19/(12*(K$10-1)))*(1/K7 + 1/K8))</f>
        <v>11.072642447182886</v>
      </c>
      <c r="O39" s="5" t="str">
        <f>IF(M39&gt;N39, "Significativo", "No significativo")</f>
        <v>No significativo</v>
      </c>
      <c r="P39" s="39" t="str">
        <f t="shared" si="2"/>
        <v/>
      </c>
    </row>
    <row r="40" spans="5:16" x14ac:dyDescent="0.3">
      <c r="E40" t="b">
        <f t="shared" si="0"/>
        <v>0</v>
      </c>
      <c r="F40" s="54"/>
      <c r="G40" t="e">
        <f t="shared" si="1"/>
        <v>#N/A</v>
      </c>
      <c r="H40">
        <v>2</v>
      </c>
      <c r="J40" s="5" t="s">
        <v>112</v>
      </c>
      <c r="K40" s="5">
        <f>K34</f>
        <v>29.583333333333332</v>
      </c>
      <c r="L40" s="5">
        <f>K36</f>
        <v>6.75</v>
      </c>
      <c r="M40" s="5">
        <f>ABS(K40-L40)</f>
        <v>22.833333333333332</v>
      </c>
      <c r="N40" s="5">
        <f>_xlfn.NORM.S.INV(1-L$3/(K$20*(K$20-1))) *SQRT(((K$10*(K$10+1))/12 - O$19/(12*(K$10-1)))*(1/K7 + 1/K9))</f>
        <v>11.072642447182886</v>
      </c>
      <c r="O40" s="5" t="str">
        <f t="shared" ref="O40:O41" si="7">IF(M40&gt;N40, "Significativo", "No significativo")</f>
        <v>Significativo</v>
      </c>
      <c r="P40" s="39" t="str">
        <f t="shared" si="2"/>
        <v/>
      </c>
    </row>
    <row r="41" spans="5:16" x14ac:dyDescent="0.3">
      <c r="E41" t="b">
        <f t="shared" si="0"/>
        <v>0</v>
      </c>
      <c r="F41" s="54"/>
      <c r="G41" t="e">
        <f t="shared" si="1"/>
        <v>#N/A</v>
      </c>
      <c r="H41">
        <v>2</v>
      </c>
      <c r="J41" s="5" t="s">
        <v>113</v>
      </c>
      <c r="K41" s="5">
        <f>K35</f>
        <v>19.166666666666668</v>
      </c>
      <c r="L41" s="5">
        <f>K36</f>
        <v>6.75</v>
      </c>
      <c r="M41" s="5">
        <f>ABS(K41-L41)</f>
        <v>12.416666666666668</v>
      </c>
      <c r="N41" s="5">
        <f>_xlfn.NORM.S.INV(1-L$3/(K$20*(K$20-1))) *SQRT(((K$10*(K$10+1))/12 - O$19/(12*(K$10-1)))*(1/K8 + 1/K9))</f>
        <v>11.072642447182886</v>
      </c>
      <c r="O41" s="5" t="str">
        <f t="shared" si="7"/>
        <v>Significativo</v>
      </c>
      <c r="P41" s="39" t="str">
        <f t="shared" si="2"/>
        <v/>
      </c>
    </row>
    <row r="42" spans="5:16" x14ac:dyDescent="0.3">
      <c r="E42" t="b">
        <f t="shared" si="0"/>
        <v>0</v>
      </c>
      <c r="F42" s="54"/>
      <c r="G42" t="e">
        <f t="shared" si="1"/>
        <v>#N/A</v>
      </c>
      <c r="H42">
        <v>2</v>
      </c>
      <c r="P42" s="39" t="str">
        <f t="shared" si="2"/>
        <v/>
      </c>
    </row>
    <row r="43" spans="5:16" x14ac:dyDescent="0.3">
      <c r="E43" t="b">
        <f t="shared" si="0"/>
        <v>0</v>
      </c>
      <c r="F43" s="54"/>
      <c r="G43" t="e">
        <f t="shared" si="1"/>
        <v>#N/A</v>
      </c>
      <c r="H43">
        <v>2</v>
      </c>
      <c r="P43" s="39" t="str">
        <f t="shared" si="2"/>
        <v/>
      </c>
    </row>
    <row r="44" spans="5:16" x14ac:dyDescent="0.3">
      <c r="E44" t="b">
        <f t="shared" si="0"/>
        <v>0</v>
      </c>
      <c r="F44" s="54"/>
      <c r="G44" t="e">
        <f t="shared" si="1"/>
        <v>#N/A</v>
      </c>
      <c r="H44">
        <v>2</v>
      </c>
      <c r="P44" s="39" t="str">
        <f t="shared" si="2"/>
        <v/>
      </c>
    </row>
    <row r="45" spans="5:16" x14ac:dyDescent="0.3">
      <c r="E45" t="b">
        <f t="shared" si="0"/>
        <v>0</v>
      </c>
      <c r="F45" s="54"/>
      <c r="G45" t="e">
        <f t="shared" si="1"/>
        <v>#N/A</v>
      </c>
      <c r="H45">
        <v>2</v>
      </c>
      <c r="P45" s="39" t="str">
        <f t="shared" si="2"/>
        <v/>
      </c>
    </row>
    <row r="46" spans="5:16" x14ac:dyDescent="0.3">
      <c r="E46" t="b">
        <f t="shared" si="0"/>
        <v>0</v>
      </c>
      <c r="F46" s="54"/>
      <c r="G46" t="e">
        <f t="shared" si="1"/>
        <v>#N/A</v>
      </c>
      <c r="H46">
        <v>2</v>
      </c>
      <c r="P46" s="39" t="str">
        <f t="shared" si="2"/>
        <v/>
      </c>
    </row>
    <row r="47" spans="5:16" x14ac:dyDescent="0.3">
      <c r="E47" t="b">
        <f t="shared" si="0"/>
        <v>0</v>
      </c>
      <c r="F47" s="55">
        <v>51</v>
      </c>
      <c r="G47">
        <f t="shared" si="1"/>
        <v>7</v>
      </c>
      <c r="H47">
        <v>3</v>
      </c>
      <c r="P47" s="39" t="str">
        <f t="shared" si="2"/>
        <v/>
      </c>
    </row>
    <row r="48" spans="5:16" x14ac:dyDescent="0.3">
      <c r="E48" t="b">
        <f t="shared" si="0"/>
        <v>1</v>
      </c>
      <c r="F48" s="55">
        <v>41</v>
      </c>
      <c r="G48">
        <f t="shared" si="1"/>
        <v>2.5</v>
      </c>
      <c r="H48">
        <v>3</v>
      </c>
      <c r="P48" s="39">
        <f t="shared" si="2"/>
        <v>41</v>
      </c>
    </row>
    <row r="49" spans="5:16" x14ac:dyDescent="0.3">
      <c r="E49" t="b">
        <f t="shared" si="0"/>
        <v>1</v>
      </c>
      <c r="F49" s="55">
        <v>46</v>
      </c>
      <c r="G49">
        <f t="shared" si="1"/>
        <v>5</v>
      </c>
      <c r="H49">
        <v>3</v>
      </c>
      <c r="P49" s="39">
        <f t="shared" si="2"/>
        <v>46</v>
      </c>
    </row>
    <row r="50" spans="5:16" x14ac:dyDescent="0.3">
      <c r="E50" t="b">
        <f t="shared" si="0"/>
        <v>0</v>
      </c>
      <c r="F50" s="55">
        <v>79</v>
      </c>
      <c r="G50">
        <f t="shared" si="1"/>
        <v>14</v>
      </c>
      <c r="H50">
        <v>3</v>
      </c>
      <c r="P50" s="39" t="str">
        <f t="shared" si="2"/>
        <v/>
      </c>
    </row>
    <row r="51" spans="5:16" x14ac:dyDescent="0.3">
      <c r="E51" t="b">
        <f t="shared" si="0"/>
        <v>1</v>
      </c>
      <c r="F51" s="55">
        <v>52</v>
      </c>
      <c r="G51">
        <f t="shared" si="1"/>
        <v>8.5</v>
      </c>
      <c r="H51">
        <v>3</v>
      </c>
      <c r="P51" s="39">
        <f t="shared" si="2"/>
        <v>52</v>
      </c>
    </row>
    <row r="52" spans="5:16" x14ac:dyDescent="0.3">
      <c r="E52" t="b">
        <f t="shared" si="0"/>
        <v>0</v>
      </c>
      <c r="F52" s="55">
        <v>70</v>
      </c>
      <c r="G52">
        <f t="shared" si="1"/>
        <v>12</v>
      </c>
      <c r="H52">
        <v>3</v>
      </c>
      <c r="P52" s="39" t="str">
        <f t="shared" si="2"/>
        <v/>
      </c>
    </row>
    <row r="53" spans="5:16" x14ac:dyDescent="0.3">
      <c r="E53" t="b">
        <f t="shared" si="0"/>
        <v>1</v>
      </c>
      <c r="F53" s="55">
        <v>46</v>
      </c>
      <c r="G53">
        <f t="shared" si="1"/>
        <v>5</v>
      </c>
      <c r="H53">
        <v>3</v>
      </c>
      <c r="P53" s="39">
        <f t="shared" si="2"/>
        <v>46</v>
      </c>
    </row>
    <row r="54" spans="5:16" x14ac:dyDescent="0.3">
      <c r="E54" t="b">
        <f t="shared" si="0"/>
        <v>1</v>
      </c>
      <c r="F54" s="55">
        <v>52</v>
      </c>
      <c r="G54">
        <f t="shared" si="1"/>
        <v>8.5</v>
      </c>
      <c r="H54">
        <v>3</v>
      </c>
      <c r="P54" s="39">
        <f t="shared" si="2"/>
        <v>52</v>
      </c>
    </row>
    <row r="55" spans="5:16" x14ac:dyDescent="0.3">
      <c r="E55" t="b">
        <f t="shared" si="0"/>
        <v>0</v>
      </c>
      <c r="F55" s="55">
        <v>55</v>
      </c>
      <c r="G55">
        <f t="shared" si="1"/>
        <v>10</v>
      </c>
      <c r="H55">
        <v>3</v>
      </c>
      <c r="P55" s="39" t="str">
        <f t="shared" si="2"/>
        <v/>
      </c>
    </row>
    <row r="56" spans="5:16" x14ac:dyDescent="0.3">
      <c r="E56" t="b">
        <f t="shared" si="0"/>
        <v>0</v>
      </c>
      <c r="F56" s="55">
        <v>39</v>
      </c>
      <c r="G56">
        <f t="shared" si="1"/>
        <v>1</v>
      </c>
      <c r="H56">
        <v>3</v>
      </c>
      <c r="P56" s="39" t="str">
        <f t="shared" si="2"/>
        <v/>
      </c>
    </row>
    <row r="57" spans="5:16" x14ac:dyDescent="0.3">
      <c r="E57" t="b">
        <f t="shared" si="0"/>
        <v>1</v>
      </c>
      <c r="F57" s="55">
        <v>41</v>
      </c>
      <c r="G57">
        <f t="shared" si="1"/>
        <v>2.5</v>
      </c>
      <c r="H57">
        <v>3</v>
      </c>
      <c r="P57" s="39">
        <f t="shared" si="2"/>
        <v>41</v>
      </c>
    </row>
    <row r="58" spans="5:16" x14ac:dyDescent="0.3">
      <c r="E58" t="b">
        <f t="shared" si="0"/>
        <v>1</v>
      </c>
      <c r="F58" s="55">
        <v>46</v>
      </c>
      <c r="G58">
        <f t="shared" si="1"/>
        <v>5</v>
      </c>
      <c r="H58">
        <v>3</v>
      </c>
      <c r="P58" s="39">
        <f t="shared" si="2"/>
        <v>46</v>
      </c>
    </row>
    <row r="59" spans="5:16" x14ac:dyDescent="0.3">
      <c r="E59" t="b">
        <f t="shared" si="0"/>
        <v>0</v>
      </c>
      <c r="F59" s="55"/>
      <c r="G59" t="e">
        <f t="shared" si="1"/>
        <v>#N/A</v>
      </c>
      <c r="H59">
        <v>3</v>
      </c>
      <c r="P59" s="39" t="str">
        <f t="shared" si="2"/>
        <v/>
      </c>
    </row>
    <row r="60" spans="5:16" x14ac:dyDescent="0.3">
      <c r="E60" t="b">
        <f t="shared" si="0"/>
        <v>0</v>
      </c>
      <c r="F60" s="55"/>
      <c r="G60" t="e">
        <f t="shared" si="1"/>
        <v>#N/A</v>
      </c>
      <c r="H60">
        <v>3</v>
      </c>
      <c r="P60" s="39" t="str">
        <f t="shared" si="2"/>
        <v/>
      </c>
    </row>
    <row r="61" spans="5:16" x14ac:dyDescent="0.3">
      <c r="E61" t="b">
        <f t="shared" si="0"/>
        <v>0</v>
      </c>
      <c r="F61" s="55"/>
      <c r="G61" t="e">
        <f t="shared" si="1"/>
        <v>#N/A</v>
      </c>
      <c r="H61">
        <v>3</v>
      </c>
      <c r="P61" s="39" t="str">
        <f t="shared" si="2"/>
        <v/>
      </c>
    </row>
    <row r="62" spans="5:16" x14ac:dyDescent="0.3">
      <c r="E62" t="b">
        <f t="shared" si="0"/>
        <v>0</v>
      </c>
      <c r="F62" s="55"/>
      <c r="G62" t="e">
        <f t="shared" si="1"/>
        <v>#N/A</v>
      </c>
      <c r="H62">
        <v>3</v>
      </c>
      <c r="P62" s="39" t="str">
        <f t="shared" si="2"/>
        <v/>
      </c>
    </row>
    <row r="63" spans="5:16" x14ac:dyDescent="0.3">
      <c r="E63" t="b">
        <f t="shared" si="0"/>
        <v>0</v>
      </c>
      <c r="F63" s="55"/>
      <c r="G63" t="e">
        <f t="shared" si="1"/>
        <v>#N/A</v>
      </c>
      <c r="H63">
        <v>3</v>
      </c>
      <c r="P63" s="39" t="str">
        <f t="shared" si="2"/>
        <v/>
      </c>
    </row>
    <row r="64" spans="5:16" x14ac:dyDescent="0.3">
      <c r="E64" t="b">
        <f t="shared" si="0"/>
        <v>0</v>
      </c>
      <c r="F64" s="55"/>
      <c r="G64" t="e">
        <f t="shared" si="1"/>
        <v>#N/A</v>
      </c>
      <c r="H64">
        <v>3</v>
      </c>
      <c r="P64" s="39" t="str">
        <f t="shared" si="2"/>
        <v/>
      </c>
    </row>
    <row r="65" spans="5:16" x14ac:dyDescent="0.3">
      <c r="E65" t="b">
        <f t="shared" si="0"/>
        <v>0</v>
      </c>
      <c r="F65" s="55"/>
      <c r="G65" t="e">
        <f t="shared" si="1"/>
        <v>#N/A</v>
      </c>
      <c r="H65">
        <v>3</v>
      </c>
      <c r="P65" s="39" t="str">
        <f t="shared" si="2"/>
        <v/>
      </c>
    </row>
    <row r="66" spans="5:16" x14ac:dyDescent="0.3">
      <c r="E66" t="b">
        <f t="shared" si="0"/>
        <v>0</v>
      </c>
      <c r="F66" s="55"/>
      <c r="G66" t="e">
        <f t="shared" si="1"/>
        <v>#N/A</v>
      </c>
      <c r="H66">
        <v>3</v>
      </c>
      <c r="P66" s="39" t="str">
        <f t="shared" si="2"/>
        <v/>
      </c>
    </row>
    <row r="67" spans="5:16" x14ac:dyDescent="0.3">
      <c r="E67" t="b">
        <f t="shared" si="0"/>
        <v>0</v>
      </c>
      <c r="F67" s="55"/>
      <c r="G67" t="e">
        <f t="shared" si="1"/>
        <v>#N/A</v>
      </c>
      <c r="H67">
        <v>3</v>
      </c>
      <c r="P67" s="39" t="str">
        <f t="shared" si="2"/>
        <v/>
      </c>
    </row>
    <row r="68" spans="5:16" x14ac:dyDescent="0.3">
      <c r="E68" t="b">
        <f t="shared" ref="E68" si="8">COUNTIF(F$3:F$68, F68) &gt;= 2</f>
        <v>0</v>
      </c>
      <c r="F68" s="55"/>
      <c r="G68" t="e">
        <f t="shared" si="1"/>
        <v>#N/A</v>
      </c>
      <c r="H68">
        <v>3</v>
      </c>
      <c r="P68" s="39" t="str">
        <f t="shared" ref="P68" si="9">IF(E68=TRUE, F68, "")</f>
        <v/>
      </c>
    </row>
  </sheetData>
  <mergeCells count="2">
    <mergeCell ref="J3:K3"/>
    <mergeCell ref="J11:K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CAD7-E6CC-4EBD-B210-D1F4AA50C788}">
  <dimension ref="A1:M55"/>
  <sheetViews>
    <sheetView zoomScale="76" workbookViewId="0">
      <selection sqref="A1:N55"/>
    </sheetView>
  </sheetViews>
  <sheetFormatPr baseColWidth="10" defaultRowHeight="14.4" x14ac:dyDescent="0.3"/>
  <sheetData>
    <row r="1" spans="1:13" x14ac:dyDescent="0.3">
      <c r="A1" t="s">
        <v>114</v>
      </c>
    </row>
    <row r="3" spans="1:13" x14ac:dyDescent="0.3">
      <c r="B3" t="s">
        <v>115</v>
      </c>
      <c r="C3" t="s">
        <v>116</v>
      </c>
      <c r="F3" t="s">
        <v>9</v>
      </c>
      <c r="G3" t="s">
        <v>43</v>
      </c>
      <c r="I3" t="s">
        <v>117</v>
      </c>
      <c r="J3">
        <f>SUMIF(G4:G26,"&gt;=0")</f>
        <v>51.5</v>
      </c>
      <c r="L3" t="s">
        <v>10</v>
      </c>
      <c r="M3">
        <f>COUNT(B4:B26)</f>
        <v>8</v>
      </c>
    </row>
    <row r="4" spans="1:13" x14ac:dyDescent="0.3">
      <c r="B4" s="55">
        <v>13.7</v>
      </c>
      <c r="C4" s="56">
        <v>14.1</v>
      </c>
      <c r="F4" s="55">
        <v>13.7</v>
      </c>
      <c r="G4" s="39">
        <f>_xlfn.RANK.AVG(F4,F$4:F$49,1)</f>
        <v>1</v>
      </c>
      <c r="I4" t="s">
        <v>118</v>
      </c>
      <c r="J4">
        <f>SUMIF(G27:G49,"&gt;=0")</f>
        <v>39.5</v>
      </c>
      <c r="L4" t="s">
        <v>11</v>
      </c>
      <c r="M4">
        <f>COUNT(C4:C26)</f>
        <v>5</v>
      </c>
    </row>
    <row r="5" spans="1:13" x14ac:dyDescent="0.3">
      <c r="B5" s="55">
        <v>13.8</v>
      </c>
      <c r="C5" s="56">
        <v>14.2</v>
      </c>
      <c r="F5" s="55">
        <v>13.8</v>
      </c>
      <c r="G5" s="39">
        <f t="shared" ref="G5:G49" si="0">_xlfn.RANK.AVG(F5,F$4:F$49,1)</f>
        <v>2</v>
      </c>
      <c r="L5" t="s">
        <v>77</v>
      </c>
      <c r="M5">
        <f>SUM(M3:M4)</f>
        <v>13</v>
      </c>
    </row>
    <row r="6" spans="1:13" x14ac:dyDescent="0.3">
      <c r="B6" s="55">
        <v>14</v>
      </c>
      <c r="C6" s="56">
        <v>15</v>
      </c>
      <c r="F6" s="55">
        <v>14</v>
      </c>
      <c r="G6" s="39">
        <f t="shared" si="0"/>
        <v>3</v>
      </c>
      <c r="I6" t="s">
        <v>119</v>
      </c>
      <c r="J6">
        <f>(M3+M4+1)/2</f>
        <v>7</v>
      </c>
    </row>
    <row r="7" spans="1:13" x14ac:dyDescent="0.3">
      <c r="B7" s="55">
        <v>14.1</v>
      </c>
      <c r="C7" s="56">
        <v>15</v>
      </c>
      <c r="F7" s="55">
        <v>14.1</v>
      </c>
      <c r="G7" s="39">
        <f t="shared" si="0"/>
        <v>4.5</v>
      </c>
    </row>
    <row r="8" spans="1:13" x14ac:dyDescent="0.3">
      <c r="B8" s="55">
        <v>14.4</v>
      </c>
      <c r="C8" s="56">
        <v>15.6</v>
      </c>
      <c r="F8" s="55">
        <v>14.4</v>
      </c>
      <c r="G8" s="39">
        <f t="shared" si="0"/>
        <v>7</v>
      </c>
      <c r="I8" s="3" t="s">
        <v>2</v>
      </c>
      <c r="J8" t="s">
        <v>120</v>
      </c>
      <c r="K8" t="s">
        <v>121</v>
      </c>
    </row>
    <row r="9" spans="1:13" x14ac:dyDescent="0.3">
      <c r="B9" s="55">
        <v>15.3</v>
      </c>
      <c r="C9" s="56"/>
      <c r="F9" s="55">
        <v>15.3</v>
      </c>
      <c r="G9" s="39">
        <f t="shared" si="0"/>
        <v>10.5</v>
      </c>
      <c r="J9" t="s">
        <v>122</v>
      </c>
      <c r="K9" t="s">
        <v>123</v>
      </c>
    </row>
    <row r="10" spans="1:13" x14ac:dyDescent="0.3">
      <c r="B10" s="55">
        <v>15.3</v>
      </c>
      <c r="C10" s="56"/>
      <c r="F10" s="55">
        <v>15.3</v>
      </c>
      <c r="G10" s="39">
        <f t="shared" si="0"/>
        <v>10.5</v>
      </c>
    </row>
    <row r="11" spans="1:13" x14ac:dyDescent="0.3">
      <c r="B11" s="55">
        <v>15.7</v>
      </c>
      <c r="C11" s="56"/>
      <c r="F11" s="55">
        <v>15.7</v>
      </c>
      <c r="G11" s="39">
        <f t="shared" si="0"/>
        <v>13</v>
      </c>
      <c r="I11" s="43" t="s">
        <v>5</v>
      </c>
      <c r="J11" s="43"/>
      <c r="K11">
        <v>0.05</v>
      </c>
    </row>
    <row r="12" spans="1:13" x14ac:dyDescent="0.3">
      <c r="B12" s="55"/>
      <c r="C12" s="56"/>
      <c r="F12" s="55"/>
      <c r="G12" s="39" t="e">
        <f t="shared" si="0"/>
        <v>#N/A</v>
      </c>
    </row>
    <row r="13" spans="1:13" x14ac:dyDescent="0.3">
      <c r="B13" s="55"/>
      <c r="C13" s="56"/>
      <c r="F13" s="55"/>
      <c r="G13" s="39" t="e">
        <f t="shared" si="0"/>
        <v>#N/A</v>
      </c>
    </row>
    <row r="14" spans="1:13" x14ac:dyDescent="0.3">
      <c r="B14" s="55"/>
      <c r="C14" s="56"/>
      <c r="F14" s="55"/>
      <c r="G14" s="39" t="e">
        <f t="shared" si="0"/>
        <v>#N/A</v>
      </c>
      <c r="I14" s="43" t="s">
        <v>6</v>
      </c>
      <c r="J14" s="43"/>
    </row>
    <row r="15" spans="1:13" x14ac:dyDescent="0.3">
      <c r="B15" s="55"/>
      <c r="C15" s="56"/>
      <c r="F15" s="55"/>
      <c r="G15" s="39" t="e">
        <f t="shared" si="0"/>
        <v>#N/A</v>
      </c>
    </row>
    <row r="16" spans="1:13" x14ac:dyDescent="0.3">
      <c r="B16" s="55"/>
      <c r="C16" s="56"/>
      <c r="F16" s="55"/>
      <c r="G16" s="39" t="e">
        <f t="shared" si="0"/>
        <v>#N/A</v>
      </c>
      <c r="I16" s="5" t="s">
        <v>124</v>
      </c>
      <c r="J16" s="5" t="s">
        <v>125</v>
      </c>
      <c r="K16" s="5" t="s">
        <v>126</v>
      </c>
    </row>
    <row r="17" spans="2:11" x14ac:dyDescent="0.3">
      <c r="B17" s="55"/>
      <c r="C17" s="56"/>
      <c r="F17" s="55"/>
      <c r="G17" s="39" t="e">
        <f t="shared" si="0"/>
        <v>#N/A</v>
      </c>
      <c r="I17" s="57">
        <v>4.5</v>
      </c>
      <c r="J17" s="5">
        <f t="shared" ref="J17:J39" si="1">I17-J$6</f>
        <v>-2.5</v>
      </c>
      <c r="K17" s="5">
        <f>POWER(J17,2)</f>
        <v>6.25</v>
      </c>
    </row>
    <row r="18" spans="2:11" x14ac:dyDescent="0.3">
      <c r="B18" s="55"/>
      <c r="C18" s="56"/>
      <c r="F18" s="55"/>
      <c r="G18" s="39" t="e">
        <f t="shared" si="0"/>
        <v>#N/A</v>
      </c>
      <c r="I18" s="57">
        <v>6</v>
      </c>
      <c r="J18" s="5">
        <f t="shared" si="1"/>
        <v>-1</v>
      </c>
      <c r="K18" s="5">
        <f t="shared" ref="K18:K39" si="2">POWER(J18,2)</f>
        <v>1</v>
      </c>
    </row>
    <row r="19" spans="2:11" x14ac:dyDescent="0.3">
      <c r="B19" s="55"/>
      <c r="C19" s="56"/>
      <c r="F19" s="55"/>
      <c r="G19" s="39" t="e">
        <f t="shared" si="0"/>
        <v>#N/A</v>
      </c>
      <c r="I19" s="57">
        <v>8.5</v>
      </c>
      <c r="J19" s="5">
        <f t="shared" si="1"/>
        <v>1.5</v>
      </c>
      <c r="K19" s="5">
        <f t="shared" si="2"/>
        <v>2.25</v>
      </c>
    </row>
    <row r="20" spans="2:11" x14ac:dyDescent="0.3">
      <c r="B20" s="55"/>
      <c r="C20" s="56"/>
      <c r="F20" s="55"/>
      <c r="G20" s="39" t="e">
        <f t="shared" si="0"/>
        <v>#N/A</v>
      </c>
      <c r="I20" s="57">
        <v>8.5</v>
      </c>
      <c r="J20" s="5">
        <f t="shared" si="1"/>
        <v>1.5</v>
      </c>
      <c r="K20" s="5">
        <f t="shared" si="2"/>
        <v>2.25</v>
      </c>
    </row>
    <row r="21" spans="2:11" x14ac:dyDescent="0.3">
      <c r="B21" s="55"/>
      <c r="C21" s="56"/>
      <c r="F21" s="55"/>
      <c r="G21" s="39" t="e">
        <f t="shared" si="0"/>
        <v>#N/A</v>
      </c>
      <c r="I21" s="57">
        <v>12</v>
      </c>
      <c r="J21" s="5">
        <f t="shared" si="1"/>
        <v>5</v>
      </c>
      <c r="K21" s="5">
        <f t="shared" si="2"/>
        <v>25</v>
      </c>
    </row>
    <row r="22" spans="2:11" x14ac:dyDescent="0.3">
      <c r="B22" s="55"/>
      <c r="C22" s="56"/>
      <c r="F22" s="55"/>
      <c r="G22" s="39" t="e">
        <f t="shared" si="0"/>
        <v>#N/A</v>
      </c>
      <c r="I22" s="57" t="e">
        <v>#N/A</v>
      </c>
      <c r="J22" s="5" t="e">
        <f t="shared" si="1"/>
        <v>#N/A</v>
      </c>
      <c r="K22" s="5" t="e">
        <f t="shared" si="2"/>
        <v>#N/A</v>
      </c>
    </row>
    <row r="23" spans="2:11" x14ac:dyDescent="0.3">
      <c r="B23" s="55"/>
      <c r="C23" s="56"/>
      <c r="F23" s="55"/>
      <c r="G23" s="39" t="e">
        <f t="shared" si="0"/>
        <v>#N/A</v>
      </c>
      <c r="I23" s="57" t="e">
        <v>#N/A</v>
      </c>
      <c r="J23" s="5" t="e">
        <f t="shared" si="1"/>
        <v>#N/A</v>
      </c>
      <c r="K23" s="5" t="e">
        <f t="shared" si="2"/>
        <v>#N/A</v>
      </c>
    </row>
    <row r="24" spans="2:11" x14ac:dyDescent="0.3">
      <c r="B24" s="55"/>
      <c r="C24" s="56"/>
      <c r="F24" s="55"/>
      <c r="G24" s="39" t="e">
        <f t="shared" si="0"/>
        <v>#N/A</v>
      </c>
      <c r="I24" s="57" t="e">
        <v>#N/A</v>
      </c>
      <c r="J24" s="5" t="e">
        <f t="shared" si="1"/>
        <v>#N/A</v>
      </c>
      <c r="K24" s="5" t="e">
        <f t="shared" si="2"/>
        <v>#N/A</v>
      </c>
    </row>
    <row r="25" spans="2:11" x14ac:dyDescent="0.3">
      <c r="B25" s="55"/>
      <c r="C25" s="56"/>
      <c r="F25" s="55"/>
      <c r="G25" s="39" t="e">
        <f t="shared" si="0"/>
        <v>#N/A</v>
      </c>
      <c r="I25" s="57" t="e">
        <v>#N/A</v>
      </c>
      <c r="J25" s="5" t="e">
        <f t="shared" si="1"/>
        <v>#N/A</v>
      </c>
      <c r="K25" s="5" t="e">
        <f t="shared" si="2"/>
        <v>#N/A</v>
      </c>
    </row>
    <row r="26" spans="2:11" x14ac:dyDescent="0.3">
      <c r="B26" s="55"/>
      <c r="C26" s="56"/>
      <c r="F26" s="55"/>
      <c r="G26" s="39" t="e">
        <f t="shared" si="0"/>
        <v>#N/A</v>
      </c>
      <c r="I26" s="57" t="e">
        <v>#N/A</v>
      </c>
      <c r="J26" s="5" t="e">
        <f t="shared" si="1"/>
        <v>#N/A</v>
      </c>
      <c r="K26" s="5" t="e">
        <f t="shared" si="2"/>
        <v>#N/A</v>
      </c>
    </row>
    <row r="27" spans="2:11" x14ac:dyDescent="0.3">
      <c r="F27" s="56">
        <v>14.1</v>
      </c>
      <c r="G27" s="57">
        <f t="shared" si="0"/>
        <v>4.5</v>
      </c>
      <c r="I27" s="57" t="e">
        <v>#N/A</v>
      </c>
      <c r="J27" s="5" t="e">
        <f t="shared" si="1"/>
        <v>#N/A</v>
      </c>
      <c r="K27" s="5" t="e">
        <f t="shared" si="2"/>
        <v>#N/A</v>
      </c>
    </row>
    <row r="28" spans="2:11" x14ac:dyDescent="0.3">
      <c r="F28" s="56">
        <v>14.2</v>
      </c>
      <c r="G28" s="57">
        <f t="shared" si="0"/>
        <v>6</v>
      </c>
      <c r="I28" s="57" t="e">
        <v>#N/A</v>
      </c>
      <c r="J28" s="5" t="e">
        <f t="shared" si="1"/>
        <v>#N/A</v>
      </c>
      <c r="K28" s="5" t="e">
        <f t="shared" si="2"/>
        <v>#N/A</v>
      </c>
    </row>
    <row r="29" spans="2:11" x14ac:dyDescent="0.3">
      <c r="F29" s="56">
        <v>15</v>
      </c>
      <c r="G29" s="57">
        <f t="shared" si="0"/>
        <v>8.5</v>
      </c>
      <c r="I29" s="57" t="e">
        <v>#N/A</v>
      </c>
      <c r="J29" s="5" t="e">
        <f t="shared" si="1"/>
        <v>#N/A</v>
      </c>
      <c r="K29" s="5" t="e">
        <f t="shared" si="2"/>
        <v>#N/A</v>
      </c>
    </row>
    <row r="30" spans="2:11" x14ac:dyDescent="0.3">
      <c r="F30" s="56">
        <v>15</v>
      </c>
      <c r="G30" s="57">
        <f t="shared" si="0"/>
        <v>8.5</v>
      </c>
      <c r="I30" s="57" t="e">
        <v>#N/A</v>
      </c>
      <c r="J30" s="5" t="e">
        <f t="shared" si="1"/>
        <v>#N/A</v>
      </c>
      <c r="K30" s="5" t="e">
        <f t="shared" si="2"/>
        <v>#N/A</v>
      </c>
    </row>
    <row r="31" spans="2:11" x14ac:dyDescent="0.3">
      <c r="F31" s="56">
        <v>15.6</v>
      </c>
      <c r="G31" s="57">
        <f t="shared" si="0"/>
        <v>12</v>
      </c>
      <c r="I31" s="57" t="e">
        <v>#N/A</v>
      </c>
      <c r="J31" s="5" t="e">
        <f t="shared" si="1"/>
        <v>#N/A</v>
      </c>
      <c r="K31" s="5" t="e">
        <f t="shared" si="2"/>
        <v>#N/A</v>
      </c>
    </row>
    <row r="32" spans="2:11" x14ac:dyDescent="0.3">
      <c r="F32" s="56"/>
      <c r="G32" s="57" t="e">
        <f t="shared" si="0"/>
        <v>#N/A</v>
      </c>
      <c r="I32" s="57" t="e">
        <v>#N/A</v>
      </c>
      <c r="J32" s="5" t="e">
        <f t="shared" si="1"/>
        <v>#N/A</v>
      </c>
      <c r="K32" s="5" t="e">
        <f t="shared" si="2"/>
        <v>#N/A</v>
      </c>
    </row>
    <row r="33" spans="6:13" x14ac:dyDescent="0.3">
      <c r="F33" s="56"/>
      <c r="G33" s="57" t="e">
        <f t="shared" si="0"/>
        <v>#N/A</v>
      </c>
      <c r="I33" s="57" t="e">
        <v>#N/A</v>
      </c>
      <c r="J33" s="5" t="e">
        <f t="shared" si="1"/>
        <v>#N/A</v>
      </c>
      <c r="K33" s="5" t="e">
        <f t="shared" si="2"/>
        <v>#N/A</v>
      </c>
    </row>
    <row r="34" spans="6:13" x14ac:dyDescent="0.3">
      <c r="F34" s="56"/>
      <c r="G34" s="57" t="e">
        <f t="shared" si="0"/>
        <v>#N/A</v>
      </c>
      <c r="I34" s="57" t="e">
        <v>#N/A</v>
      </c>
      <c r="J34" s="5" t="e">
        <f t="shared" si="1"/>
        <v>#N/A</v>
      </c>
      <c r="K34" s="5" t="e">
        <f t="shared" si="2"/>
        <v>#N/A</v>
      </c>
    </row>
    <row r="35" spans="6:13" x14ac:dyDescent="0.3">
      <c r="F35" s="56"/>
      <c r="G35" s="57" t="e">
        <f t="shared" si="0"/>
        <v>#N/A</v>
      </c>
      <c r="I35" s="57" t="e">
        <v>#N/A</v>
      </c>
      <c r="J35" s="5" t="e">
        <f t="shared" si="1"/>
        <v>#N/A</v>
      </c>
      <c r="K35" s="5" t="e">
        <f t="shared" si="2"/>
        <v>#N/A</v>
      </c>
    </row>
    <row r="36" spans="6:13" x14ac:dyDescent="0.3">
      <c r="F36" s="56"/>
      <c r="G36" s="57" t="e">
        <f t="shared" si="0"/>
        <v>#N/A</v>
      </c>
      <c r="I36" s="57" t="e">
        <v>#N/A</v>
      </c>
      <c r="J36" s="5" t="e">
        <f t="shared" si="1"/>
        <v>#N/A</v>
      </c>
      <c r="K36" s="5" t="e">
        <f t="shared" si="2"/>
        <v>#N/A</v>
      </c>
    </row>
    <row r="37" spans="6:13" x14ac:dyDescent="0.3">
      <c r="F37" s="56"/>
      <c r="G37" s="57" t="e">
        <f t="shared" si="0"/>
        <v>#N/A</v>
      </c>
      <c r="I37" s="57" t="e">
        <v>#N/A</v>
      </c>
      <c r="J37" s="5" t="e">
        <f t="shared" si="1"/>
        <v>#N/A</v>
      </c>
      <c r="K37" s="5" t="e">
        <f t="shared" si="2"/>
        <v>#N/A</v>
      </c>
    </row>
    <row r="38" spans="6:13" x14ac:dyDescent="0.3">
      <c r="F38" s="56"/>
      <c r="G38" s="57" t="e">
        <f t="shared" si="0"/>
        <v>#N/A</v>
      </c>
      <c r="I38" s="57" t="e">
        <v>#N/A</v>
      </c>
      <c r="J38" s="5" t="e">
        <f t="shared" si="1"/>
        <v>#N/A</v>
      </c>
      <c r="K38" s="5" t="e">
        <f t="shared" si="2"/>
        <v>#N/A</v>
      </c>
    </row>
    <row r="39" spans="6:13" x14ac:dyDescent="0.3">
      <c r="F39" s="56"/>
      <c r="G39" s="57" t="e">
        <f t="shared" si="0"/>
        <v>#N/A</v>
      </c>
      <c r="I39" s="57" t="e">
        <v>#N/A</v>
      </c>
      <c r="J39" s="5" t="e">
        <f t="shared" si="1"/>
        <v>#N/A</v>
      </c>
      <c r="K39" s="5" t="e">
        <f t="shared" si="2"/>
        <v>#N/A</v>
      </c>
    </row>
    <row r="40" spans="6:13" x14ac:dyDescent="0.3">
      <c r="F40" s="56"/>
      <c r="G40" s="57" t="e">
        <f t="shared" si="0"/>
        <v>#N/A</v>
      </c>
      <c r="I40" s="5"/>
      <c r="J40" s="5"/>
      <c r="K40" s="5">
        <f>SUMIF(K17:K39,"&gt;=0")</f>
        <v>36.75</v>
      </c>
    </row>
    <row r="41" spans="6:13" x14ac:dyDescent="0.3">
      <c r="F41" s="56"/>
      <c r="G41" s="57" t="e">
        <f t="shared" si="0"/>
        <v>#N/A</v>
      </c>
    </row>
    <row r="42" spans="6:13" x14ac:dyDescent="0.3">
      <c r="F42" s="56"/>
      <c r="G42" s="57" t="e">
        <f t="shared" si="0"/>
        <v>#N/A</v>
      </c>
      <c r="I42" s="5" t="s">
        <v>127</v>
      </c>
      <c r="J42" s="5">
        <f>K40</f>
        <v>36.75</v>
      </c>
    </row>
    <row r="43" spans="6:13" x14ac:dyDescent="0.3">
      <c r="F43" s="56"/>
      <c r="G43" s="57" t="e">
        <f t="shared" si="0"/>
        <v>#N/A</v>
      </c>
      <c r="I43" s="58"/>
    </row>
    <row r="44" spans="6:13" x14ac:dyDescent="0.3">
      <c r="F44" s="56"/>
      <c r="G44" s="57" t="e">
        <f t="shared" si="0"/>
        <v>#N/A</v>
      </c>
      <c r="I44" s="3" t="s">
        <v>21</v>
      </c>
    </row>
    <row r="45" spans="6:13" x14ac:dyDescent="0.3">
      <c r="F45" s="56"/>
      <c r="G45" s="57" t="e">
        <f t="shared" si="0"/>
        <v>#N/A</v>
      </c>
      <c r="I45" s="5" t="s">
        <v>10</v>
      </c>
      <c r="J45" s="5">
        <f>M3</f>
        <v>8</v>
      </c>
      <c r="K45" s="5"/>
      <c r="L45" s="5" t="s">
        <v>128</v>
      </c>
      <c r="M45" s="59">
        <v>26</v>
      </c>
    </row>
    <row r="46" spans="6:13" x14ac:dyDescent="0.3">
      <c r="F46" s="56"/>
      <c r="G46" s="57" t="e">
        <f t="shared" si="0"/>
        <v>#N/A</v>
      </c>
      <c r="I46" s="5" t="s">
        <v>11</v>
      </c>
      <c r="J46" s="5">
        <f>M4</f>
        <v>5</v>
      </c>
      <c r="K46" s="5"/>
      <c r="L46" s="5" t="s">
        <v>129</v>
      </c>
      <c r="M46" s="59">
        <v>114</v>
      </c>
    </row>
    <row r="47" spans="6:13" x14ac:dyDescent="0.3">
      <c r="F47" s="56"/>
      <c r="G47" s="57" t="e">
        <f t="shared" si="0"/>
        <v>#N/A</v>
      </c>
      <c r="I47" s="37" t="s">
        <v>130</v>
      </c>
      <c r="J47" s="5">
        <f>K11/2</f>
        <v>2.5000000000000001E-2</v>
      </c>
      <c r="K47" s="5"/>
      <c r="L47" s="5"/>
      <c r="M47" s="5"/>
    </row>
    <row r="48" spans="6:13" x14ac:dyDescent="0.3">
      <c r="F48" s="56"/>
      <c r="G48" s="57" t="e">
        <f t="shared" si="0"/>
        <v>#N/A</v>
      </c>
      <c r="I48" s="5" t="s">
        <v>131</v>
      </c>
      <c r="J48" s="5">
        <f>1-K11/2</f>
        <v>0.97499999999999998</v>
      </c>
      <c r="K48" s="5"/>
      <c r="L48" s="5"/>
      <c r="M48" s="5"/>
    </row>
    <row r="49" spans="6:11" x14ac:dyDescent="0.3">
      <c r="F49" s="56"/>
      <c r="G49" s="57" t="e">
        <f t="shared" si="0"/>
        <v>#N/A</v>
      </c>
    </row>
    <row r="50" spans="6:11" x14ac:dyDescent="0.3">
      <c r="I50" t="s">
        <v>51</v>
      </c>
    </row>
    <row r="52" spans="6:11" x14ac:dyDescent="0.3">
      <c r="I52" s="5">
        <f>J42</f>
        <v>36.75</v>
      </c>
      <c r="J52" s="42" t="s">
        <v>24</v>
      </c>
      <c r="K52" s="5">
        <f>M45</f>
        <v>26</v>
      </c>
    </row>
    <row r="53" spans="6:11" x14ac:dyDescent="0.3">
      <c r="I53" s="5">
        <f>J42</f>
        <v>36.75</v>
      </c>
      <c r="J53" s="42" t="s">
        <v>36</v>
      </c>
      <c r="K53" s="5">
        <f>M46</f>
        <v>114</v>
      </c>
    </row>
    <row r="55" spans="6:11" x14ac:dyDescent="0.3">
      <c r="I55" s="3" t="s">
        <v>25</v>
      </c>
      <c r="J55" t="s">
        <v>132</v>
      </c>
    </row>
  </sheetData>
  <mergeCells count="2">
    <mergeCell ref="I11:J11"/>
    <mergeCell ref="I14:J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00F0-D4DE-4CF7-82F2-E7EF80574510}">
  <dimension ref="A1:M56"/>
  <sheetViews>
    <sheetView zoomScale="59" workbookViewId="0">
      <selection sqref="A1:M56"/>
    </sheetView>
  </sheetViews>
  <sheetFormatPr baseColWidth="10" defaultRowHeight="14.4" x14ac:dyDescent="0.3"/>
  <sheetData>
    <row r="1" spans="1:13" x14ac:dyDescent="0.3">
      <c r="A1" t="s">
        <v>133</v>
      </c>
    </row>
    <row r="3" spans="1:13" x14ac:dyDescent="0.3">
      <c r="B3" t="s">
        <v>115</v>
      </c>
      <c r="C3" t="s">
        <v>116</v>
      </c>
      <c r="F3" t="s">
        <v>9</v>
      </c>
      <c r="G3" t="s">
        <v>43</v>
      </c>
      <c r="I3" t="s">
        <v>117</v>
      </c>
      <c r="J3">
        <f>SUMIF(G4:G26,"&gt;=0")</f>
        <v>51.5</v>
      </c>
      <c r="L3" t="s">
        <v>10</v>
      </c>
      <c r="M3">
        <f>COUNT(B4:B26)</f>
        <v>8</v>
      </c>
    </row>
    <row r="4" spans="1:13" x14ac:dyDescent="0.3">
      <c r="B4" s="55">
        <v>13.7</v>
      </c>
      <c r="C4" s="56">
        <v>14.1</v>
      </c>
      <c r="F4" s="55">
        <v>13.7</v>
      </c>
      <c r="G4" s="39">
        <f>_xlfn.RANK.AVG(F4,F$4:F$49,1)</f>
        <v>1</v>
      </c>
      <c r="I4" t="s">
        <v>118</v>
      </c>
      <c r="J4">
        <f>SUMIF(G27:G49,"&gt;=0")</f>
        <v>39.5</v>
      </c>
      <c r="L4" t="s">
        <v>11</v>
      </c>
      <c r="M4">
        <f>COUNT(C4:C26)</f>
        <v>5</v>
      </c>
    </row>
    <row r="5" spans="1:13" x14ac:dyDescent="0.3">
      <c r="B5" s="55">
        <v>13.8</v>
      </c>
      <c r="C5" s="56">
        <v>14.2</v>
      </c>
      <c r="F5" s="55">
        <v>13.8</v>
      </c>
      <c r="G5" s="39">
        <f t="shared" ref="G5:G49" si="0">_xlfn.RANK.AVG(F5,F$4:F$49,1)</f>
        <v>2</v>
      </c>
      <c r="L5" t="s">
        <v>77</v>
      </c>
      <c r="M5">
        <f>SUM(M3:M4)</f>
        <v>13</v>
      </c>
    </row>
    <row r="6" spans="1:13" x14ac:dyDescent="0.3">
      <c r="B6" s="55">
        <v>14</v>
      </c>
      <c r="C6" s="56">
        <v>15</v>
      </c>
      <c r="F6" s="55">
        <v>14</v>
      </c>
      <c r="G6" s="39">
        <f t="shared" si="0"/>
        <v>3</v>
      </c>
      <c r="I6" t="s">
        <v>119</v>
      </c>
      <c r="J6">
        <f>(M3+M4+1)/2</f>
        <v>7</v>
      </c>
    </row>
    <row r="7" spans="1:13" x14ac:dyDescent="0.3">
      <c r="B7" s="55">
        <v>14.1</v>
      </c>
      <c r="C7" s="56">
        <v>15</v>
      </c>
      <c r="F7" s="55">
        <v>14.1</v>
      </c>
      <c r="G7" s="39">
        <f t="shared" si="0"/>
        <v>4.5</v>
      </c>
    </row>
    <row r="8" spans="1:13" x14ac:dyDescent="0.3">
      <c r="B8" s="55">
        <v>14.4</v>
      </c>
      <c r="C8" s="56">
        <v>15.6</v>
      </c>
      <c r="F8" s="55">
        <v>14.4</v>
      </c>
      <c r="G8" s="39">
        <f t="shared" si="0"/>
        <v>7</v>
      </c>
      <c r="I8" s="3" t="s">
        <v>2</v>
      </c>
      <c r="J8" t="s">
        <v>120</v>
      </c>
      <c r="K8" t="s">
        <v>121</v>
      </c>
    </row>
    <row r="9" spans="1:13" x14ac:dyDescent="0.3">
      <c r="B9" s="55">
        <v>15.3</v>
      </c>
      <c r="C9" s="56"/>
      <c r="F9" s="55">
        <v>15.3</v>
      </c>
      <c r="G9" s="39">
        <f t="shared" si="0"/>
        <v>10.5</v>
      </c>
      <c r="J9" t="s">
        <v>122</v>
      </c>
      <c r="K9" t="s">
        <v>123</v>
      </c>
    </row>
    <row r="10" spans="1:13" x14ac:dyDescent="0.3">
      <c r="B10" s="55">
        <v>15.3</v>
      </c>
      <c r="C10" s="56"/>
      <c r="F10" s="55">
        <v>15.3</v>
      </c>
      <c r="G10" s="39">
        <f t="shared" si="0"/>
        <v>10.5</v>
      </c>
    </row>
    <row r="11" spans="1:13" x14ac:dyDescent="0.3">
      <c r="B11" s="55">
        <v>15.7</v>
      </c>
      <c r="C11" s="56"/>
      <c r="F11" s="55">
        <v>15.7</v>
      </c>
      <c r="G11" s="39">
        <f t="shared" si="0"/>
        <v>13</v>
      </c>
      <c r="I11" s="43" t="s">
        <v>5</v>
      </c>
      <c r="J11" s="43"/>
      <c r="K11">
        <v>0.05</v>
      </c>
    </row>
    <row r="12" spans="1:13" x14ac:dyDescent="0.3">
      <c r="B12" s="55"/>
      <c r="C12" s="56"/>
      <c r="F12" s="55"/>
      <c r="G12" s="39" t="e">
        <f t="shared" si="0"/>
        <v>#N/A</v>
      </c>
    </row>
    <row r="13" spans="1:13" x14ac:dyDescent="0.3">
      <c r="B13" s="55"/>
      <c r="C13" s="56"/>
      <c r="F13" s="55"/>
      <c r="G13" s="39" t="e">
        <f t="shared" si="0"/>
        <v>#N/A</v>
      </c>
    </row>
    <row r="14" spans="1:13" x14ac:dyDescent="0.3">
      <c r="B14" s="55"/>
      <c r="C14" s="56"/>
      <c r="F14" s="55"/>
      <c r="G14" s="39" t="e">
        <f t="shared" si="0"/>
        <v>#N/A</v>
      </c>
      <c r="I14" s="43" t="s">
        <v>6</v>
      </c>
      <c r="J14" s="43"/>
    </row>
    <row r="15" spans="1:13" x14ac:dyDescent="0.3">
      <c r="B15" s="55"/>
      <c r="C15" s="56"/>
      <c r="F15" s="55"/>
      <c r="G15" s="39" t="e">
        <f t="shared" si="0"/>
        <v>#N/A</v>
      </c>
    </row>
    <row r="16" spans="1:13" x14ac:dyDescent="0.3">
      <c r="B16" s="55"/>
      <c r="C16" s="56"/>
      <c r="F16" s="55"/>
      <c r="G16" s="39" t="e">
        <f t="shared" si="0"/>
        <v>#N/A</v>
      </c>
      <c r="I16" s="5" t="s">
        <v>124</v>
      </c>
      <c r="J16" s="5" t="s">
        <v>125</v>
      </c>
      <c r="K16" s="5" t="s">
        <v>126</v>
      </c>
    </row>
    <row r="17" spans="2:11" x14ac:dyDescent="0.3">
      <c r="B17" s="55"/>
      <c r="C17" s="56"/>
      <c r="F17" s="55"/>
      <c r="G17" s="39" t="e">
        <f t="shared" si="0"/>
        <v>#N/A</v>
      </c>
      <c r="I17" s="60">
        <v>4.5</v>
      </c>
      <c r="J17" s="5">
        <f>I17-J$6</f>
        <v>-2.5</v>
      </c>
      <c r="K17" s="5">
        <f>POWER(J17,2)</f>
        <v>6.25</v>
      </c>
    </row>
    <row r="18" spans="2:11" x14ac:dyDescent="0.3">
      <c r="B18" s="55"/>
      <c r="C18" s="56"/>
      <c r="F18" s="55"/>
      <c r="G18" s="39" t="e">
        <f t="shared" si="0"/>
        <v>#N/A</v>
      </c>
      <c r="I18" s="60">
        <v>6</v>
      </c>
      <c r="J18" s="5">
        <f>I18-J$6</f>
        <v>-1</v>
      </c>
      <c r="K18" s="5">
        <f t="shared" ref="K18:K39" si="1">POWER(J18,2)</f>
        <v>1</v>
      </c>
    </row>
    <row r="19" spans="2:11" x14ac:dyDescent="0.3">
      <c r="B19" s="55"/>
      <c r="C19" s="56"/>
      <c r="F19" s="55"/>
      <c r="G19" s="39" t="e">
        <f t="shared" si="0"/>
        <v>#N/A</v>
      </c>
      <c r="I19" s="60">
        <v>8.5</v>
      </c>
      <c r="J19" s="5">
        <f>I19-J$6</f>
        <v>1.5</v>
      </c>
      <c r="K19" s="5">
        <f t="shared" si="1"/>
        <v>2.25</v>
      </c>
    </row>
    <row r="20" spans="2:11" x14ac:dyDescent="0.3">
      <c r="B20" s="55"/>
      <c r="C20" s="56"/>
      <c r="F20" s="55"/>
      <c r="G20" s="39" t="e">
        <f t="shared" si="0"/>
        <v>#N/A</v>
      </c>
      <c r="I20" s="60">
        <v>8.5</v>
      </c>
      <c r="J20" s="5">
        <f>I20-J$6</f>
        <v>1.5</v>
      </c>
      <c r="K20" s="5">
        <f t="shared" si="1"/>
        <v>2.25</v>
      </c>
    </row>
    <row r="21" spans="2:11" x14ac:dyDescent="0.3">
      <c r="B21" s="55"/>
      <c r="C21" s="56"/>
      <c r="F21" s="55"/>
      <c r="G21" s="39" t="e">
        <f t="shared" si="0"/>
        <v>#N/A</v>
      </c>
      <c r="I21" s="60">
        <v>12</v>
      </c>
      <c r="J21" s="5">
        <f>I21-J$6</f>
        <v>5</v>
      </c>
      <c r="K21" s="5">
        <f t="shared" si="1"/>
        <v>25</v>
      </c>
    </row>
    <row r="22" spans="2:11" x14ac:dyDescent="0.3">
      <c r="B22" s="55"/>
      <c r="C22" s="56"/>
      <c r="F22" s="55"/>
      <c r="G22" s="39" t="e">
        <f t="shared" si="0"/>
        <v>#N/A</v>
      </c>
      <c r="I22" s="60" t="e">
        <v>#N/A</v>
      </c>
      <c r="J22" s="5" t="e">
        <f t="shared" ref="J22:J39" si="2">I22-J$6</f>
        <v>#N/A</v>
      </c>
      <c r="K22" s="5" t="e">
        <f t="shared" si="1"/>
        <v>#N/A</v>
      </c>
    </row>
    <row r="23" spans="2:11" x14ac:dyDescent="0.3">
      <c r="B23" s="55"/>
      <c r="C23" s="56"/>
      <c r="F23" s="55"/>
      <c r="G23" s="39" t="e">
        <f t="shared" si="0"/>
        <v>#N/A</v>
      </c>
      <c r="I23" s="60" t="e">
        <v>#N/A</v>
      </c>
      <c r="J23" s="5" t="e">
        <f t="shared" si="2"/>
        <v>#N/A</v>
      </c>
      <c r="K23" s="5" t="e">
        <f t="shared" si="1"/>
        <v>#N/A</v>
      </c>
    </row>
    <row r="24" spans="2:11" x14ac:dyDescent="0.3">
      <c r="B24" s="55"/>
      <c r="C24" s="56"/>
      <c r="F24" s="55"/>
      <c r="G24" s="39" t="e">
        <f t="shared" si="0"/>
        <v>#N/A</v>
      </c>
      <c r="I24" s="60" t="e">
        <v>#N/A</v>
      </c>
      <c r="J24" s="5" t="e">
        <f t="shared" si="2"/>
        <v>#N/A</v>
      </c>
      <c r="K24" s="5" t="e">
        <f t="shared" si="1"/>
        <v>#N/A</v>
      </c>
    </row>
    <row r="25" spans="2:11" x14ac:dyDescent="0.3">
      <c r="B25" s="55"/>
      <c r="C25" s="56"/>
      <c r="F25" s="55"/>
      <c r="G25" s="39" t="e">
        <f t="shared" si="0"/>
        <v>#N/A</v>
      </c>
      <c r="I25" s="60" t="e">
        <v>#N/A</v>
      </c>
      <c r="J25" s="5" t="e">
        <f t="shared" si="2"/>
        <v>#N/A</v>
      </c>
      <c r="K25" s="5" t="e">
        <f t="shared" si="1"/>
        <v>#N/A</v>
      </c>
    </row>
    <row r="26" spans="2:11" x14ac:dyDescent="0.3">
      <c r="B26" s="55"/>
      <c r="C26" s="56"/>
      <c r="F26" s="55"/>
      <c r="G26" s="39" t="e">
        <f t="shared" si="0"/>
        <v>#N/A</v>
      </c>
      <c r="I26" s="60" t="e">
        <v>#N/A</v>
      </c>
      <c r="J26" s="5" t="e">
        <f t="shared" si="2"/>
        <v>#N/A</v>
      </c>
      <c r="K26" s="5" t="e">
        <f t="shared" si="1"/>
        <v>#N/A</v>
      </c>
    </row>
    <row r="27" spans="2:11" x14ac:dyDescent="0.3">
      <c r="F27" s="56">
        <v>14.1</v>
      </c>
      <c r="G27" s="57">
        <f t="shared" si="0"/>
        <v>4.5</v>
      </c>
      <c r="I27" s="60" t="e">
        <v>#N/A</v>
      </c>
      <c r="J27" s="5" t="e">
        <f t="shared" si="2"/>
        <v>#N/A</v>
      </c>
      <c r="K27" s="5" t="e">
        <f t="shared" si="1"/>
        <v>#N/A</v>
      </c>
    </row>
    <row r="28" spans="2:11" x14ac:dyDescent="0.3">
      <c r="F28" s="56">
        <v>14.2</v>
      </c>
      <c r="G28" s="57">
        <f t="shared" si="0"/>
        <v>6</v>
      </c>
      <c r="I28" s="60" t="e">
        <v>#N/A</v>
      </c>
      <c r="J28" s="5" t="e">
        <f t="shared" si="2"/>
        <v>#N/A</v>
      </c>
      <c r="K28" s="5" t="e">
        <f t="shared" si="1"/>
        <v>#N/A</v>
      </c>
    </row>
    <row r="29" spans="2:11" x14ac:dyDescent="0.3">
      <c r="F29" s="56">
        <v>15</v>
      </c>
      <c r="G29" s="57">
        <f t="shared" si="0"/>
        <v>8.5</v>
      </c>
      <c r="I29" s="60" t="e">
        <v>#N/A</v>
      </c>
      <c r="J29" s="5" t="e">
        <f t="shared" si="2"/>
        <v>#N/A</v>
      </c>
      <c r="K29" s="5" t="e">
        <f t="shared" si="1"/>
        <v>#N/A</v>
      </c>
    </row>
    <row r="30" spans="2:11" x14ac:dyDescent="0.3">
      <c r="F30" s="56">
        <v>15</v>
      </c>
      <c r="G30" s="57">
        <f t="shared" si="0"/>
        <v>8.5</v>
      </c>
      <c r="I30" s="60" t="e">
        <v>#N/A</v>
      </c>
      <c r="J30" s="5" t="e">
        <f t="shared" si="2"/>
        <v>#N/A</v>
      </c>
      <c r="K30" s="5" t="e">
        <f t="shared" si="1"/>
        <v>#N/A</v>
      </c>
    </row>
    <row r="31" spans="2:11" x14ac:dyDescent="0.3">
      <c r="F31" s="56">
        <v>15.6</v>
      </c>
      <c r="G31" s="57">
        <f t="shared" si="0"/>
        <v>12</v>
      </c>
      <c r="I31" s="60" t="e">
        <v>#N/A</v>
      </c>
      <c r="J31" s="5" t="e">
        <f t="shared" si="2"/>
        <v>#N/A</v>
      </c>
      <c r="K31" s="5" t="e">
        <f t="shared" si="1"/>
        <v>#N/A</v>
      </c>
    </row>
    <row r="32" spans="2:11" x14ac:dyDescent="0.3">
      <c r="F32" s="56"/>
      <c r="G32" s="57" t="e">
        <f t="shared" si="0"/>
        <v>#N/A</v>
      </c>
      <c r="I32" s="60" t="e">
        <v>#N/A</v>
      </c>
      <c r="J32" s="5" t="e">
        <f t="shared" si="2"/>
        <v>#N/A</v>
      </c>
      <c r="K32" s="5" t="e">
        <f t="shared" si="1"/>
        <v>#N/A</v>
      </c>
    </row>
    <row r="33" spans="6:11" x14ac:dyDescent="0.3">
      <c r="F33" s="56"/>
      <c r="G33" s="57" t="e">
        <f t="shared" si="0"/>
        <v>#N/A</v>
      </c>
      <c r="I33" s="60" t="e">
        <v>#N/A</v>
      </c>
      <c r="J33" s="5" t="e">
        <f t="shared" si="2"/>
        <v>#N/A</v>
      </c>
      <c r="K33" s="5" t="e">
        <f t="shared" si="1"/>
        <v>#N/A</v>
      </c>
    </row>
    <row r="34" spans="6:11" x14ac:dyDescent="0.3">
      <c r="F34" s="56"/>
      <c r="G34" s="57" t="e">
        <f t="shared" si="0"/>
        <v>#N/A</v>
      </c>
      <c r="I34" s="60" t="e">
        <v>#N/A</v>
      </c>
      <c r="J34" s="5" t="e">
        <f t="shared" si="2"/>
        <v>#N/A</v>
      </c>
      <c r="K34" s="5" t="e">
        <f t="shared" si="1"/>
        <v>#N/A</v>
      </c>
    </row>
    <row r="35" spans="6:11" x14ac:dyDescent="0.3">
      <c r="F35" s="56"/>
      <c r="G35" s="57" t="e">
        <f t="shared" si="0"/>
        <v>#N/A</v>
      </c>
      <c r="I35" s="60" t="e">
        <v>#N/A</v>
      </c>
      <c r="J35" s="5" t="e">
        <f t="shared" si="2"/>
        <v>#N/A</v>
      </c>
      <c r="K35" s="5" t="e">
        <f t="shared" si="1"/>
        <v>#N/A</v>
      </c>
    </row>
    <row r="36" spans="6:11" x14ac:dyDescent="0.3">
      <c r="F36" s="56"/>
      <c r="G36" s="57" t="e">
        <f t="shared" si="0"/>
        <v>#N/A</v>
      </c>
      <c r="I36" s="60" t="e">
        <v>#N/A</v>
      </c>
      <c r="J36" s="5" t="e">
        <f t="shared" si="2"/>
        <v>#N/A</v>
      </c>
      <c r="K36" s="5" t="e">
        <f t="shared" si="1"/>
        <v>#N/A</v>
      </c>
    </row>
    <row r="37" spans="6:11" x14ac:dyDescent="0.3">
      <c r="F37" s="56"/>
      <c r="G37" s="57" t="e">
        <f t="shared" si="0"/>
        <v>#N/A</v>
      </c>
      <c r="I37" s="60" t="e">
        <v>#N/A</v>
      </c>
      <c r="J37" s="5" t="e">
        <f t="shared" si="2"/>
        <v>#N/A</v>
      </c>
      <c r="K37" s="5" t="e">
        <f t="shared" si="1"/>
        <v>#N/A</v>
      </c>
    </row>
    <row r="38" spans="6:11" x14ac:dyDescent="0.3">
      <c r="F38" s="56"/>
      <c r="G38" s="57" t="e">
        <f t="shared" si="0"/>
        <v>#N/A</v>
      </c>
      <c r="I38" s="60" t="e">
        <v>#N/A</v>
      </c>
      <c r="J38" s="5" t="e">
        <f t="shared" si="2"/>
        <v>#N/A</v>
      </c>
      <c r="K38" s="5" t="e">
        <f t="shared" si="1"/>
        <v>#N/A</v>
      </c>
    </row>
    <row r="39" spans="6:11" x14ac:dyDescent="0.3">
      <c r="F39" s="56"/>
      <c r="G39" s="57" t="e">
        <f t="shared" si="0"/>
        <v>#N/A</v>
      </c>
      <c r="I39" s="60" t="e">
        <v>#N/A</v>
      </c>
      <c r="J39" s="5" t="e">
        <f t="shared" si="2"/>
        <v>#N/A</v>
      </c>
      <c r="K39" s="5" t="e">
        <f t="shared" si="1"/>
        <v>#N/A</v>
      </c>
    </row>
    <row r="40" spans="6:11" x14ac:dyDescent="0.3">
      <c r="F40" s="56"/>
      <c r="G40" s="57" t="e">
        <f t="shared" si="0"/>
        <v>#N/A</v>
      </c>
      <c r="K40" s="5">
        <f>SUMIF(K17:K39,"&gt;=0")</f>
        <v>36.75</v>
      </c>
    </row>
    <row r="41" spans="6:11" x14ac:dyDescent="0.3">
      <c r="F41" s="56"/>
      <c r="G41" s="57" t="e">
        <f t="shared" si="0"/>
        <v>#N/A</v>
      </c>
    </row>
    <row r="42" spans="6:11" x14ac:dyDescent="0.3">
      <c r="F42" s="56"/>
      <c r="G42" s="57" t="e">
        <f t="shared" si="0"/>
        <v>#N/A</v>
      </c>
    </row>
    <row r="43" spans="6:11" x14ac:dyDescent="0.3">
      <c r="F43" s="56"/>
      <c r="G43" s="57" t="e">
        <f t="shared" si="0"/>
        <v>#N/A</v>
      </c>
      <c r="I43" s="5" t="s">
        <v>127</v>
      </c>
      <c r="J43" s="5">
        <f>K40</f>
        <v>36.75</v>
      </c>
    </row>
    <row r="44" spans="6:11" x14ac:dyDescent="0.3">
      <c r="F44" s="56"/>
      <c r="G44" s="57" t="e">
        <f t="shared" si="0"/>
        <v>#N/A</v>
      </c>
      <c r="I44" s="37" t="s">
        <v>134</v>
      </c>
      <c r="J44" s="5">
        <f>(M3*(POWER(M5,2)-1))/12</f>
        <v>112</v>
      </c>
    </row>
    <row r="45" spans="6:11" x14ac:dyDescent="0.3">
      <c r="F45" s="56"/>
      <c r="G45" s="57" t="e">
        <f t="shared" si="0"/>
        <v>#N/A</v>
      </c>
      <c r="I45" s="37" t="s">
        <v>135</v>
      </c>
      <c r="J45" s="5">
        <f>SQRT((M3*M4*(M5+1)*(POWER(M5,2)-4))/180)</f>
        <v>22.656860623955239</v>
      </c>
    </row>
    <row r="46" spans="6:11" x14ac:dyDescent="0.3">
      <c r="F46" s="56"/>
      <c r="G46" s="57" t="e">
        <f t="shared" si="0"/>
        <v>#N/A</v>
      </c>
      <c r="I46" s="37" t="s">
        <v>136</v>
      </c>
      <c r="J46" s="5">
        <f>(J43-J44)/J45</f>
        <v>-3.3212897960116199</v>
      </c>
    </row>
    <row r="47" spans="6:11" x14ac:dyDescent="0.3">
      <c r="F47" s="56"/>
      <c r="G47" s="57" t="e">
        <f t="shared" si="0"/>
        <v>#N/A</v>
      </c>
    </row>
    <row r="48" spans="6:11" x14ac:dyDescent="0.3">
      <c r="F48" s="56"/>
      <c r="G48" s="57" t="e">
        <f t="shared" si="0"/>
        <v>#N/A</v>
      </c>
      <c r="I48" s="3" t="s">
        <v>137</v>
      </c>
    </row>
    <row r="49" spans="6:11" x14ac:dyDescent="0.3">
      <c r="F49" s="56"/>
      <c r="G49" s="57" t="e">
        <f t="shared" si="0"/>
        <v>#N/A</v>
      </c>
    </row>
    <row r="50" spans="6:11" x14ac:dyDescent="0.3">
      <c r="I50" t="s">
        <v>69</v>
      </c>
      <c r="J50">
        <f>_xlfn.NORM.S.INV(1-K11/2)</f>
        <v>1.9599639845400536</v>
      </c>
    </row>
    <row r="52" spans="6:11" x14ac:dyDescent="0.3">
      <c r="I52" t="s">
        <v>51</v>
      </c>
    </row>
    <row r="54" spans="6:11" x14ac:dyDescent="0.3">
      <c r="I54">
        <f>ABS(J46)</f>
        <v>3.3212897960116199</v>
      </c>
      <c r="J54" s="4" t="s">
        <v>36</v>
      </c>
      <c r="K54">
        <f>J50</f>
        <v>1.9599639845400536</v>
      </c>
    </row>
    <row r="56" spans="6:11" x14ac:dyDescent="0.3">
      <c r="I56" s="3" t="s">
        <v>25</v>
      </c>
      <c r="J56" t="s">
        <v>70</v>
      </c>
    </row>
  </sheetData>
  <mergeCells count="2">
    <mergeCell ref="I11:J11"/>
    <mergeCell ref="I14:J1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DDE9-0EED-4C15-88E4-7F4B9A373FB6}">
  <dimension ref="A1:Q38"/>
  <sheetViews>
    <sheetView zoomScale="50" workbookViewId="0">
      <selection activeCell="O39" sqref="O39"/>
    </sheetView>
  </sheetViews>
  <sheetFormatPr baseColWidth="10" defaultRowHeight="14.4" x14ac:dyDescent="0.3"/>
  <sheetData>
    <row r="1" spans="1:17" x14ac:dyDescent="0.3">
      <c r="A1" t="s">
        <v>138</v>
      </c>
    </row>
    <row r="3" spans="1:17" x14ac:dyDescent="0.3">
      <c r="B3" t="s">
        <v>139</v>
      </c>
      <c r="C3" t="s">
        <v>140</v>
      </c>
      <c r="E3" s="3" t="s">
        <v>2</v>
      </c>
      <c r="F3" t="s">
        <v>3</v>
      </c>
      <c r="G3" t="s">
        <v>121</v>
      </c>
    </row>
    <row r="4" spans="1:17" x14ac:dyDescent="0.3">
      <c r="B4">
        <v>26</v>
      </c>
      <c r="C4">
        <v>47</v>
      </c>
      <c r="F4" t="s">
        <v>4</v>
      </c>
      <c r="G4" t="s">
        <v>123</v>
      </c>
    </row>
    <row r="5" spans="1:17" x14ac:dyDescent="0.3">
      <c r="B5">
        <v>30</v>
      </c>
      <c r="C5">
        <v>66</v>
      </c>
    </row>
    <row r="6" spans="1:17" x14ac:dyDescent="0.3">
      <c r="B6">
        <v>32</v>
      </c>
      <c r="C6">
        <v>51</v>
      </c>
      <c r="E6" s="43" t="s">
        <v>5</v>
      </c>
      <c r="F6" s="43"/>
      <c r="G6">
        <v>0.05</v>
      </c>
    </row>
    <row r="7" spans="1:17" x14ac:dyDescent="0.3">
      <c r="B7">
        <v>17</v>
      </c>
      <c r="C7">
        <v>44</v>
      </c>
    </row>
    <row r="8" spans="1:17" x14ac:dyDescent="0.3">
      <c r="B8">
        <v>21</v>
      </c>
      <c r="C8">
        <v>80</v>
      </c>
    </row>
    <row r="9" spans="1:17" x14ac:dyDescent="0.3">
      <c r="B9">
        <v>27</v>
      </c>
      <c r="C9">
        <v>65</v>
      </c>
      <c r="E9" s="43" t="s">
        <v>6</v>
      </c>
      <c r="F9" s="43"/>
    </row>
    <row r="10" spans="1:17" x14ac:dyDescent="0.3">
      <c r="B10">
        <v>26</v>
      </c>
      <c r="C10">
        <v>58</v>
      </c>
    </row>
    <row r="11" spans="1:17" x14ac:dyDescent="0.3">
      <c r="B11">
        <v>44</v>
      </c>
      <c r="C11">
        <v>65</v>
      </c>
      <c r="E11" s="5" t="s">
        <v>141</v>
      </c>
      <c r="F11" s="59">
        <v>4</v>
      </c>
    </row>
    <row r="12" spans="1:17" x14ac:dyDescent="0.3">
      <c r="B12">
        <v>35</v>
      </c>
      <c r="C12">
        <v>61</v>
      </c>
    </row>
    <row r="13" spans="1:17" x14ac:dyDescent="0.3">
      <c r="B13">
        <v>14</v>
      </c>
      <c r="C13">
        <v>64</v>
      </c>
      <c r="E13" s="5" t="s">
        <v>142</v>
      </c>
      <c r="F13" s="49" t="s">
        <v>143</v>
      </c>
      <c r="G13" s="49"/>
      <c r="H13" s="49"/>
      <c r="I13" s="49"/>
      <c r="J13" s="5" t="s">
        <v>144</v>
      </c>
      <c r="L13" s="5" t="s">
        <v>145</v>
      </c>
      <c r="M13" s="49" t="s">
        <v>143</v>
      </c>
      <c r="N13" s="49"/>
      <c r="O13" s="49"/>
      <c r="P13" s="49"/>
      <c r="Q13" s="5" t="s">
        <v>144</v>
      </c>
    </row>
    <row r="14" spans="1:17" x14ac:dyDescent="0.3">
      <c r="B14">
        <v>18</v>
      </c>
      <c r="C14">
        <v>56</v>
      </c>
      <c r="E14" s="5">
        <v>1</v>
      </c>
      <c r="F14" s="59">
        <v>26</v>
      </c>
      <c r="G14" s="59">
        <v>17</v>
      </c>
      <c r="H14" s="59">
        <v>26</v>
      </c>
      <c r="I14" s="59">
        <v>14</v>
      </c>
      <c r="J14" s="61">
        <f>_xlfn.VAR.S(F14:I14)* (F$11-1)</f>
        <v>114.75</v>
      </c>
      <c r="L14" s="5">
        <v>1</v>
      </c>
      <c r="M14" s="59">
        <v>47</v>
      </c>
      <c r="N14" s="59">
        <v>44</v>
      </c>
      <c r="O14" s="59">
        <v>58</v>
      </c>
      <c r="P14" s="59">
        <v>64</v>
      </c>
      <c r="Q14" s="62">
        <f>_xlfn.VAR.S(M14:P14)*(F$11-1)</f>
        <v>262.75</v>
      </c>
    </row>
    <row r="15" spans="1:17" x14ac:dyDescent="0.3">
      <c r="B15">
        <v>18</v>
      </c>
      <c r="C15">
        <v>76</v>
      </c>
      <c r="E15" s="5">
        <v>2</v>
      </c>
      <c r="F15" s="59">
        <v>17</v>
      </c>
      <c r="G15" s="59">
        <v>16</v>
      </c>
      <c r="H15" s="59">
        <v>28</v>
      </c>
      <c r="I15" s="59">
        <v>34</v>
      </c>
      <c r="J15" s="61">
        <f t="shared" ref="J15:J19" si="0">_xlfn.VAR.S(F15:I15)* (F$11-1)</f>
        <v>228.75</v>
      </c>
      <c r="L15" s="5">
        <v>2</v>
      </c>
      <c r="M15" s="59">
        <v>76</v>
      </c>
      <c r="N15" s="59">
        <v>48</v>
      </c>
      <c r="O15" s="59">
        <v>59</v>
      </c>
      <c r="P15" s="59">
        <v>66</v>
      </c>
      <c r="Q15" s="62">
        <f t="shared" ref="Q15:Q18" si="1">_xlfn.VAR.S(M15:P15)*(F$11-1)</f>
        <v>416.75</v>
      </c>
    </row>
    <row r="16" spans="1:17" x14ac:dyDescent="0.3">
      <c r="B16">
        <v>17</v>
      </c>
      <c r="C16">
        <v>58</v>
      </c>
      <c r="E16" s="5">
        <v>3</v>
      </c>
      <c r="F16" s="59">
        <v>30</v>
      </c>
      <c r="G16" s="59">
        <v>21</v>
      </c>
      <c r="H16" s="59">
        <v>44</v>
      </c>
      <c r="I16" s="59">
        <v>18</v>
      </c>
      <c r="J16" s="61">
        <f t="shared" si="0"/>
        <v>408.75</v>
      </c>
      <c r="L16" s="5">
        <v>3</v>
      </c>
      <c r="M16" s="59">
        <v>80</v>
      </c>
      <c r="N16" s="59">
        <v>65</v>
      </c>
      <c r="O16" s="59">
        <v>51</v>
      </c>
      <c r="P16" s="59">
        <v>58</v>
      </c>
      <c r="Q16" s="62">
        <f t="shared" si="1"/>
        <v>461</v>
      </c>
    </row>
    <row r="17" spans="2:17" x14ac:dyDescent="0.3">
      <c r="B17">
        <v>23</v>
      </c>
      <c r="C17">
        <v>61</v>
      </c>
      <c r="E17" s="5">
        <v>4</v>
      </c>
      <c r="F17" s="59">
        <v>29</v>
      </c>
      <c r="G17" s="59">
        <v>36</v>
      </c>
      <c r="H17" s="59">
        <v>24</v>
      </c>
      <c r="I17" s="59">
        <v>35</v>
      </c>
      <c r="J17" s="61">
        <f t="shared" si="0"/>
        <v>94</v>
      </c>
      <c r="L17" s="5">
        <v>4</v>
      </c>
      <c r="M17" s="59">
        <v>61</v>
      </c>
      <c r="N17" s="59">
        <v>56</v>
      </c>
      <c r="O17" s="59">
        <v>61</v>
      </c>
      <c r="P17" s="59">
        <v>68</v>
      </c>
      <c r="Q17" s="62">
        <f t="shared" si="1"/>
        <v>73</v>
      </c>
    </row>
    <row r="18" spans="2:17" x14ac:dyDescent="0.3">
      <c r="B18">
        <v>29</v>
      </c>
      <c r="C18">
        <v>48</v>
      </c>
      <c r="E18" s="5">
        <v>5</v>
      </c>
      <c r="F18" s="59">
        <v>32</v>
      </c>
      <c r="G18" s="59">
        <v>27</v>
      </c>
      <c r="H18" s="59">
        <v>35</v>
      </c>
      <c r="I18" s="59">
        <v>18</v>
      </c>
      <c r="J18" s="61">
        <f t="shared" si="0"/>
        <v>166</v>
      </c>
      <c r="L18" s="5">
        <v>5</v>
      </c>
      <c r="M18" s="59">
        <v>55</v>
      </c>
      <c r="N18" s="59">
        <v>60</v>
      </c>
      <c r="O18" s="59">
        <v>51</v>
      </c>
      <c r="P18" s="59">
        <v>58</v>
      </c>
      <c r="Q18" s="62">
        <f t="shared" si="1"/>
        <v>46</v>
      </c>
    </row>
    <row r="19" spans="2:17" x14ac:dyDescent="0.3">
      <c r="B19">
        <v>16</v>
      </c>
      <c r="C19">
        <v>55</v>
      </c>
      <c r="E19" s="5">
        <v>6</v>
      </c>
      <c r="F19" s="59">
        <v>23</v>
      </c>
      <c r="G19" s="59">
        <v>13</v>
      </c>
      <c r="H19" s="59">
        <v>23</v>
      </c>
      <c r="I19" s="59">
        <v>52</v>
      </c>
      <c r="J19" s="61">
        <f t="shared" si="0"/>
        <v>850.75</v>
      </c>
    </row>
    <row r="20" spans="2:17" x14ac:dyDescent="0.3">
      <c r="B20">
        <v>13</v>
      </c>
      <c r="C20">
        <v>68</v>
      </c>
    </row>
    <row r="21" spans="2:17" x14ac:dyDescent="0.3">
      <c r="B21">
        <v>16</v>
      </c>
      <c r="C21">
        <v>59</v>
      </c>
      <c r="E21" t="s">
        <v>146</v>
      </c>
      <c r="F21" t="s">
        <v>43</v>
      </c>
      <c r="G21" t="s">
        <v>147</v>
      </c>
    </row>
    <row r="22" spans="2:17" x14ac:dyDescent="0.3">
      <c r="B22">
        <v>13</v>
      </c>
      <c r="C22">
        <v>60</v>
      </c>
      <c r="E22" s="63" cm="1">
        <f t="array" ref="E22:E27">J14:J19</f>
        <v>114.75</v>
      </c>
      <c r="F22">
        <f>_xlfn.RANK.AVG(E22,E$22:E$32,1)</f>
        <v>4</v>
      </c>
      <c r="G22" t="s">
        <v>148</v>
      </c>
      <c r="H22" t="s">
        <v>44</v>
      </c>
      <c r="I22">
        <f>SUM(F22:F27)</f>
        <v>37</v>
      </c>
    </row>
    <row r="23" spans="2:17" x14ac:dyDescent="0.3">
      <c r="B23">
        <v>36</v>
      </c>
      <c r="C23">
        <v>58</v>
      </c>
      <c r="E23" s="63">
        <v>228.75</v>
      </c>
      <c r="F23">
        <f t="shared" ref="F23:F32" si="2">_xlfn.RANK.AVG(E23,E$22:E$32,1)</f>
        <v>6</v>
      </c>
      <c r="G23" t="s">
        <v>148</v>
      </c>
      <c r="H23" t="s">
        <v>45</v>
      </c>
      <c r="I23">
        <f>SUM(F28:F32)</f>
        <v>29</v>
      </c>
    </row>
    <row r="24" spans="2:17" x14ac:dyDescent="0.3">
      <c r="B24">
        <v>28</v>
      </c>
      <c r="C24">
        <v>51</v>
      </c>
      <c r="E24" s="63">
        <v>408.75</v>
      </c>
      <c r="F24">
        <f t="shared" si="2"/>
        <v>8</v>
      </c>
      <c r="G24" t="s">
        <v>148</v>
      </c>
      <c r="H24" t="s">
        <v>46</v>
      </c>
      <c r="I24">
        <f>I22- (E19*(E19+1))/2</f>
        <v>16</v>
      </c>
    </row>
    <row r="25" spans="2:17" x14ac:dyDescent="0.3">
      <c r="B25">
        <v>23</v>
      </c>
      <c r="E25" s="63">
        <v>94</v>
      </c>
      <c r="F25">
        <f t="shared" si="2"/>
        <v>3</v>
      </c>
      <c r="G25" t="s">
        <v>148</v>
      </c>
      <c r="H25" t="s">
        <v>47</v>
      </c>
      <c r="I25">
        <f>I23- (L18*(L18+1))/2</f>
        <v>14</v>
      </c>
    </row>
    <row r="26" spans="2:17" x14ac:dyDescent="0.3">
      <c r="B26">
        <v>24</v>
      </c>
      <c r="E26" s="63">
        <v>166</v>
      </c>
      <c r="F26">
        <f t="shared" si="2"/>
        <v>5</v>
      </c>
      <c r="G26" t="s">
        <v>148</v>
      </c>
      <c r="H26" t="s">
        <v>48</v>
      </c>
      <c r="I26">
        <f>MIN(I24:I25)</f>
        <v>14</v>
      </c>
    </row>
    <row r="27" spans="2:17" x14ac:dyDescent="0.3">
      <c r="B27">
        <v>34</v>
      </c>
      <c r="E27" s="63">
        <v>850.75</v>
      </c>
      <c r="F27">
        <f t="shared" si="2"/>
        <v>11</v>
      </c>
      <c r="G27" t="s">
        <v>148</v>
      </c>
    </row>
    <row r="28" spans="2:17" x14ac:dyDescent="0.3">
      <c r="B28">
        <v>52</v>
      </c>
      <c r="E28" s="56" cm="1">
        <f t="array" ref="E28:E32">Q14:Q18</f>
        <v>262.75</v>
      </c>
      <c r="F28">
        <f t="shared" si="2"/>
        <v>7</v>
      </c>
      <c r="G28" t="s">
        <v>149</v>
      </c>
    </row>
    <row r="29" spans="2:17" x14ac:dyDescent="0.3">
      <c r="B29">
        <v>35</v>
      </c>
      <c r="E29" s="56">
        <v>416.75</v>
      </c>
      <c r="F29">
        <f t="shared" si="2"/>
        <v>9</v>
      </c>
      <c r="G29" t="s">
        <v>149</v>
      </c>
    </row>
    <row r="30" spans="2:17" x14ac:dyDescent="0.3">
      <c r="E30" s="56">
        <v>461</v>
      </c>
      <c r="F30">
        <f t="shared" si="2"/>
        <v>10</v>
      </c>
      <c r="G30" t="s">
        <v>149</v>
      </c>
    </row>
    <row r="31" spans="2:17" x14ac:dyDescent="0.3">
      <c r="E31" s="56">
        <v>73</v>
      </c>
      <c r="F31">
        <f t="shared" si="2"/>
        <v>2</v>
      </c>
      <c r="G31" t="s">
        <v>149</v>
      </c>
    </row>
    <row r="32" spans="2:17" x14ac:dyDescent="0.3">
      <c r="E32" s="56">
        <v>46</v>
      </c>
      <c r="F32">
        <f t="shared" si="2"/>
        <v>1</v>
      </c>
      <c r="G32" t="s">
        <v>149</v>
      </c>
    </row>
    <row r="34" spans="5:10" x14ac:dyDescent="0.3">
      <c r="E34" s="3" t="s">
        <v>49</v>
      </c>
      <c r="F34" t="s">
        <v>50</v>
      </c>
      <c r="G34" t="s">
        <v>150</v>
      </c>
      <c r="H34" s="35">
        <v>3</v>
      </c>
    </row>
    <row r="36" spans="5:10" x14ac:dyDescent="0.3">
      <c r="E36" s="43" t="s">
        <v>21</v>
      </c>
      <c r="F36" s="43"/>
      <c r="G36" t="s">
        <v>51</v>
      </c>
      <c r="H36">
        <f>I26</f>
        <v>14</v>
      </c>
      <c r="I36" s="36" t="s">
        <v>52</v>
      </c>
      <c r="J36">
        <f>H34</f>
        <v>3</v>
      </c>
    </row>
    <row r="38" spans="5:10" x14ac:dyDescent="0.3">
      <c r="E38" s="3" t="s">
        <v>25</v>
      </c>
      <c r="F38" t="s">
        <v>53</v>
      </c>
    </row>
  </sheetData>
  <mergeCells count="5">
    <mergeCell ref="E6:F6"/>
    <mergeCell ref="E9:F9"/>
    <mergeCell ref="F13:I13"/>
    <mergeCell ref="M13:P13"/>
    <mergeCell ref="E36:F3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F6857-DC58-46D5-8D7D-3A8FEEFCE746}">
  <dimension ref="A1:Q43"/>
  <sheetViews>
    <sheetView zoomScale="51" workbookViewId="0">
      <selection activeCell="R31" sqref="R31"/>
    </sheetView>
  </sheetViews>
  <sheetFormatPr baseColWidth="10" defaultRowHeight="14.4" x14ac:dyDescent="0.3"/>
  <sheetData>
    <row r="1" spans="1:17" x14ac:dyDescent="0.3">
      <c r="A1" t="s">
        <v>151</v>
      </c>
    </row>
    <row r="3" spans="1:17" x14ac:dyDescent="0.3">
      <c r="B3" t="s">
        <v>139</v>
      </c>
      <c r="C3" t="s">
        <v>140</v>
      </c>
      <c r="E3" s="3" t="s">
        <v>2</v>
      </c>
      <c r="F3" t="s">
        <v>3</v>
      </c>
      <c r="G3" t="s">
        <v>121</v>
      </c>
    </row>
    <row r="4" spans="1:17" x14ac:dyDescent="0.3">
      <c r="B4">
        <v>26</v>
      </c>
      <c r="C4">
        <v>47</v>
      </c>
      <c r="F4" t="s">
        <v>4</v>
      </c>
      <c r="G4" t="s">
        <v>123</v>
      </c>
    </row>
    <row r="5" spans="1:17" x14ac:dyDescent="0.3">
      <c r="B5">
        <v>30</v>
      </c>
      <c r="C5">
        <v>66</v>
      </c>
    </row>
    <row r="6" spans="1:17" x14ac:dyDescent="0.3">
      <c r="B6">
        <v>32</v>
      </c>
      <c r="C6">
        <v>51</v>
      </c>
      <c r="E6" s="43" t="s">
        <v>5</v>
      </c>
      <c r="F6" s="43"/>
      <c r="G6" s="35">
        <v>0.05</v>
      </c>
    </row>
    <row r="7" spans="1:17" x14ac:dyDescent="0.3">
      <c r="B7">
        <v>17</v>
      </c>
      <c r="C7">
        <v>44</v>
      </c>
    </row>
    <row r="8" spans="1:17" x14ac:dyDescent="0.3">
      <c r="B8">
        <v>21</v>
      </c>
      <c r="C8">
        <v>80</v>
      </c>
    </row>
    <row r="9" spans="1:17" x14ac:dyDescent="0.3">
      <c r="B9">
        <v>27</v>
      </c>
      <c r="C9">
        <v>65</v>
      </c>
      <c r="E9" s="43" t="s">
        <v>6</v>
      </c>
      <c r="F9" s="43"/>
    </row>
    <row r="10" spans="1:17" x14ac:dyDescent="0.3">
      <c r="B10">
        <v>26</v>
      </c>
      <c r="C10">
        <v>58</v>
      </c>
      <c r="H10" t="s">
        <v>10</v>
      </c>
      <c r="I10">
        <f>COUNT(B:B)</f>
        <v>26</v>
      </c>
      <c r="J10" t="s">
        <v>12</v>
      </c>
      <c r="K10">
        <f>INT(I10/F11)</f>
        <v>6</v>
      </c>
    </row>
    <row r="11" spans="1:17" x14ac:dyDescent="0.3">
      <c r="B11">
        <v>44</v>
      </c>
      <c r="C11">
        <v>65</v>
      </c>
      <c r="E11" s="5" t="s">
        <v>141</v>
      </c>
      <c r="F11" s="59">
        <v>4</v>
      </c>
      <c r="H11" t="s">
        <v>11</v>
      </c>
      <c r="I11">
        <f>COUNT(C:C)</f>
        <v>21</v>
      </c>
      <c r="J11" t="s">
        <v>13</v>
      </c>
      <c r="K11">
        <f>INT(I11/F11)</f>
        <v>5</v>
      </c>
    </row>
    <row r="12" spans="1:17" x14ac:dyDescent="0.3">
      <c r="B12">
        <v>35</v>
      </c>
      <c r="C12">
        <v>61</v>
      </c>
    </row>
    <row r="13" spans="1:17" x14ac:dyDescent="0.3">
      <c r="B13">
        <v>14</v>
      </c>
      <c r="C13">
        <v>64</v>
      </c>
      <c r="E13" s="5" t="s">
        <v>142</v>
      </c>
      <c r="F13" s="49" t="s">
        <v>143</v>
      </c>
      <c r="G13" s="49"/>
      <c r="H13" s="49"/>
      <c r="I13" s="49"/>
      <c r="J13" s="5" t="s">
        <v>144</v>
      </c>
      <c r="L13" s="5" t="s">
        <v>145</v>
      </c>
      <c r="M13" s="49" t="s">
        <v>143</v>
      </c>
      <c r="N13" s="49"/>
      <c r="O13" s="49"/>
      <c r="P13" s="49"/>
      <c r="Q13" s="5" t="s">
        <v>144</v>
      </c>
    </row>
    <row r="14" spans="1:17" x14ac:dyDescent="0.3">
      <c r="B14">
        <v>18</v>
      </c>
      <c r="C14">
        <v>56</v>
      </c>
      <c r="E14" s="5">
        <v>1</v>
      </c>
      <c r="F14" s="59">
        <v>26</v>
      </c>
      <c r="G14" s="59">
        <v>17</v>
      </c>
      <c r="H14" s="59">
        <v>26</v>
      </c>
      <c r="I14" s="59">
        <v>14</v>
      </c>
      <c r="J14" s="61">
        <f>_xlfn.VAR.S(F14:I14)* (F$11-1)</f>
        <v>114.75</v>
      </c>
      <c r="L14" s="5">
        <v>1</v>
      </c>
      <c r="M14" s="59">
        <v>47</v>
      </c>
      <c r="N14" s="59">
        <v>44</v>
      </c>
      <c r="O14" s="59">
        <v>58</v>
      </c>
      <c r="P14" s="59">
        <v>64</v>
      </c>
      <c r="Q14" s="62">
        <f>_xlfn.VAR.S(M14:P14)*(F$11-1)</f>
        <v>262.75</v>
      </c>
    </row>
    <row r="15" spans="1:17" x14ac:dyDescent="0.3">
      <c r="B15">
        <v>18</v>
      </c>
      <c r="C15">
        <v>76</v>
      </c>
      <c r="E15" s="5">
        <v>2</v>
      </c>
      <c r="F15" s="59">
        <v>17</v>
      </c>
      <c r="G15" s="59">
        <v>16</v>
      </c>
      <c r="H15" s="59">
        <v>28</v>
      </c>
      <c r="I15" s="59">
        <v>34</v>
      </c>
      <c r="J15" s="61">
        <f t="shared" ref="J15:J19" si="0">_xlfn.VAR.S(F15:I15)* (F$11-1)</f>
        <v>228.75</v>
      </c>
      <c r="L15" s="5">
        <v>2</v>
      </c>
      <c r="M15" s="59">
        <v>76</v>
      </c>
      <c r="N15" s="59">
        <v>48</v>
      </c>
      <c r="O15" s="59">
        <v>59</v>
      </c>
      <c r="P15" s="59">
        <v>66</v>
      </c>
      <c r="Q15" s="62">
        <f t="shared" ref="Q15:Q18" si="1">_xlfn.VAR.S(M15:P15)*(F$11-1)</f>
        <v>416.75</v>
      </c>
    </row>
    <row r="16" spans="1:17" x14ac:dyDescent="0.3">
      <c r="B16">
        <v>17</v>
      </c>
      <c r="C16">
        <v>58</v>
      </c>
      <c r="E16" s="5">
        <v>3</v>
      </c>
      <c r="F16" s="59">
        <v>30</v>
      </c>
      <c r="G16" s="59">
        <v>21</v>
      </c>
      <c r="H16" s="59">
        <v>44</v>
      </c>
      <c r="I16" s="59">
        <v>18</v>
      </c>
      <c r="J16" s="61">
        <f t="shared" si="0"/>
        <v>408.75</v>
      </c>
      <c r="L16" s="5">
        <v>3</v>
      </c>
      <c r="M16" s="59">
        <v>80</v>
      </c>
      <c r="N16" s="59">
        <v>65</v>
      </c>
      <c r="O16" s="59">
        <v>51</v>
      </c>
      <c r="P16" s="59">
        <v>58</v>
      </c>
      <c r="Q16" s="62">
        <f t="shared" si="1"/>
        <v>461</v>
      </c>
    </row>
    <row r="17" spans="2:17" x14ac:dyDescent="0.3">
      <c r="B17">
        <v>23</v>
      </c>
      <c r="C17">
        <v>61</v>
      </c>
      <c r="E17" s="5">
        <v>4</v>
      </c>
      <c r="F17" s="59">
        <v>29</v>
      </c>
      <c r="G17" s="59">
        <v>36</v>
      </c>
      <c r="H17" s="59">
        <v>24</v>
      </c>
      <c r="I17" s="59">
        <v>35</v>
      </c>
      <c r="J17" s="61">
        <f t="shared" si="0"/>
        <v>94</v>
      </c>
      <c r="L17" s="5">
        <v>4</v>
      </c>
      <c r="M17" s="59">
        <v>61</v>
      </c>
      <c r="N17" s="59">
        <v>56</v>
      </c>
      <c r="O17" s="59">
        <v>61</v>
      </c>
      <c r="P17" s="59">
        <v>68</v>
      </c>
      <c r="Q17" s="62">
        <f t="shared" si="1"/>
        <v>73</v>
      </c>
    </row>
    <row r="18" spans="2:17" x14ac:dyDescent="0.3">
      <c r="B18">
        <v>29</v>
      </c>
      <c r="C18">
        <v>48</v>
      </c>
      <c r="E18" s="5">
        <v>5</v>
      </c>
      <c r="F18" s="59">
        <v>32</v>
      </c>
      <c r="G18" s="59">
        <v>27</v>
      </c>
      <c r="H18" s="59">
        <v>35</v>
      </c>
      <c r="I18" s="59">
        <v>18</v>
      </c>
      <c r="J18" s="61">
        <f t="shared" si="0"/>
        <v>166</v>
      </c>
      <c r="L18" s="5">
        <v>5</v>
      </c>
      <c r="M18" s="59">
        <v>55</v>
      </c>
      <c r="N18" s="59">
        <v>60</v>
      </c>
      <c r="O18" s="59">
        <v>51</v>
      </c>
      <c r="P18" s="59">
        <v>58</v>
      </c>
      <c r="Q18" s="62">
        <f t="shared" si="1"/>
        <v>46</v>
      </c>
    </row>
    <row r="19" spans="2:17" x14ac:dyDescent="0.3">
      <c r="B19">
        <v>16</v>
      </c>
      <c r="C19">
        <v>55</v>
      </c>
      <c r="E19" s="5">
        <v>6</v>
      </c>
      <c r="F19" s="59">
        <v>23</v>
      </c>
      <c r="G19" s="59">
        <v>13</v>
      </c>
      <c r="H19" s="59">
        <v>23</v>
      </c>
      <c r="I19" s="59">
        <v>52</v>
      </c>
      <c r="J19" s="61">
        <f t="shared" si="0"/>
        <v>850.75</v>
      </c>
    </row>
    <row r="20" spans="2:17" x14ac:dyDescent="0.3">
      <c r="B20">
        <v>13</v>
      </c>
      <c r="C20">
        <v>68</v>
      </c>
    </row>
    <row r="21" spans="2:17" x14ac:dyDescent="0.3">
      <c r="B21">
        <v>16</v>
      </c>
      <c r="C21">
        <v>59</v>
      </c>
      <c r="E21" t="s">
        <v>146</v>
      </c>
      <c r="F21" t="s">
        <v>43</v>
      </c>
      <c r="G21" t="s">
        <v>147</v>
      </c>
    </row>
    <row r="22" spans="2:17" x14ac:dyDescent="0.3">
      <c r="B22">
        <v>13</v>
      </c>
      <c r="C22">
        <v>60</v>
      </c>
      <c r="E22" s="63" cm="1">
        <f t="array" ref="E22:E27">J14:J19</f>
        <v>114.75</v>
      </c>
      <c r="F22">
        <f>_xlfn.RANK.AVG(E22,E$22:E$32,1)</f>
        <v>4</v>
      </c>
      <c r="G22" t="s">
        <v>148</v>
      </c>
      <c r="H22" t="s">
        <v>44</v>
      </c>
      <c r="I22">
        <f>SUM(F22:F27)</f>
        <v>37</v>
      </c>
    </row>
    <row r="23" spans="2:17" x14ac:dyDescent="0.3">
      <c r="B23">
        <v>36</v>
      </c>
      <c r="C23">
        <v>58</v>
      </c>
      <c r="E23" s="63">
        <v>228.75</v>
      </c>
      <c r="F23">
        <f t="shared" ref="F23:F32" si="2">_xlfn.RANK.AVG(E23,E$22:E$32,1)</f>
        <v>6</v>
      </c>
      <c r="G23" t="s">
        <v>148</v>
      </c>
      <c r="H23" t="s">
        <v>45</v>
      </c>
      <c r="I23">
        <f>SUM(F28:F32)</f>
        <v>29</v>
      </c>
    </row>
    <row r="24" spans="2:17" x14ac:dyDescent="0.3">
      <c r="B24">
        <v>28</v>
      </c>
      <c r="C24">
        <v>51</v>
      </c>
      <c r="E24" s="63">
        <v>408.75</v>
      </c>
      <c r="F24">
        <f t="shared" si="2"/>
        <v>8</v>
      </c>
      <c r="G24" t="s">
        <v>148</v>
      </c>
      <c r="H24" t="s">
        <v>46</v>
      </c>
      <c r="I24">
        <f>I22- (E19*(E19+1))/2</f>
        <v>16</v>
      </c>
    </row>
    <row r="25" spans="2:17" x14ac:dyDescent="0.3">
      <c r="B25">
        <v>23</v>
      </c>
      <c r="E25" s="63">
        <v>94</v>
      </c>
      <c r="F25">
        <f t="shared" si="2"/>
        <v>3</v>
      </c>
      <c r="G25" t="s">
        <v>148</v>
      </c>
      <c r="H25" t="s">
        <v>47</v>
      </c>
      <c r="I25">
        <f>I23- (L18*(L18+1))/2</f>
        <v>14</v>
      </c>
    </row>
    <row r="26" spans="2:17" x14ac:dyDescent="0.3">
      <c r="B26">
        <v>24</v>
      </c>
      <c r="E26" s="63">
        <v>166</v>
      </c>
      <c r="F26">
        <f t="shared" si="2"/>
        <v>5</v>
      </c>
      <c r="G26" t="s">
        <v>148</v>
      </c>
      <c r="H26" t="s">
        <v>48</v>
      </c>
      <c r="I26">
        <f>MIN(I24:I25)</f>
        <v>14</v>
      </c>
    </row>
    <row r="27" spans="2:17" x14ac:dyDescent="0.3">
      <c r="B27">
        <v>34</v>
      </c>
      <c r="E27" s="63">
        <v>850.75</v>
      </c>
      <c r="F27">
        <f t="shared" si="2"/>
        <v>11</v>
      </c>
      <c r="G27" t="s">
        <v>148</v>
      </c>
    </row>
    <row r="28" spans="2:17" x14ac:dyDescent="0.3">
      <c r="B28">
        <v>52</v>
      </c>
      <c r="E28" s="56" cm="1">
        <f t="array" ref="E28:E32">Q14:Q18</f>
        <v>262.75</v>
      </c>
      <c r="F28">
        <f t="shared" si="2"/>
        <v>7</v>
      </c>
      <c r="G28" t="s">
        <v>149</v>
      </c>
    </row>
    <row r="29" spans="2:17" x14ac:dyDescent="0.3">
      <c r="B29">
        <v>35</v>
      </c>
      <c r="E29" s="56">
        <v>416.75</v>
      </c>
      <c r="F29">
        <f t="shared" si="2"/>
        <v>9</v>
      </c>
      <c r="G29" t="s">
        <v>149</v>
      </c>
    </row>
    <row r="30" spans="2:17" x14ac:dyDescent="0.3">
      <c r="E30" s="56">
        <v>461</v>
      </c>
      <c r="F30">
        <f t="shared" si="2"/>
        <v>10</v>
      </c>
      <c r="G30" t="s">
        <v>149</v>
      </c>
    </row>
    <row r="31" spans="2:17" x14ac:dyDescent="0.3">
      <c r="E31" s="56">
        <v>73</v>
      </c>
      <c r="F31">
        <f t="shared" si="2"/>
        <v>2</v>
      </c>
      <c r="G31" t="s">
        <v>149</v>
      </c>
    </row>
    <row r="32" spans="2:17" x14ac:dyDescent="0.3">
      <c r="E32" s="56">
        <v>46</v>
      </c>
      <c r="F32">
        <f t="shared" si="2"/>
        <v>1</v>
      </c>
      <c r="G32" t="s">
        <v>149</v>
      </c>
    </row>
    <row r="34" spans="5:8" x14ac:dyDescent="0.3">
      <c r="E34" t="s">
        <v>48</v>
      </c>
      <c r="F34">
        <f>I26</f>
        <v>14</v>
      </c>
    </row>
    <row r="35" spans="5:8" x14ac:dyDescent="0.3">
      <c r="E35" s="58" t="s">
        <v>152</v>
      </c>
      <c r="F35">
        <f>K10*K11/2</f>
        <v>15</v>
      </c>
    </row>
    <row r="36" spans="5:8" x14ac:dyDescent="0.3">
      <c r="E36" s="58" t="s">
        <v>153</v>
      </c>
      <c r="F36">
        <f>SQRT((K10*K11*(K10+K11+1))/12)</f>
        <v>5.4772255750516612</v>
      </c>
    </row>
    <row r="37" spans="5:8" x14ac:dyDescent="0.3">
      <c r="E37" s="58" t="s">
        <v>68</v>
      </c>
      <c r="F37">
        <f>(F34-F35)/F36</f>
        <v>-0.18257418583505536</v>
      </c>
    </row>
    <row r="39" spans="5:8" x14ac:dyDescent="0.3">
      <c r="E39" s="3" t="s">
        <v>49</v>
      </c>
      <c r="F39" t="s">
        <v>69</v>
      </c>
      <c r="G39">
        <f>_xlfn.NORM.S.INV(1-G6/2)</f>
        <v>1.9599639845400536</v>
      </c>
    </row>
    <row r="41" spans="5:8" x14ac:dyDescent="0.3">
      <c r="E41" t="s">
        <v>51</v>
      </c>
      <c r="F41">
        <f>ABS(F37)</f>
        <v>0.18257418583505536</v>
      </c>
      <c r="G41" s="4" t="s">
        <v>36</v>
      </c>
      <c r="H41">
        <f>G39</f>
        <v>1.9599639845400536</v>
      </c>
    </row>
    <row r="43" spans="5:8" x14ac:dyDescent="0.3">
      <c r="E43" s="3" t="s">
        <v>25</v>
      </c>
      <c r="F43" t="s">
        <v>53</v>
      </c>
    </row>
  </sheetData>
  <mergeCells count="4">
    <mergeCell ref="E6:F6"/>
    <mergeCell ref="E9:F9"/>
    <mergeCell ref="F13:I13"/>
    <mergeCell ref="M13:P1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A21B-B140-4027-9818-F0D0BB51A849}">
  <dimension ref="A1"/>
  <sheetViews>
    <sheetView tabSelected="1" zoomScale="42" workbookViewId="0">
      <selection activeCell="V23" sqref="V2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MEDIANA &lt;10</vt:lpstr>
      <vt:lpstr>MEDIANA 10 &lt; x &lt; 40</vt:lpstr>
      <vt:lpstr>MEDIANA &gt; 40</vt:lpstr>
      <vt:lpstr>U-MANN WHITNEY</vt:lpstr>
      <vt:lpstr>U - MANN WHITNEY G.</vt:lpstr>
      <vt:lpstr>POLICELLO</vt:lpstr>
      <vt:lpstr>KRUSKAL WALLIS</vt:lpstr>
      <vt:lpstr>MOOD</vt:lpstr>
      <vt:lpstr>MOOD G.</vt:lpstr>
      <vt:lpstr>MOSES</vt:lpstr>
      <vt:lpstr>MOSES G.</vt:lpstr>
      <vt:lpstr>TABLAS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 3</dc:creator>
  <cp:lastModifiedBy>SLIM 3</cp:lastModifiedBy>
  <dcterms:created xsi:type="dcterms:W3CDTF">2025-06-11T18:24:02Z</dcterms:created>
  <dcterms:modified xsi:type="dcterms:W3CDTF">2025-10-19T04:37:58Z</dcterms:modified>
</cp:coreProperties>
</file>