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3.xml" ContentType="application/vnd.openxmlformats-officedocument.drawing+xml"/>
  <Override PartName="/xl/comments13.xml" ContentType="application/vnd.openxmlformats-officedocument.spreadsheetml.comments+xml"/>
  <Override PartName="/xl/drawings/drawing4.xml" ContentType="application/vnd.openxmlformats-officedocument.drawing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drawings/drawing5.xml" ContentType="application/vnd.openxmlformats-officedocument.drawing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drawings/drawing6.xml" ContentType="application/vnd.openxmlformats-officedocument.drawing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drawings/drawing7.xml" ContentType="application/vnd.openxmlformats-officedocument.drawing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drawings/drawing8.xml" ContentType="application/vnd.openxmlformats-officedocument.drawing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drawings/drawing9.xml" ContentType="application/vnd.openxmlformats-officedocument.drawing+xml"/>
  <Override PartName="/xl/comments61.xml" ContentType="application/vnd.openxmlformats-officedocument.spreadsheetml.comments+xml"/>
  <Override PartName="/xl/drawings/drawing10.xml" ContentType="application/vnd.openxmlformats-officedocument.drawing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drawings/drawing11.xml" ContentType="application/vnd.openxmlformats-officedocument.drawing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drawings/drawing12.xml" ContentType="application/vnd.openxmlformats-officedocument.drawing+xml"/>
  <Override PartName="/xl/comments68.xml" ContentType="application/vnd.openxmlformats-officedocument.spreadsheetml.comments+xml"/>
  <Override PartName="/xl/drawings/drawing13.xml" ContentType="application/vnd.openxmlformats-officedocument.drawing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drawings/drawing14.xml" ContentType="application/vnd.openxmlformats-officedocument.drawing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drawings/drawing15.xml" ContentType="application/vnd.openxmlformats-officedocument.drawing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R:\LAB DEPARTMENT UT\Quoting\"/>
    </mc:Choice>
  </mc:AlternateContent>
  <xr:revisionPtr revIDLastSave="0" documentId="13_ncr:1_{D8A7CE00-E6F6-4DDF-927A-C434C91684B7}" xr6:coauthVersionLast="47" xr6:coauthVersionMax="47" xr10:uidLastSave="{00000000-0000-0000-0000-000000000000}"/>
  <bookViews>
    <workbookView xWindow="4290" yWindow="615" windowWidth="26340" windowHeight="20265" tabRatio="933" activeTab="2" xr2:uid="{00000000-000D-0000-FFFF-FFFF00000000}"/>
  </bookViews>
  <sheets>
    <sheet name="MASTER" sheetId="1" r:id="rId1"/>
    <sheet name="BODYCOTE" sheetId="91" r:id="rId2"/>
    <sheet name="BLUE ORIGIN" sheetId="90" r:id="rId3"/>
    <sheet name="ROUND BAR" sheetId="16" r:id="rId4"/>
    <sheet name="WEIGHT FORMULA" sheetId="17" r:id="rId5"/>
    <sheet name="RING CALCULATOR" sheetId="33" r:id="rId6"/>
    <sheet name="TUBING" sheetId="40" r:id="rId7"/>
    <sheet name="ABC SHEET" sheetId="66" r:id="rId8"/>
    <sheet name="ABSOLUTE TECHNOLOGIES" sheetId="45" r:id="rId9"/>
    <sheet name="ACTION INDUSTRIES" sheetId="30" r:id="rId10"/>
    <sheet name="ACUTEK US" sheetId="14" r:id="rId11"/>
    <sheet name="ADVANCED STRUCTURAL TECH" sheetId="75" r:id="rId12"/>
    <sheet name="AEROFAB CORP" sheetId="37" r:id="rId13"/>
    <sheet name="AERONOVA" sheetId="62" r:id="rId14"/>
    <sheet name="AIRCRAFT EXTRUSION" sheetId="81" r:id="rId15"/>
    <sheet name="ALLOY METALS" sheetId="2" r:id="rId16"/>
    <sheet name="ALTEMP ALLOYS" sheetId="23" r:id="rId17"/>
    <sheet name="AMERICAN HANDFORGE" sheetId="60" r:id="rId18"/>
    <sheet name="AVIATION METALS" sheetId="10" r:id="rId19"/>
    <sheet name="AXIAN TECHNOLOGY" sheetId="48" r:id="rId20"/>
    <sheet name="AXXIS CORP" sheetId="13" r:id="rId21"/>
    <sheet name="BEL-AIR MACHINE" sheetId="39" r:id="rId22"/>
    <sheet name="BLUELINE INDUSTRIES" sheetId="49" r:id="rId23"/>
    <sheet name="BRALCO" sheetId="5" r:id="rId24"/>
    <sheet name="CALIFORNIA AMFORGE" sheetId="53" r:id="rId25"/>
    <sheet name="CALIFORNIA METALS" sheetId="21" r:id="rId26"/>
    <sheet name="CASTLE METALS" sheetId="36" r:id="rId27"/>
    <sheet name="CENTURY PRECISION" sheetId="68" r:id="rId28"/>
    <sheet name="COAST MANUFACTURING" sheetId="87" r:id="rId29"/>
    <sheet name="CONNELLY MACHINE" sheetId="85" r:id="rId30"/>
    <sheet name="CONTINOUS IMPROVEMENT" sheetId="86" r:id="rId31"/>
    <sheet name="COULTER FORGE" sheetId="43" r:id="rId32"/>
    <sheet name="CUTTER INNOVATIONS" sheetId="88" r:id="rId33"/>
    <sheet name="EARLE M. JORGENSON" sheetId="57" r:id="rId34"/>
    <sheet name="FALCON AEROSPACE" sheetId="29" r:id="rId35"/>
    <sheet name="FALCON ENGINEERING" sheetId="20" r:id="rId36"/>
    <sheet name="FLIGHT METALS" sheetId="58" r:id="rId37"/>
    <sheet name="FRY STEEL" sheetId="6" r:id="rId38"/>
    <sheet name="HUB METALS" sheetId="46" r:id="rId39"/>
    <sheet name="HURLEN" sheetId="56" r:id="rId40"/>
    <sheet name="iLAM PRECISION" sheetId="55" r:id="rId41"/>
    <sheet name="INDEPENDENT FORGE" sheetId="12" r:id="rId42"/>
    <sheet name="JACQUET WEST" sheetId="78" r:id="rId43"/>
    <sheet name="JOHNSON PRECISION" sheetId="89" r:id="rId44"/>
    <sheet name="JR MACHINE" sheetId="11" r:id="rId45"/>
    <sheet name="LEADING EDGE" sheetId="9" r:id="rId46"/>
    <sheet name="LNT MACHINE" sheetId="70" r:id="rId47"/>
    <sheet name="LNP MACHINE" sheetId="79" r:id="rId48"/>
    <sheet name="KREMIN" sheetId="71" r:id="rId49"/>
    <sheet name="LEAN MANUFACTURING" sheetId="38" r:id="rId50"/>
    <sheet name="MAGNA TOOL" sheetId="51" r:id="rId51"/>
    <sheet name="MCNEELEY MFG" sheetId="50" r:id="rId52"/>
    <sheet name="MICHLIN METALS" sheetId="65" r:id="rId53"/>
    <sheet name="MILLER CNC" sheetId="44" r:id="rId54"/>
    <sheet name="MINDRUM PRECISION" sheetId="77" r:id="rId55"/>
    <sheet name="NYTRON" sheetId="63" r:id="rId56"/>
    <sheet name="OLYMPIC AVIATION" sheetId="4" r:id="rId57"/>
    <sheet name="PNEUDRALICS" sheetId="69" r:id="rId58"/>
    <sheet name="PRECISION WATERJET" sheetId="18" r:id="rId59"/>
    <sheet name="PRECISION FLUID CONTROL" sheetId="82" r:id="rId60"/>
    <sheet name="PREMCO" sheetId="8" r:id="rId61"/>
    <sheet name="PROGRESSIVE ALLOY" sheetId="24" r:id="rId62"/>
    <sheet name="PROTOTEK" sheetId="59" r:id="rId63"/>
    <sheet name="Q&amp;L METALS" sheetId="27" r:id="rId64"/>
    <sheet name="RAM ALLOYS" sheetId="41" r:id="rId65"/>
    <sheet name="RBC BEARING" sheetId="61" r:id="rId66"/>
    <sheet name="RED LION" sheetId="25" r:id="rId67"/>
    <sheet name="RICKARD SPECIALTY METALS" sheetId="32" r:id="rId68"/>
    <sheet name="ROLLED ALLOYS" sheetId="19" r:id="rId69"/>
    <sheet name="SA AEROSPCE" sheetId="22" r:id="rId70"/>
    <sheet name="SIERRA ALLOYS" sheetId="26" r:id="rId71"/>
    <sheet name="SIGMA AEROSPACE" sheetId="74" r:id="rId72"/>
    <sheet name="SLICE OF STAINLESS" sheetId="83" r:id="rId73"/>
    <sheet name="SPACE-LOK" sheetId="80" r:id="rId74"/>
    <sheet name="SPECIALITY METALS" sheetId="72" r:id="rId75"/>
    <sheet name="SUNSHINE METALS" sheetId="42" r:id="rId76"/>
    <sheet name="SUPERIOR HANDFORGE" sheetId="34" r:id="rId77"/>
    <sheet name="TACKETT MACHINE" sheetId="84" r:id="rId78"/>
    <sheet name="TECTON" sheetId="52" r:id="rId79"/>
    <sheet name="TITANIUM DISTRUBUTION SERVICES" sheetId="31" r:id="rId80"/>
    <sheet name="TOOLCRAFT" sheetId="7" r:id="rId81"/>
    <sheet name="TNT MACHINE" sheetId="67" r:id="rId82"/>
    <sheet name="TRABUCO PRECISION" sheetId="73" r:id="rId83"/>
    <sheet name="TRI-TECH METALS" sheetId="76" r:id="rId84"/>
    <sheet name="TRITON ALLOYS " sheetId="15" r:id="rId85"/>
    <sheet name="TRUE STEEL" sheetId="3" r:id="rId86"/>
    <sheet name="TURBOTECH" sheetId="64" r:id="rId87"/>
    <sheet name="UNIVERSAL METALS" sheetId="28" r:id="rId88"/>
    <sheet name="UREMET CORP" sheetId="35" r:id="rId89"/>
    <sheet name="VELOCITY PRECISION" sheetId="54" r:id="rId90"/>
  </sheets>
  <definedNames>
    <definedName name="_Hlk157170825" localSheetId="60">PREMCO!$X$15</definedName>
    <definedName name="_Hlk157662704" localSheetId="45">'LEADING EDGE'!$W$19</definedName>
    <definedName name="_Hlk162361649" localSheetId="45">'LEADING EDGE'!$W$20</definedName>
    <definedName name="_Hlk204958969" localSheetId="17">'AMERICAN HANDFORGE'!$A$1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7" i="90" l="1"/>
  <c r="D17" i="90"/>
  <c r="T16" i="33"/>
  <c r="K16" i="33"/>
  <c r="I16" i="33"/>
  <c r="F16" i="33"/>
  <c r="N16" i="33" s="1"/>
  <c r="E16" i="33"/>
  <c r="T15" i="33"/>
  <c r="K15" i="33"/>
  <c r="I15" i="33"/>
  <c r="F15" i="33"/>
  <c r="N15" i="33" s="1"/>
  <c r="E15" i="33"/>
  <c r="T21" i="43"/>
  <c r="T30" i="43"/>
  <c r="T27" i="43"/>
  <c r="T20" i="43"/>
  <c r="T17" i="43"/>
  <c r="C11" i="43"/>
  <c r="B11" i="43"/>
  <c r="D11" i="43" s="1"/>
  <c r="F11" i="43" s="1"/>
  <c r="G11" i="43" s="1"/>
  <c r="I11" i="43" s="1"/>
  <c r="L11" i="43" s="1"/>
  <c r="D14" i="43"/>
  <c r="F14" i="43" s="1"/>
  <c r="G14" i="43" s="1"/>
  <c r="I14" i="43" s="1"/>
  <c r="L14" i="43" s="1"/>
  <c r="D13" i="43"/>
  <c r="F13" i="43" s="1"/>
  <c r="G13" i="43" s="1"/>
  <c r="I13" i="43" s="1"/>
  <c r="L13" i="43" s="1"/>
  <c r="D12" i="43"/>
  <c r="F12" i="43" s="1"/>
  <c r="G12" i="43" s="1"/>
  <c r="I12" i="43" s="1"/>
  <c r="L12" i="43" s="1"/>
  <c r="D10" i="43"/>
  <c r="F10" i="43" s="1"/>
  <c r="G10" i="43" s="1"/>
  <c r="I10" i="43" s="1"/>
  <c r="L10" i="43" s="1"/>
  <c r="M7" i="43"/>
  <c r="H7" i="43"/>
  <c r="F7" i="43"/>
  <c r="G7" i="43" s="1"/>
  <c r="L3" i="91"/>
  <c r="G3" i="91"/>
  <c r="E3" i="91"/>
  <c r="F3" i="91" s="1"/>
  <c r="Q26" i="10"/>
  <c r="Q23" i="10"/>
  <c r="AC32" i="34"/>
  <c r="AC31" i="34"/>
  <c r="AC30" i="34"/>
  <c r="AC29" i="34"/>
  <c r="AC28" i="34"/>
  <c r="AC27" i="34"/>
  <c r="M10" i="34"/>
  <c r="H10" i="34"/>
  <c r="F10" i="34"/>
  <c r="G10" i="34" s="1"/>
  <c r="AF53" i="24"/>
  <c r="AF52" i="24"/>
  <c r="AF51" i="24"/>
  <c r="AF50" i="24"/>
  <c r="AF49" i="24"/>
  <c r="AF48" i="24"/>
  <c r="AF47" i="24"/>
  <c r="AF46" i="24"/>
  <c r="AF45" i="24"/>
  <c r="AF44" i="24"/>
  <c r="AF43" i="24"/>
  <c r="AF42" i="24"/>
  <c r="AF41" i="24"/>
  <c r="AF40" i="24"/>
  <c r="AF39" i="24"/>
  <c r="AF38" i="24"/>
  <c r="AF37" i="24"/>
  <c r="AF36" i="24"/>
  <c r="AF35" i="24"/>
  <c r="AF34" i="24"/>
  <c r="AF33" i="24"/>
  <c r="AF32" i="24"/>
  <c r="AF31" i="24"/>
  <c r="AF30" i="24"/>
  <c r="AF29" i="24"/>
  <c r="AF28" i="24"/>
  <c r="AF27" i="24"/>
  <c r="AF26" i="24"/>
  <c r="AF25" i="24"/>
  <c r="AF24" i="24"/>
  <c r="AF23" i="24"/>
  <c r="AF22" i="24"/>
  <c r="AF21" i="24"/>
  <c r="AF20" i="24"/>
  <c r="AF19" i="24"/>
  <c r="AF18" i="24"/>
  <c r="AF17" i="24"/>
  <c r="AF16" i="24"/>
  <c r="AF15" i="24"/>
  <c r="AF14" i="24"/>
  <c r="AF13" i="24"/>
  <c r="AF12" i="24"/>
  <c r="AB15" i="4"/>
  <c r="X53" i="4"/>
  <c r="X48" i="4"/>
  <c r="X43" i="4"/>
  <c r="X41" i="4"/>
  <c r="X36" i="4"/>
  <c r="X31" i="4"/>
  <c r="X29" i="4"/>
  <c r="X24" i="4"/>
  <c r="X19" i="4"/>
  <c r="X17" i="4"/>
  <c r="X44" i="4"/>
  <c r="X45" i="4"/>
  <c r="X46" i="4"/>
  <c r="X47" i="4"/>
  <c r="X49" i="4"/>
  <c r="X50" i="4"/>
  <c r="X51" i="4"/>
  <c r="X52" i="4"/>
  <c r="X54" i="4"/>
  <c r="X14" i="4"/>
  <c r="X15" i="4"/>
  <c r="X16" i="4"/>
  <c r="X18" i="4"/>
  <c r="X20" i="4"/>
  <c r="X21" i="4"/>
  <c r="X22" i="4"/>
  <c r="X23" i="4"/>
  <c r="X25" i="4"/>
  <c r="X26" i="4"/>
  <c r="X27" i="4"/>
  <c r="X28" i="4"/>
  <c r="X30" i="4"/>
  <c r="X32" i="4"/>
  <c r="X33" i="4"/>
  <c r="X34" i="4"/>
  <c r="X35" i="4"/>
  <c r="X37" i="4"/>
  <c r="X38" i="4"/>
  <c r="X39" i="4"/>
  <c r="X40" i="4"/>
  <c r="X42" i="4"/>
  <c r="X13" i="4"/>
  <c r="Y50" i="23"/>
  <c r="U50" i="23"/>
  <c r="Y49" i="23"/>
  <c r="U49" i="23"/>
  <c r="U48" i="23"/>
  <c r="Y45" i="23"/>
  <c r="P45" i="23" s="1"/>
  <c r="Z38" i="1"/>
  <c r="Z37" i="1"/>
  <c r="Z33" i="1"/>
  <c r="Q33" i="1" s="1"/>
  <c r="Z36" i="1" s="1"/>
  <c r="AE38" i="57"/>
  <c r="AC38" i="57"/>
  <c r="AB38" i="57"/>
  <c r="AF38" i="57" s="1"/>
  <c r="AG38" i="57" s="1"/>
  <c r="AH38" i="57" s="1"/>
  <c r="AI38" i="57" s="1"/>
  <c r="O24" i="57" s="1"/>
  <c r="AE37" i="57"/>
  <c r="AC37" i="57"/>
  <c r="AB37" i="57"/>
  <c r="M24" i="57"/>
  <c r="H24" i="57"/>
  <c r="G24" i="57"/>
  <c r="J24" i="57" s="1"/>
  <c r="K24" i="57" s="1"/>
  <c r="N24" i="57" s="1"/>
  <c r="F24" i="57"/>
  <c r="M20" i="57"/>
  <c r="H20" i="57"/>
  <c r="G20" i="57"/>
  <c r="F20" i="57"/>
  <c r="AI41" i="57"/>
  <c r="AH41" i="57"/>
  <c r="AG41" i="57"/>
  <c r="AF41" i="57"/>
  <c r="AG40" i="57"/>
  <c r="AH40" i="57" s="1"/>
  <c r="AI40" i="57" s="1"/>
  <c r="AF40" i="57"/>
  <c r="AG39" i="57"/>
  <c r="AH39" i="57" s="1"/>
  <c r="AI39" i="57" s="1"/>
  <c r="AF39" i="57"/>
  <c r="AC30" i="57"/>
  <c r="I41" i="41"/>
  <c r="D41" i="41"/>
  <c r="I40" i="41"/>
  <c r="D40" i="41"/>
  <c r="I39" i="41"/>
  <c r="D39" i="41"/>
  <c r="I38" i="41"/>
  <c r="D38" i="41"/>
  <c r="N36" i="41"/>
  <c r="C36" i="41"/>
  <c r="G36" i="41" s="1"/>
  <c r="Y17" i="10"/>
  <c r="Y14" i="10"/>
  <c r="I18" i="90"/>
  <c r="I15" i="90"/>
  <c r="N13" i="90"/>
  <c r="C13" i="90" s="1"/>
  <c r="G13" i="90" s="1"/>
  <c r="D18" i="90"/>
  <c r="I16" i="90"/>
  <c r="D16" i="90"/>
  <c r="D15" i="90"/>
  <c r="M8" i="90"/>
  <c r="H8" i="90"/>
  <c r="F8" i="90"/>
  <c r="G8" i="90" s="1"/>
  <c r="M5" i="90"/>
  <c r="H5" i="90"/>
  <c r="G5" i="90"/>
  <c r="F5" i="90"/>
  <c r="Y34" i="89"/>
  <c r="Y31" i="89"/>
  <c r="AD25" i="89"/>
  <c r="Y25" i="89"/>
  <c r="AD22" i="89"/>
  <c r="Y22" i="89"/>
  <c r="M17" i="89"/>
  <c r="H17" i="89"/>
  <c r="F17" i="89"/>
  <c r="G17" i="89" s="1"/>
  <c r="M14" i="89"/>
  <c r="H14" i="89"/>
  <c r="J14" i="89" s="1"/>
  <c r="K14" i="89" s="1"/>
  <c r="N14" i="89" s="1"/>
  <c r="G14" i="89"/>
  <c r="F14" i="89"/>
  <c r="M9" i="89"/>
  <c r="H9" i="89"/>
  <c r="F9" i="89"/>
  <c r="G9" i="89" s="1"/>
  <c r="M6" i="89"/>
  <c r="J6" i="89"/>
  <c r="K6" i="89" s="1"/>
  <c r="N6" i="89" s="1"/>
  <c r="H6" i="89"/>
  <c r="G6" i="89"/>
  <c r="F6" i="89"/>
  <c r="M3" i="89"/>
  <c r="H3" i="89"/>
  <c r="J3" i="89" s="1"/>
  <c r="K3" i="89" s="1"/>
  <c r="N3" i="89" s="1"/>
  <c r="G3" i="89"/>
  <c r="F3" i="89"/>
  <c r="X35" i="88"/>
  <c r="X32" i="88"/>
  <c r="AC26" i="88"/>
  <c r="X26" i="88"/>
  <c r="AC23" i="88"/>
  <c r="X23" i="88"/>
  <c r="M18" i="88"/>
  <c r="H18" i="88"/>
  <c r="J18" i="88" s="1"/>
  <c r="K18" i="88" s="1"/>
  <c r="N18" i="88" s="1"/>
  <c r="F18" i="88"/>
  <c r="G18" i="88" s="1"/>
  <c r="M15" i="88"/>
  <c r="H15" i="88"/>
  <c r="G15" i="88"/>
  <c r="F15" i="88"/>
  <c r="M10" i="88"/>
  <c r="H10" i="88"/>
  <c r="G10" i="88"/>
  <c r="F10" i="88"/>
  <c r="M7" i="88"/>
  <c r="H7" i="88"/>
  <c r="G7" i="88"/>
  <c r="J7" i="88" s="1"/>
  <c r="K7" i="88" s="1"/>
  <c r="N7" i="88" s="1"/>
  <c r="F7" i="88"/>
  <c r="M3" i="88"/>
  <c r="K3" i="88"/>
  <c r="N3" i="88" s="1"/>
  <c r="J3" i="88"/>
  <c r="H3" i="88"/>
  <c r="G3" i="88"/>
  <c r="F3" i="88"/>
  <c r="X3" i="43"/>
  <c r="K3" i="43"/>
  <c r="I3" i="43"/>
  <c r="F3" i="43"/>
  <c r="N3" i="43" s="1"/>
  <c r="E3" i="43"/>
  <c r="L3" i="43" s="1"/>
  <c r="U28" i="6"/>
  <c r="U25" i="6"/>
  <c r="U19" i="6"/>
  <c r="AG17" i="6"/>
  <c r="AB17" i="6"/>
  <c r="AG16" i="6"/>
  <c r="AB16" i="6"/>
  <c r="U16" i="6"/>
  <c r="AB15" i="6"/>
  <c r="AC13" i="6"/>
  <c r="AE13" i="6" s="1"/>
  <c r="AA13" i="6"/>
  <c r="M10" i="6"/>
  <c r="H10" i="6"/>
  <c r="F10" i="6"/>
  <c r="G10" i="6" s="1"/>
  <c r="M6" i="6"/>
  <c r="H6" i="6"/>
  <c r="G6" i="6"/>
  <c r="J6" i="6" s="1"/>
  <c r="K6" i="6" s="1"/>
  <c r="N6" i="6" s="1"/>
  <c r="F6" i="6"/>
  <c r="M3" i="6"/>
  <c r="H3" i="6"/>
  <c r="J3" i="6" s="1"/>
  <c r="K3" i="6" s="1"/>
  <c r="N3" i="6" s="1"/>
  <c r="G3" i="6"/>
  <c r="F3" i="6"/>
  <c r="X32" i="56"/>
  <c r="X31" i="56"/>
  <c r="X30" i="56"/>
  <c r="X29" i="56"/>
  <c r="X28" i="56"/>
  <c r="X27" i="56"/>
  <c r="X22" i="56"/>
  <c r="X19" i="56"/>
  <c r="AC22" i="56"/>
  <c r="AC19" i="56"/>
  <c r="M3" i="56"/>
  <c r="H3" i="56"/>
  <c r="G3" i="56"/>
  <c r="F3" i="56"/>
  <c r="Y34" i="87"/>
  <c r="Y31" i="87"/>
  <c r="AC25" i="87"/>
  <c r="Y25" i="87"/>
  <c r="AC22" i="87"/>
  <c r="Y22" i="87"/>
  <c r="M17" i="87"/>
  <c r="H17" i="87"/>
  <c r="J17" i="87" s="1"/>
  <c r="K17" i="87" s="1"/>
  <c r="N17" i="87" s="1"/>
  <c r="G17" i="87"/>
  <c r="F17" i="87"/>
  <c r="M14" i="87"/>
  <c r="J14" i="87"/>
  <c r="K14" i="87" s="1"/>
  <c r="N14" i="87" s="1"/>
  <c r="H14" i="87"/>
  <c r="G14" i="87"/>
  <c r="F14" i="87"/>
  <c r="M9" i="87"/>
  <c r="H9" i="87"/>
  <c r="F9" i="87"/>
  <c r="G9" i="87" s="1"/>
  <c r="J9" i="87" s="1"/>
  <c r="K9" i="87" s="1"/>
  <c r="N9" i="87" s="1"/>
  <c r="M6" i="87"/>
  <c r="H6" i="87"/>
  <c r="J6" i="87" s="1"/>
  <c r="K6" i="87" s="1"/>
  <c r="N6" i="87" s="1"/>
  <c r="G6" i="87"/>
  <c r="F6" i="87"/>
  <c r="M3" i="87"/>
  <c r="H3" i="87"/>
  <c r="G3" i="87"/>
  <c r="F3" i="87"/>
  <c r="Y34" i="86"/>
  <c r="Y31" i="86"/>
  <c r="AD25" i="86"/>
  <c r="Y25" i="86"/>
  <c r="AD22" i="86"/>
  <c r="Y22" i="86"/>
  <c r="M17" i="86"/>
  <c r="H17" i="86"/>
  <c r="F17" i="86"/>
  <c r="G17" i="86" s="1"/>
  <c r="J17" i="86" s="1"/>
  <c r="K17" i="86" s="1"/>
  <c r="N17" i="86" s="1"/>
  <c r="M14" i="86"/>
  <c r="H14" i="86"/>
  <c r="J14" i="86" s="1"/>
  <c r="K14" i="86" s="1"/>
  <c r="N14" i="86" s="1"/>
  <c r="G14" i="86"/>
  <c r="F14" i="86"/>
  <c r="M9" i="86"/>
  <c r="H9" i="86"/>
  <c r="F9" i="86"/>
  <c r="G9" i="86" s="1"/>
  <c r="M6" i="86"/>
  <c r="H6" i="86"/>
  <c r="G6" i="86"/>
  <c r="F6" i="86"/>
  <c r="M3" i="86"/>
  <c r="H3" i="86"/>
  <c r="G3" i="86"/>
  <c r="F3" i="86"/>
  <c r="AO16" i="24"/>
  <c r="AJ16" i="24"/>
  <c r="AO15" i="24"/>
  <c r="AJ15" i="24"/>
  <c r="AJ14" i="24"/>
  <c r="AI12" i="24"/>
  <c r="AK12" i="24" s="1"/>
  <c r="AM12" i="24" s="1"/>
  <c r="E33" i="41"/>
  <c r="G33" i="41" s="1"/>
  <c r="H33" i="41" s="1"/>
  <c r="J33" i="41" s="1"/>
  <c r="M33" i="41" s="1"/>
  <c r="E32" i="41"/>
  <c r="G32" i="41" s="1"/>
  <c r="H32" i="41" s="1"/>
  <c r="J32" i="41" s="1"/>
  <c r="M32" i="41" s="1"/>
  <c r="E31" i="41"/>
  <c r="G31" i="41" s="1"/>
  <c r="H31" i="41" s="1"/>
  <c r="J31" i="41" s="1"/>
  <c r="M31" i="41" s="1"/>
  <c r="E30" i="41"/>
  <c r="G30" i="41" s="1"/>
  <c r="H30" i="41" s="1"/>
  <c r="J30" i="41" s="1"/>
  <c r="M30" i="41" s="1"/>
  <c r="G29" i="41"/>
  <c r="H29" i="41" s="1"/>
  <c r="J29" i="41" s="1"/>
  <c r="M29" i="41" s="1"/>
  <c r="E29" i="41"/>
  <c r="AD38" i="18"/>
  <c r="AD35" i="18"/>
  <c r="Y34" i="50"/>
  <c r="Y31" i="50"/>
  <c r="AC25" i="50"/>
  <c r="Y25" i="50"/>
  <c r="AC22" i="50"/>
  <c r="Y22" i="50"/>
  <c r="M17" i="50"/>
  <c r="H17" i="50"/>
  <c r="F17" i="50"/>
  <c r="G17" i="50" s="1"/>
  <c r="M14" i="50"/>
  <c r="J14" i="50"/>
  <c r="K14" i="50" s="1"/>
  <c r="H14" i="50"/>
  <c r="G14" i="50"/>
  <c r="F14" i="50"/>
  <c r="M9" i="50"/>
  <c r="H9" i="50"/>
  <c r="F9" i="50"/>
  <c r="G9" i="50" s="1"/>
  <c r="M6" i="50"/>
  <c r="H6" i="50"/>
  <c r="G6" i="50"/>
  <c r="J6" i="50" s="1"/>
  <c r="K6" i="50" s="1"/>
  <c r="N6" i="50" s="1"/>
  <c r="F6" i="50"/>
  <c r="M3" i="50"/>
  <c r="H3" i="50"/>
  <c r="J3" i="50" s="1"/>
  <c r="K3" i="50" s="1"/>
  <c r="G3" i="50"/>
  <c r="F3" i="50"/>
  <c r="Y34" i="85"/>
  <c r="Y31" i="85"/>
  <c r="AC25" i="85"/>
  <c r="Y25" i="85"/>
  <c r="AC22" i="85"/>
  <c r="Y22" i="85"/>
  <c r="M17" i="85"/>
  <c r="H17" i="85"/>
  <c r="F17" i="85"/>
  <c r="G17" i="85" s="1"/>
  <c r="J17" i="85" s="1"/>
  <c r="K17" i="85" s="1"/>
  <c r="N17" i="85" s="1"/>
  <c r="M14" i="85"/>
  <c r="J14" i="85"/>
  <c r="K14" i="85" s="1"/>
  <c r="H14" i="85"/>
  <c r="G14" i="85"/>
  <c r="F14" i="85"/>
  <c r="M9" i="85"/>
  <c r="H9" i="85"/>
  <c r="F9" i="85"/>
  <c r="G9" i="85" s="1"/>
  <c r="M6" i="85"/>
  <c r="J6" i="85"/>
  <c r="K6" i="85" s="1"/>
  <c r="N6" i="85" s="1"/>
  <c r="H6" i="85"/>
  <c r="G6" i="85"/>
  <c r="F6" i="85"/>
  <c r="M3" i="85"/>
  <c r="H3" i="85"/>
  <c r="J3" i="85" s="1"/>
  <c r="K3" i="85" s="1"/>
  <c r="N3" i="85" s="1"/>
  <c r="G3" i="85"/>
  <c r="F3" i="85"/>
  <c r="Y34" i="84"/>
  <c r="Y31" i="84"/>
  <c r="AD25" i="84"/>
  <c r="Y25" i="84"/>
  <c r="AD22" i="84"/>
  <c r="Y22" i="84"/>
  <c r="M17" i="84"/>
  <c r="H17" i="84"/>
  <c r="G17" i="84"/>
  <c r="F17" i="84"/>
  <c r="M14" i="84"/>
  <c r="H14" i="84"/>
  <c r="G14" i="84"/>
  <c r="J14" i="84" s="1"/>
  <c r="K14" i="84" s="1"/>
  <c r="N14" i="84" s="1"/>
  <c r="F14" i="84"/>
  <c r="M9" i="84"/>
  <c r="H9" i="84"/>
  <c r="G9" i="84"/>
  <c r="J9" i="84" s="1"/>
  <c r="K9" i="84" s="1"/>
  <c r="N9" i="84" s="1"/>
  <c r="F9" i="84"/>
  <c r="M6" i="84"/>
  <c r="H6" i="84"/>
  <c r="G6" i="84"/>
  <c r="F6" i="84"/>
  <c r="M3" i="84"/>
  <c r="H3" i="84"/>
  <c r="G3" i="84"/>
  <c r="J3" i="84" s="1"/>
  <c r="K3" i="84" s="1"/>
  <c r="N3" i="84" s="1"/>
  <c r="F3" i="84"/>
  <c r="M6" i="78"/>
  <c r="H6" i="78"/>
  <c r="G6" i="78"/>
  <c r="F6" i="78"/>
  <c r="AB37" i="24"/>
  <c r="AB34" i="24"/>
  <c r="M3" i="24"/>
  <c r="H3" i="24"/>
  <c r="G3" i="24"/>
  <c r="F3" i="24"/>
  <c r="Y34" i="83"/>
  <c r="Y31" i="83"/>
  <c r="AD25" i="83"/>
  <c r="Y25" i="83"/>
  <c r="AD22" i="83"/>
  <c r="Y22" i="83"/>
  <c r="M17" i="83"/>
  <c r="H17" i="83"/>
  <c r="F17" i="83"/>
  <c r="G17" i="83" s="1"/>
  <c r="M14" i="83"/>
  <c r="H14" i="83"/>
  <c r="J14" i="83" s="1"/>
  <c r="K14" i="83" s="1"/>
  <c r="N14" i="83" s="1"/>
  <c r="G14" i="83"/>
  <c r="F14" i="83"/>
  <c r="M9" i="83"/>
  <c r="H9" i="83"/>
  <c r="F9" i="83"/>
  <c r="G9" i="83" s="1"/>
  <c r="M6" i="83"/>
  <c r="H6" i="83"/>
  <c r="G6" i="83"/>
  <c r="F6" i="83"/>
  <c r="M3" i="83"/>
  <c r="H3" i="83"/>
  <c r="J3" i="83" s="1"/>
  <c r="K3" i="83" s="1"/>
  <c r="G3" i="83"/>
  <c r="F3" i="83"/>
  <c r="Y34" i="82"/>
  <c r="Y31" i="82"/>
  <c r="AD25" i="82"/>
  <c r="Y25" i="82"/>
  <c r="AD22" i="82"/>
  <c r="Y22" i="82"/>
  <c r="M17" i="82"/>
  <c r="H17" i="82"/>
  <c r="F17" i="82"/>
  <c r="G17" i="82" s="1"/>
  <c r="M14" i="82"/>
  <c r="H14" i="82"/>
  <c r="J14" i="82" s="1"/>
  <c r="K14" i="82" s="1"/>
  <c r="G14" i="82"/>
  <c r="F14" i="82"/>
  <c r="M9" i="82"/>
  <c r="H9" i="82"/>
  <c r="F9" i="82"/>
  <c r="G9" i="82" s="1"/>
  <c r="M6" i="82"/>
  <c r="H6" i="82"/>
  <c r="G6" i="82"/>
  <c r="F6" i="82"/>
  <c r="M3" i="82"/>
  <c r="H3" i="82"/>
  <c r="J3" i="82" s="1"/>
  <c r="K3" i="82" s="1"/>
  <c r="N3" i="82" s="1"/>
  <c r="G3" i="82"/>
  <c r="F3" i="82"/>
  <c r="AD26" i="62"/>
  <c r="AD25" i="62"/>
  <c r="AD24" i="62"/>
  <c r="AD23" i="62"/>
  <c r="AD22" i="62"/>
  <c r="AD21" i="62"/>
  <c r="D26" i="81"/>
  <c r="U25" i="81"/>
  <c r="G24" i="81"/>
  <c r="U22" i="81"/>
  <c r="U16" i="81"/>
  <c r="U13" i="81"/>
  <c r="M8" i="81"/>
  <c r="H8" i="81"/>
  <c r="G8" i="81"/>
  <c r="F8" i="81"/>
  <c r="L3" i="81"/>
  <c r="G3" i="81"/>
  <c r="E3" i="81"/>
  <c r="F3" i="81" s="1"/>
  <c r="D26" i="40"/>
  <c r="G24" i="40" s="1"/>
  <c r="AA36" i="15"/>
  <c r="AA35" i="15"/>
  <c r="AA34" i="15"/>
  <c r="AA33" i="15"/>
  <c r="AA32" i="15"/>
  <c r="AA31" i="15"/>
  <c r="AA27" i="15"/>
  <c r="AA26" i="15"/>
  <c r="AA25" i="15"/>
  <c r="AA24" i="15"/>
  <c r="AA23" i="15"/>
  <c r="AA22" i="15"/>
  <c r="AF26" i="15"/>
  <c r="AF23" i="15"/>
  <c r="U28" i="80"/>
  <c r="U25" i="80"/>
  <c r="U19" i="80"/>
  <c r="AI17" i="80"/>
  <c r="AD17" i="80"/>
  <c r="AI16" i="80"/>
  <c r="AD16" i="80"/>
  <c r="U16" i="80"/>
  <c r="AD15" i="80"/>
  <c r="AC13" i="80"/>
  <c r="AE13" i="80" s="1"/>
  <c r="M10" i="80"/>
  <c r="H10" i="80"/>
  <c r="F10" i="80"/>
  <c r="G10" i="80" s="1"/>
  <c r="M6" i="80"/>
  <c r="H6" i="80"/>
  <c r="G6" i="80"/>
  <c r="F6" i="80"/>
  <c r="M3" i="80"/>
  <c r="H3" i="80"/>
  <c r="G3" i="80"/>
  <c r="F3" i="80"/>
  <c r="J16" i="33" l="1"/>
  <c r="L16" i="33"/>
  <c r="Q16" i="33" s="1"/>
  <c r="M16" i="33"/>
  <c r="P16" i="33" s="1"/>
  <c r="J15" i="33"/>
  <c r="L15" i="33"/>
  <c r="Q15" i="33" s="1"/>
  <c r="M15" i="33"/>
  <c r="P15" i="33" s="1"/>
  <c r="O7" i="43"/>
  <c r="J7" i="43"/>
  <c r="K7" i="43" s="1"/>
  <c r="N7" i="43" s="1"/>
  <c r="AA7" i="43" s="1"/>
  <c r="I3" i="91"/>
  <c r="J3" i="91" s="1"/>
  <c r="M3" i="91" s="1"/>
  <c r="P3" i="91" s="1"/>
  <c r="S3" i="91" s="1"/>
  <c r="J10" i="34"/>
  <c r="K10" i="34" s="1"/>
  <c r="N10" i="34" s="1"/>
  <c r="S45" i="23"/>
  <c r="Y48" i="23"/>
  <c r="J20" i="57"/>
  <c r="K20" i="57" s="1"/>
  <c r="N20" i="57" s="1"/>
  <c r="AA20" i="57" s="1"/>
  <c r="AF37" i="57"/>
  <c r="AG37" i="57" s="1"/>
  <c r="AH37" i="57" s="1"/>
  <c r="AI37" i="57" s="1"/>
  <c r="O20" i="57" s="1"/>
  <c r="AA24" i="57"/>
  <c r="P24" i="57"/>
  <c r="S24" i="57" s="1"/>
  <c r="T24" i="57" s="1"/>
  <c r="W24" i="57" s="1"/>
  <c r="J36" i="41"/>
  <c r="H36" i="41"/>
  <c r="K36" i="41" s="1"/>
  <c r="J5" i="90"/>
  <c r="K5" i="90" s="1"/>
  <c r="N5" i="90" s="1"/>
  <c r="Z5" i="90" s="1"/>
  <c r="J8" i="90"/>
  <c r="K8" i="90" s="1"/>
  <c r="N8" i="90" s="1"/>
  <c r="O8" i="90" s="1"/>
  <c r="P8" i="90" s="1"/>
  <c r="T8" i="90" s="1"/>
  <c r="U8" i="90" s="1"/>
  <c r="J13" i="90"/>
  <c r="H13" i="90"/>
  <c r="S14" i="89"/>
  <c r="T14" i="89" s="1"/>
  <c r="U14" i="89" s="1"/>
  <c r="Z14" i="89"/>
  <c r="S3" i="89"/>
  <c r="T3" i="89" s="1"/>
  <c r="AD21" i="89"/>
  <c r="Z3" i="89"/>
  <c r="J9" i="89"/>
  <c r="K9" i="89" s="1"/>
  <c r="N9" i="89" s="1"/>
  <c r="J17" i="89"/>
  <c r="K17" i="89" s="1"/>
  <c r="N17" i="89" s="1"/>
  <c r="S6" i="89"/>
  <c r="T6" i="89" s="1"/>
  <c r="Z6" i="89"/>
  <c r="Y21" i="89"/>
  <c r="J15" i="88"/>
  <c r="K15" i="88" s="1"/>
  <c r="N15" i="88" s="1"/>
  <c r="Z15" i="88" s="1"/>
  <c r="J10" i="88"/>
  <c r="K10" i="88" s="1"/>
  <c r="N10" i="88" s="1"/>
  <c r="S10" i="88" s="1"/>
  <c r="T10" i="88" s="1"/>
  <c r="S15" i="88"/>
  <c r="T15" i="88" s="1"/>
  <c r="U15" i="88" s="1"/>
  <c r="S3" i="88"/>
  <c r="T3" i="88" s="1"/>
  <c r="AC22" i="88"/>
  <c r="Z3" i="88"/>
  <c r="S7" i="88"/>
  <c r="T7" i="88" s="1"/>
  <c r="Z7" i="88"/>
  <c r="X22" i="88"/>
  <c r="Z18" i="88"/>
  <c r="S18" i="88"/>
  <c r="T18" i="88" s="1"/>
  <c r="U18" i="88" s="1"/>
  <c r="J3" i="24"/>
  <c r="K3" i="24" s="1"/>
  <c r="S3" i="43"/>
  <c r="U3" i="43" s="1"/>
  <c r="J3" i="43"/>
  <c r="M3" i="43"/>
  <c r="P3" i="43" s="1"/>
  <c r="R3" i="43" s="1"/>
  <c r="V3" i="43" s="1"/>
  <c r="J6" i="82"/>
  <c r="K6" i="82" s="1"/>
  <c r="N6" i="82" s="1"/>
  <c r="Y21" i="82" s="1"/>
  <c r="AF13" i="6"/>
  <c r="Y3" i="6"/>
  <c r="Q3" i="6"/>
  <c r="R3" i="6" s="1"/>
  <c r="U3" i="6" s="1"/>
  <c r="Y6" i="6"/>
  <c r="U15" i="6"/>
  <c r="Q6" i="6"/>
  <c r="R6" i="6" s="1"/>
  <c r="J10" i="6"/>
  <c r="K10" i="6" s="1"/>
  <c r="N10" i="6" s="1"/>
  <c r="AG15" i="6"/>
  <c r="J3" i="56"/>
  <c r="K3" i="56" s="1"/>
  <c r="N3" i="56" s="1"/>
  <c r="J3" i="87"/>
  <c r="K3" i="87" s="1"/>
  <c r="N3" i="87" s="1"/>
  <c r="S3" i="87" s="1"/>
  <c r="T3" i="87" s="1"/>
  <c r="S14" i="87"/>
  <c r="T14" i="87" s="1"/>
  <c r="U14" i="87" s="1"/>
  <c r="Z14" i="87"/>
  <c r="S9" i="87"/>
  <c r="T9" i="87" s="1"/>
  <c r="Y30" i="87"/>
  <c r="Z9" i="87"/>
  <c r="S6" i="87"/>
  <c r="T6" i="87" s="1"/>
  <c r="Y21" i="87"/>
  <c r="Z6" i="87"/>
  <c r="Z17" i="87"/>
  <c r="S17" i="87"/>
  <c r="T17" i="87" s="1"/>
  <c r="U17" i="87" s="1"/>
  <c r="N3" i="83"/>
  <c r="Z3" i="83" s="1"/>
  <c r="J6" i="86"/>
  <c r="K6" i="86" s="1"/>
  <c r="N6" i="86" s="1"/>
  <c r="S6" i="86" s="1"/>
  <c r="T6" i="86" s="1"/>
  <c r="J3" i="86"/>
  <c r="K3" i="86" s="1"/>
  <c r="N3" i="86" s="1"/>
  <c r="S3" i="86" s="1"/>
  <c r="T3" i="86" s="1"/>
  <c r="Z17" i="86"/>
  <c r="S17" i="86"/>
  <c r="T17" i="86" s="1"/>
  <c r="U17" i="86" s="1"/>
  <c r="J9" i="86"/>
  <c r="K9" i="86" s="1"/>
  <c r="N9" i="86" s="1"/>
  <c r="Z14" i="86"/>
  <c r="S14" i="86"/>
  <c r="T14" i="86" s="1"/>
  <c r="U14" i="86" s="1"/>
  <c r="N14" i="82"/>
  <c r="N3" i="24"/>
  <c r="Y3" i="24" s="1"/>
  <c r="AN12" i="24"/>
  <c r="AO12" i="24" s="1"/>
  <c r="AO14" i="24"/>
  <c r="J6" i="78"/>
  <c r="K6" i="78" s="1"/>
  <c r="N6" i="78" s="1"/>
  <c r="Q6" i="78" s="1"/>
  <c r="R6" i="78" s="1"/>
  <c r="U6" i="78" s="1"/>
  <c r="V6" i="78" s="1"/>
  <c r="W6" i="78" s="1"/>
  <c r="N14" i="50"/>
  <c r="N3" i="50"/>
  <c r="S3" i="50"/>
  <c r="T3" i="50" s="1"/>
  <c r="AC21" i="50"/>
  <c r="Z3" i="50"/>
  <c r="S14" i="50"/>
  <c r="T14" i="50" s="1"/>
  <c r="U14" i="50" s="1"/>
  <c r="Z14" i="50"/>
  <c r="J17" i="50"/>
  <c r="K17" i="50" s="1"/>
  <c r="N17" i="50" s="1"/>
  <c r="S6" i="50"/>
  <c r="T6" i="50" s="1"/>
  <c r="Y21" i="50"/>
  <c r="Z6" i="50"/>
  <c r="J9" i="50"/>
  <c r="K9" i="50" s="1"/>
  <c r="N9" i="50" s="1"/>
  <c r="AC21" i="85"/>
  <c r="S3" i="85"/>
  <c r="T3" i="85" s="1"/>
  <c r="AC23" i="85" s="1"/>
  <c r="N14" i="85"/>
  <c r="J9" i="85"/>
  <c r="K9" i="85" s="1"/>
  <c r="N9" i="85" s="1"/>
  <c r="S14" i="85"/>
  <c r="T14" i="85" s="1"/>
  <c r="U14" i="85" s="1"/>
  <c r="Z14" i="85"/>
  <c r="S9" i="85"/>
  <c r="T9" i="85" s="1"/>
  <c r="Y30" i="85"/>
  <c r="Z9" i="85"/>
  <c r="S6" i="85"/>
  <c r="T6" i="85" s="1"/>
  <c r="Y21" i="85"/>
  <c r="Z6" i="85"/>
  <c r="Z17" i="85"/>
  <c r="S17" i="85"/>
  <c r="T17" i="85" s="1"/>
  <c r="U17" i="85" s="1"/>
  <c r="Z3" i="85"/>
  <c r="U3" i="85"/>
  <c r="J17" i="84"/>
  <c r="K17" i="84" s="1"/>
  <c r="N17" i="84" s="1"/>
  <c r="Z17" i="84" s="1"/>
  <c r="J6" i="84"/>
  <c r="K6" i="84" s="1"/>
  <c r="N6" i="84" s="1"/>
  <c r="Y21" i="84" s="1"/>
  <c r="S14" i="84"/>
  <c r="T14" i="84" s="1"/>
  <c r="U14" i="84" s="1"/>
  <c r="Z14" i="84"/>
  <c r="S17" i="84"/>
  <c r="T17" i="84" s="1"/>
  <c r="U17" i="84" s="1"/>
  <c r="S9" i="84"/>
  <c r="T9" i="84" s="1"/>
  <c r="Y30" i="84"/>
  <c r="Z9" i="84"/>
  <c r="S3" i="84"/>
  <c r="T3" i="84" s="1"/>
  <c r="AD21" i="84"/>
  <c r="Z3" i="84"/>
  <c r="J6" i="83"/>
  <c r="K6" i="83" s="1"/>
  <c r="N6" i="83" s="1"/>
  <c r="S6" i="83" s="1"/>
  <c r="T6" i="83" s="1"/>
  <c r="Z14" i="83"/>
  <c r="S14" i="83"/>
  <c r="T14" i="83" s="1"/>
  <c r="U14" i="83" s="1"/>
  <c r="J17" i="83"/>
  <c r="K17" i="83" s="1"/>
  <c r="N17" i="83" s="1"/>
  <c r="J9" i="83"/>
  <c r="K9" i="83" s="1"/>
  <c r="N9" i="83" s="1"/>
  <c r="Z14" i="82"/>
  <c r="S14" i="82"/>
  <c r="T14" i="82" s="1"/>
  <c r="U14" i="82" s="1"/>
  <c r="J17" i="82"/>
  <c r="K17" i="82" s="1"/>
  <c r="N17" i="82" s="1"/>
  <c r="Z3" i="82"/>
  <c r="S3" i="82"/>
  <c r="T3" i="82" s="1"/>
  <c r="AD21" i="82"/>
  <c r="J9" i="82"/>
  <c r="K9" i="82" s="1"/>
  <c r="N9" i="82" s="1"/>
  <c r="J8" i="81"/>
  <c r="K8" i="81" s="1"/>
  <c r="N8" i="81" s="1"/>
  <c r="P8" i="81" s="1"/>
  <c r="AA8" i="81" s="1"/>
  <c r="I3" i="81"/>
  <c r="J3" i="81" s="1"/>
  <c r="M3" i="81" s="1"/>
  <c r="D27" i="81"/>
  <c r="D29" i="81" s="1"/>
  <c r="D27" i="40"/>
  <c r="D29" i="40" s="1"/>
  <c r="J3" i="80"/>
  <c r="K3" i="80" s="1"/>
  <c r="N3" i="80" s="1"/>
  <c r="Q3" i="80" s="1"/>
  <c r="R3" i="80" s="1"/>
  <c r="U3" i="80" s="1"/>
  <c r="J6" i="80"/>
  <c r="K6" i="80" s="1"/>
  <c r="N6" i="80" s="1"/>
  <c r="AA6" i="80" s="1"/>
  <c r="AG13" i="80"/>
  <c r="AI15" i="80"/>
  <c r="J10" i="80"/>
  <c r="K10" i="80" s="1"/>
  <c r="N10" i="80" s="1"/>
  <c r="R16" i="33" l="1"/>
  <c r="U16" i="33" s="1"/>
  <c r="AF16" i="33" s="1"/>
  <c r="R15" i="33"/>
  <c r="U15" i="33" s="1"/>
  <c r="P7" i="43"/>
  <c r="W3" i="91"/>
  <c r="T3" i="91"/>
  <c r="U3" i="91" s="1"/>
  <c r="Y10" i="34"/>
  <c r="R10" i="34"/>
  <c r="U10" i="34" s="1"/>
  <c r="Q10" i="34"/>
  <c r="V45" i="23"/>
  <c r="T45" i="23"/>
  <c r="W45" i="23" s="1"/>
  <c r="P20" i="57"/>
  <c r="S20" i="57" s="1"/>
  <c r="T20" i="57" s="1"/>
  <c r="W20" i="57" s="1"/>
  <c r="X20" i="57" s="1"/>
  <c r="Y20" i="57" s="1"/>
  <c r="X24" i="57"/>
  <c r="Y24" i="57" s="1"/>
  <c r="I42" i="41"/>
  <c r="D42" i="41"/>
  <c r="I36" i="41"/>
  <c r="Z8" i="90"/>
  <c r="I19" i="90"/>
  <c r="D19" i="90"/>
  <c r="O5" i="90"/>
  <c r="P5" i="90" s="1"/>
  <c r="T5" i="90" s="1"/>
  <c r="U5" i="90" s="1"/>
  <c r="V5" i="90" s="1"/>
  <c r="W5" i="90" s="1"/>
  <c r="V8" i="90"/>
  <c r="W8" i="90" s="1"/>
  <c r="I13" i="90"/>
  <c r="K13" i="90"/>
  <c r="AD23" i="89"/>
  <c r="U3" i="89"/>
  <c r="U6" i="89"/>
  <c r="Y23" i="89"/>
  <c r="W14" i="89"/>
  <c r="V14" i="89"/>
  <c r="Z17" i="89"/>
  <c r="S17" i="89"/>
  <c r="T17" i="89" s="1"/>
  <c r="U17" i="89" s="1"/>
  <c r="Y30" i="89"/>
  <c r="Z9" i="89"/>
  <c r="S9" i="89"/>
  <c r="T9" i="89" s="1"/>
  <c r="X31" i="88"/>
  <c r="Z10" i="88"/>
  <c r="X33" i="88"/>
  <c r="U10" i="88"/>
  <c r="V18" i="88"/>
  <c r="W18" i="88" s="1"/>
  <c r="U7" i="88"/>
  <c r="X24" i="88"/>
  <c r="AC24" i="88"/>
  <c r="U3" i="88"/>
  <c r="V15" i="88"/>
  <c r="W15" i="88" s="1"/>
  <c r="AA3" i="43"/>
  <c r="Z3" i="43" s="1"/>
  <c r="T16" i="43" s="1"/>
  <c r="AG18" i="6"/>
  <c r="AB18" i="6"/>
  <c r="AG13" i="6"/>
  <c r="Y10" i="6"/>
  <c r="U24" i="6"/>
  <c r="Q10" i="6"/>
  <c r="R10" i="6" s="1"/>
  <c r="U17" i="6"/>
  <c r="U6" i="6"/>
  <c r="W3" i="6"/>
  <c r="V3" i="6"/>
  <c r="S3" i="56"/>
  <c r="T3" i="56" s="1"/>
  <c r="U3" i="56" s="1"/>
  <c r="V3" i="56" s="1"/>
  <c r="AC18" i="56"/>
  <c r="Z3" i="56"/>
  <c r="Z3" i="87"/>
  <c r="AC21" i="87"/>
  <c r="V17" i="87"/>
  <c r="W17" i="87" s="1"/>
  <c r="V14" i="87"/>
  <c r="W14" i="87" s="1"/>
  <c r="U6" i="87"/>
  <c r="Y23" i="87"/>
  <c r="Y32" i="87"/>
  <c r="U9" i="87"/>
  <c r="AC23" i="87"/>
  <c r="U3" i="87"/>
  <c r="S3" i="83"/>
  <c r="T3" i="83" s="1"/>
  <c r="U3" i="83" s="1"/>
  <c r="AD21" i="83"/>
  <c r="Z6" i="86"/>
  <c r="Y21" i="86"/>
  <c r="Z3" i="86"/>
  <c r="AD21" i="86"/>
  <c r="S9" i="86"/>
  <c r="T9" i="86" s="1"/>
  <c r="Y30" i="86"/>
  <c r="Z9" i="86"/>
  <c r="V14" i="86"/>
  <c r="W14" i="86" s="1"/>
  <c r="Y23" i="86"/>
  <c r="U6" i="86"/>
  <c r="V17" i="86"/>
  <c r="W17" i="86" s="1"/>
  <c r="U3" i="86"/>
  <c r="AD23" i="86"/>
  <c r="S6" i="82"/>
  <c r="T6" i="82" s="1"/>
  <c r="Y23" i="82" s="1"/>
  <c r="Z6" i="82"/>
  <c r="AB33" i="24"/>
  <c r="R3" i="24"/>
  <c r="Q3" i="24" s="1"/>
  <c r="AO18" i="24"/>
  <c r="AJ18" i="24"/>
  <c r="AO17" i="24"/>
  <c r="AJ17" i="24"/>
  <c r="AC23" i="50"/>
  <c r="U3" i="50"/>
  <c r="Z17" i="50"/>
  <c r="S17" i="50"/>
  <c r="T17" i="50" s="1"/>
  <c r="U17" i="50" s="1"/>
  <c r="V14" i="50"/>
  <c r="W14" i="50" s="1"/>
  <c r="S9" i="50"/>
  <c r="T9" i="50" s="1"/>
  <c r="Z9" i="50"/>
  <c r="Y30" i="50"/>
  <c r="U6" i="50"/>
  <c r="Y23" i="50"/>
  <c r="V17" i="85"/>
  <c r="W17" i="85" s="1"/>
  <c r="V14" i="85"/>
  <c r="W14" i="85" s="1"/>
  <c r="V3" i="85"/>
  <c r="AC24" i="85" s="1"/>
  <c r="W3" i="85"/>
  <c r="AC26" i="85" s="1"/>
  <c r="U6" i="85"/>
  <c r="Y23" i="85"/>
  <c r="Y32" i="85"/>
  <c r="U9" i="85"/>
  <c r="Z6" i="84"/>
  <c r="S6" i="84"/>
  <c r="T6" i="84" s="1"/>
  <c r="Y23" i="84" s="1"/>
  <c r="Y32" i="84"/>
  <c r="U9" i="84"/>
  <c r="AD23" i="84"/>
  <c r="U3" i="84"/>
  <c r="V14" i="84"/>
  <c r="W14" i="84" s="1"/>
  <c r="V17" i="84"/>
  <c r="W17" i="84" s="1"/>
  <c r="Y21" i="83"/>
  <c r="Z6" i="83"/>
  <c r="Z9" i="83"/>
  <c r="S9" i="83"/>
  <c r="T9" i="83" s="1"/>
  <c r="Y30" i="83"/>
  <c r="V14" i="83"/>
  <c r="W14" i="83" s="1"/>
  <c r="U6" i="83"/>
  <c r="Y23" i="83"/>
  <c r="S17" i="83"/>
  <c r="T17" i="83" s="1"/>
  <c r="U17" i="83" s="1"/>
  <c r="Z17" i="83"/>
  <c r="AD23" i="82"/>
  <c r="U3" i="82"/>
  <c r="S17" i="82"/>
  <c r="T17" i="82" s="1"/>
  <c r="U17" i="82" s="1"/>
  <c r="Z17" i="82"/>
  <c r="Z9" i="82"/>
  <c r="S9" i="82"/>
  <c r="T9" i="82" s="1"/>
  <c r="Y30" i="82"/>
  <c r="V14" i="82"/>
  <c r="W14" i="82" s="1"/>
  <c r="T8" i="81"/>
  <c r="S8" i="81" s="1"/>
  <c r="U14" i="81" s="1"/>
  <c r="U12" i="81"/>
  <c r="P3" i="81"/>
  <c r="AA3" i="81"/>
  <c r="Q6" i="80"/>
  <c r="R6" i="80" s="1"/>
  <c r="U17" i="80" s="1"/>
  <c r="AA3" i="80"/>
  <c r="U15" i="80"/>
  <c r="AA10" i="80"/>
  <c r="Q10" i="80"/>
  <c r="R10" i="80" s="1"/>
  <c r="U24" i="80"/>
  <c r="AH13" i="80"/>
  <c r="V3" i="80"/>
  <c r="W3" i="80" s="1"/>
  <c r="Y16" i="33" l="1"/>
  <c r="AB16" i="33" s="1"/>
  <c r="AC16" i="33" s="1"/>
  <c r="AD16" i="33" s="1"/>
  <c r="AF15" i="33"/>
  <c r="Y15" i="33"/>
  <c r="AB15" i="33" s="1"/>
  <c r="S7" i="43"/>
  <c r="T26" i="43"/>
  <c r="V10" i="34"/>
  <c r="W10" i="34" s="1"/>
  <c r="Y51" i="23"/>
  <c r="U51" i="23"/>
  <c r="U45" i="23"/>
  <c r="I43" i="41"/>
  <c r="D43" i="41"/>
  <c r="L36" i="41"/>
  <c r="L13" i="90"/>
  <c r="I20" i="90"/>
  <c r="D20" i="90"/>
  <c r="Y32" i="89"/>
  <c r="U9" i="89"/>
  <c r="V3" i="89"/>
  <c r="AD24" i="89" s="1"/>
  <c r="W3" i="89"/>
  <c r="AD26" i="89" s="1"/>
  <c r="W6" i="89"/>
  <c r="Y26" i="89" s="1"/>
  <c r="V6" i="89"/>
  <c r="Y24" i="89" s="1"/>
  <c r="V17" i="89"/>
  <c r="W17" i="89" s="1"/>
  <c r="V3" i="88"/>
  <c r="AC25" i="88" s="1"/>
  <c r="W3" i="88"/>
  <c r="AC27" i="88" s="1"/>
  <c r="V7" i="88"/>
  <c r="X25" i="88" s="1"/>
  <c r="V10" i="88"/>
  <c r="X34" i="88" s="1"/>
  <c r="AC3" i="43"/>
  <c r="AK3" i="43"/>
  <c r="AG19" i="6"/>
  <c r="AB19" i="6"/>
  <c r="U26" i="6"/>
  <c r="U10" i="6"/>
  <c r="V6" i="6"/>
  <c r="U18" i="6" s="1"/>
  <c r="AC20" i="56"/>
  <c r="W3" i="56"/>
  <c r="AC21" i="56"/>
  <c r="V3" i="87"/>
  <c r="AC24" i="87" s="1"/>
  <c r="V9" i="87"/>
  <c r="Y33" i="87" s="1"/>
  <c r="V6" i="87"/>
  <c r="Y24" i="87" s="1"/>
  <c r="AD23" i="83"/>
  <c r="V3" i="86"/>
  <c r="AD24" i="86" s="1"/>
  <c r="V6" i="86"/>
  <c r="Y24" i="86" s="1"/>
  <c r="Y32" i="86"/>
  <c r="U9" i="86"/>
  <c r="U6" i="82"/>
  <c r="V6" i="82" s="1"/>
  <c r="Y24" i="82" s="1"/>
  <c r="AB35" i="24"/>
  <c r="U3" i="24"/>
  <c r="V3" i="24" s="1"/>
  <c r="AB36" i="24" s="1"/>
  <c r="V6" i="50"/>
  <c r="Y24" i="50" s="1"/>
  <c r="Y32" i="50"/>
  <c r="U9" i="50"/>
  <c r="V17" i="50"/>
  <c r="W17" i="50" s="1"/>
  <c r="V3" i="50"/>
  <c r="AC24" i="50" s="1"/>
  <c r="V6" i="85"/>
  <c r="Y24" i="85" s="1"/>
  <c r="V9" i="85"/>
  <c r="Y33" i="85" s="1"/>
  <c r="U6" i="84"/>
  <c r="V6" i="84" s="1"/>
  <c r="Y24" i="84" s="1"/>
  <c r="V9" i="84"/>
  <c r="Y33" i="84" s="1"/>
  <c r="V3" i="84"/>
  <c r="AD24" i="84" s="1"/>
  <c r="W3" i="84"/>
  <c r="AD26" i="84" s="1"/>
  <c r="V17" i="83"/>
  <c r="W17" i="83" s="1"/>
  <c r="V6" i="83"/>
  <c r="Y24" i="83" s="1"/>
  <c r="Y32" i="83"/>
  <c r="U9" i="83"/>
  <c r="V3" i="83"/>
  <c r="AD24" i="83" s="1"/>
  <c r="V17" i="82"/>
  <c r="W17" i="82" s="1"/>
  <c r="U9" i="82"/>
  <c r="Y32" i="82"/>
  <c r="V3" i="82"/>
  <c r="AD24" i="82" s="1"/>
  <c r="W8" i="81"/>
  <c r="X8" i="81" s="1"/>
  <c r="U15" i="81" s="1"/>
  <c r="T3" i="81"/>
  <c r="S3" i="81" s="1"/>
  <c r="U21" i="81"/>
  <c r="U6" i="80"/>
  <c r="V6" i="80" s="1"/>
  <c r="U18" i="80" s="1"/>
  <c r="AI18" i="80"/>
  <c r="AD18" i="80"/>
  <c r="U26" i="80"/>
  <c r="U10" i="80"/>
  <c r="AI13" i="80"/>
  <c r="AC15" i="33" l="1"/>
  <c r="AD15" i="33" s="1"/>
  <c r="T28" i="43"/>
  <c r="W7" i="43"/>
  <c r="AG3" i="43"/>
  <c r="T18" i="43"/>
  <c r="Y52" i="23"/>
  <c r="U52" i="23"/>
  <c r="X45" i="23"/>
  <c r="V9" i="89"/>
  <c r="Y33" i="89" s="1"/>
  <c r="W10" i="88"/>
  <c r="X36" i="88" s="1"/>
  <c r="W7" i="88"/>
  <c r="X27" i="88" s="1"/>
  <c r="W3" i="24"/>
  <c r="AB38" i="24" s="1"/>
  <c r="W6" i="6"/>
  <c r="U20" i="6" s="1"/>
  <c r="V10" i="6"/>
  <c r="U27" i="6" s="1"/>
  <c r="AC23" i="56"/>
  <c r="W6" i="87"/>
  <c r="Y26" i="87" s="1"/>
  <c r="W3" i="87"/>
  <c r="AC26" i="87" s="1"/>
  <c r="W9" i="87"/>
  <c r="Y35" i="87" s="1"/>
  <c r="W6" i="86"/>
  <c r="Y26" i="86" s="1"/>
  <c r="W3" i="86"/>
  <c r="AD26" i="86" s="1"/>
  <c r="V9" i="86"/>
  <c r="Y33" i="86" s="1"/>
  <c r="W6" i="82"/>
  <c r="Y26" i="82" s="1"/>
  <c r="W3" i="50"/>
  <c r="AC26" i="50" s="1"/>
  <c r="W6" i="50"/>
  <c r="Y26" i="50" s="1"/>
  <c r="V9" i="50"/>
  <c r="Y33" i="50" s="1"/>
  <c r="W6" i="85"/>
  <c r="Y26" i="85" s="1"/>
  <c r="W9" i="85"/>
  <c r="Y35" i="85" s="1"/>
  <c r="W6" i="84"/>
  <c r="Y26" i="84" s="1"/>
  <c r="W9" i="84"/>
  <c r="Y35" i="84" s="1"/>
  <c r="W3" i="83"/>
  <c r="AD26" i="83" s="1"/>
  <c r="W6" i="83"/>
  <c r="Y26" i="83" s="1"/>
  <c r="V9" i="83"/>
  <c r="Y33" i="83" s="1"/>
  <c r="W3" i="82"/>
  <c r="AD26" i="82" s="1"/>
  <c r="V9" i="82"/>
  <c r="Y33" i="82" s="1"/>
  <c r="Y8" i="81"/>
  <c r="U17" i="81" s="1"/>
  <c r="W3" i="81"/>
  <c r="U23" i="81"/>
  <c r="W6" i="80"/>
  <c r="U20" i="80" s="1"/>
  <c r="AI19" i="80"/>
  <c r="AD19" i="80"/>
  <c r="V10" i="80"/>
  <c r="U27" i="80" s="1"/>
  <c r="AH3" i="43" l="1"/>
  <c r="AI3" i="43" s="1"/>
  <c r="T22" i="43" s="1"/>
  <c r="R7" i="43"/>
  <c r="Y7" i="43" s="1"/>
  <c r="T31" i="43" s="1"/>
  <c r="X7" i="43"/>
  <c r="T29" i="43" s="1"/>
  <c r="W9" i="89"/>
  <c r="Y35" i="89" s="1"/>
  <c r="W10" i="6"/>
  <c r="U29" i="6" s="1"/>
  <c r="W9" i="83"/>
  <c r="Y35" i="83" s="1"/>
  <c r="W9" i="86"/>
  <c r="Y35" i="86" s="1"/>
  <c r="W9" i="50"/>
  <c r="Y35" i="50" s="1"/>
  <c r="W9" i="82"/>
  <c r="Y35" i="82" s="1"/>
  <c r="X3" i="81"/>
  <c r="U24" i="81" s="1"/>
  <c r="W10" i="80"/>
  <c r="U29" i="80" s="1"/>
  <c r="X35" i="79"/>
  <c r="X32" i="79"/>
  <c r="AC26" i="79"/>
  <c r="X26" i="79"/>
  <c r="AC23" i="79"/>
  <c r="X23" i="79"/>
  <c r="M18" i="79"/>
  <c r="H18" i="79"/>
  <c r="F18" i="79"/>
  <c r="G18" i="79" s="1"/>
  <c r="J18" i="79" s="1"/>
  <c r="K18" i="79" s="1"/>
  <c r="N18" i="79" s="1"/>
  <c r="M15" i="79"/>
  <c r="H15" i="79"/>
  <c r="J15" i="79" s="1"/>
  <c r="K15" i="79" s="1"/>
  <c r="N15" i="79" s="1"/>
  <c r="G15" i="79"/>
  <c r="F15" i="79"/>
  <c r="M10" i="79"/>
  <c r="H10" i="79"/>
  <c r="J10" i="79" s="1"/>
  <c r="K10" i="79" s="1"/>
  <c r="N10" i="79" s="1"/>
  <c r="F10" i="79"/>
  <c r="G10" i="79" s="1"/>
  <c r="M7" i="79"/>
  <c r="H7" i="79"/>
  <c r="J7" i="79" s="1"/>
  <c r="K7" i="79" s="1"/>
  <c r="N7" i="79" s="1"/>
  <c r="G7" i="79"/>
  <c r="F7" i="79"/>
  <c r="M3" i="79"/>
  <c r="H3" i="79"/>
  <c r="G3" i="79"/>
  <c r="F3" i="79"/>
  <c r="T19" i="43" l="1"/>
  <c r="Y3" i="81"/>
  <c r="U26" i="81" s="1"/>
  <c r="J3" i="79"/>
  <c r="K3" i="79" s="1"/>
  <c r="N3" i="79" s="1"/>
  <c r="AC22" i="79" s="1"/>
  <c r="Z15" i="79"/>
  <c r="S15" i="79"/>
  <c r="T15" i="79" s="1"/>
  <c r="U15" i="79" s="1"/>
  <c r="X31" i="79"/>
  <c r="Z10" i="79"/>
  <c r="S10" i="79"/>
  <c r="T10" i="79" s="1"/>
  <c r="S18" i="79"/>
  <c r="T18" i="79" s="1"/>
  <c r="U18" i="79" s="1"/>
  <c r="Z18" i="79"/>
  <c r="X22" i="79"/>
  <c r="S7" i="79"/>
  <c r="T7" i="79" s="1"/>
  <c r="Z7" i="79"/>
  <c r="U25" i="40"/>
  <c r="U22" i="40"/>
  <c r="U16" i="40"/>
  <c r="U13" i="40"/>
  <c r="M8" i="40"/>
  <c r="H8" i="40"/>
  <c r="G8" i="40"/>
  <c r="F8" i="40"/>
  <c r="G21" i="78"/>
  <c r="V19" i="78"/>
  <c r="D17" i="78" s="1"/>
  <c r="G17" i="78" s="1"/>
  <c r="M3" i="78"/>
  <c r="H3" i="78"/>
  <c r="G3" i="78"/>
  <c r="F3" i="78"/>
  <c r="Y34" i="77"/>
  <c r="Y31" i="77"/>
  <c r="AD25" i="77"/>
  <c r="Y25" i="77"/>
  <c r="AD22" i="77"/>
  <c r="Y22" i="77"/>
  <c r="M17" i="77"/>
  <c r="H17" i="77"/>
  <c r="F17" i="77"/>
  <c r="G17" i="77" s="1"/>
  <c r="M14" i="77"/>
  <c r="H14" i="77"/>
  <c r="G14" i="77"/>
  <c r="J14" i="77" s="1"/>
  <c r="K14" i="77" s="1"/>
  <c r="F14" i="77"/>
  <c r="M9" i="77"/>
  <c r="H9" i="77"/>
  <c r="F9" i="77"/>
  <c r="G9" i="77" s="1"/>
  <c r="M6" i="77"/>
  <c r="H6" i="77"/>
  <c r="G6" i="77"/>
  <c r="F6" i="77"/>
  <c r="M3" i="77"/>
  <c r="H3" i="77"/>
  <c r="G3" i="77"/>
  <c r="F3" i="77"/>
  <c r="S3" i="79" l="1"/>
  <c r="T3" i="79" s="1"/>
  <c r="AC24" i="79" s="1"/>
  <c r="Z3" i="79"/>
  <c r="V18" i="79"/>
  <c r="W18" i="79" s="1"/>
  <c r="X33" i="79"/>
  <c r="U10" i="79"/>
  <c r="V15" i="79"/>
  <c r="W15" i="79" s="1"/>
  <c r="X24" i="79"/>
  <c r="U7" i="79"/>
  <c r="J8" i="40"/>
  <c r="K8" i="40" s="1"/>
  <c r="J3" i="78"/>
  <c r="K3" i="78" s="1"/>
  <c r="N3" i="78" s="1"/>
  <c r="Q3" i="78" s="1"/>
  <c r="R3" i="78" s="1"/>
  <c r="U3" i="78" s="1"/>
  <c r="V3" i="78" s="1"/>
  <c r="W3" i="78" s="1"/>
  <c r="H17" i="78"/>
  <c r="I17" i="78" s="1"/>
  <c r="G22" i="78" s="1"/>
  <c r="N14" i="77"/>
  <c r="Z14" i="77" s="1"/>
  <c r="J3" i="77"/>
  <c r="K3" i="77" s="1"/>
  <c r="N3" i="77" s="1"/>
  <c r="AD21" i="77" s="1"/>
  <c r="J6" i="77"/>
  <c r="K6" i="77" s="1"/>
  <c r="N6" i="77" s="1"/>
  <c r="Z6" i="77" s="1"/>
  <c r="J17" i="77"/>
  <c r="K17" i="77" s="1"/>
  <c r="N17" i="77" s="1"/>
  <c r="Z17" i="77" s="1"/>
  <c r="S6" i="77"/>
  <c r="T6" i="77" s="1"/>
  <c r="Y21" i="77"/>
  <c r="J9" i="77"/>
  <c r="K9" i="77" s="1"/>
  <c r="N9" i="77" s="1"/>
  <c r="AG17" i="4"/>
  <c r="AG16" i="4"/>
  <c r="Y34" i="76"/>
  <c r="Y31" i="76"/>
  <c r="AD25" i="76"/>
  <c r="Y25" i="76"/>
  <c r="AD22" i="76"/>
  <c r="Y22" i="76"/>
  <c r="M17" i="76"/>
  <c r="H17" i="76"/>
  <c r="F17" i="76"/>
  <c r="G17" i="76" s="1"/>
  <c r="M14" i="76"/>
  <c r="H14" i="76"/>
  <c r="G14" i="76"/>
  <c r="F14" i="76"/>
  <c r="M9" i="76"/>
  <c r="H9" i="76"/>
  <c r="F9" i="76"/>
  <c r="G9" i="76" s="1"/>
  <c r="M6" i="76"/>
  <c r="H6" i="76"/>
  <c r="G6" i="76"/>
  <c r="F6" i="76"/>
  <c r="M3" i="76"/>
  <c r="H3" i="76"/>
  <c r="J3" i="76" s="1"/>
  <c r="K3" i="76" s="1"/>
  <c r="N3" i="76" s="1"/>
  <c r="G3" i="76"/>
  <c r="F3" i="76"/>
  <c r="AB8" i="75"/>
  <c r="Y8" i="75"/>
  <c r="V8" i="75"/>
  <c r="T8" i="75"/>
  <c r="N8" i="75"/>
  <c r="M8" i="75"/>
  <c r="P8" i="75" s="1"/>
  <c r="K8" i="75"/>
  <c r="I8" i="75"/>
  <c r="F8" i="75"/>
  <c r="E8" i="75"/>
  <c r="J8" i="75" s="1"/>
  <c r="T4" i="75"/>
  <c r="M4" i="75"/>
  <c r="P4" i="75" s="1"/>
  <c r="R4" i="75" s="1"/>
  <c r="U4" i="75" s="1"/>
  <c r="L4" i="75"/>
  <c r="K4" i="75"/>
  <c r="J4" i="75"/>
  <c r="I4" i="75"/>
  <c r="F4" i="75"/>
  <c r="N4" i="75" s="1"/>
  <c r="Q4" i="75" s="1"/>
  <c r="E4" i="75"/>
  <c r="T3" i="75"/>
  <c r="K3" i="75"/>
  <c r="I3" i="75"/>
  <c r="F3" i="75"/>
  <c r="N3" i="75" s="1"/>
  <c r="E3" i="75"/>
  <c r="L3" i="75" s="1"/>
  <c r="U3" i="79" l="1"/>
  <c r="V3" i="79" s="1"/>
  <c r="AC25" i="79" s="1"/>
  <c r="V7" i="79"/>
  <c r="X25" i="79" s="1"/>
  <c r="V10" i="79"/>
  <c r="X34" i="79" s="1"/>
  <c r="N8" i="40"/>
  <c r="P8" i="40" s="1"/>
  <c r="Z3" i="77"/>
  <c r="S3" i="77"/>
  <c r="T3" i="77" s="1"/>
  <c r="AD23" i="77" s="1"/>
  <c r="S14" i="77"/>
  <c r="T14" i="77" s="1"/>
  <c r="U14" i="77" s="1"/>
  <c r="V14" i="77" s="1"/>
  <c r="W14" i="77" s="1"/>
  <c r="S17" i="77"/>
  <c r="T17" i="77" s="1"/>
  <c r="U17" i="77" s="1"/>
  <c r="V17" i="77" s="1"/>
  <c r="W17" i="77" s="1"/>
  <c r="S9" i="77"/>
  <c r="T9" i="77" s="1"/>
  <c r="Z9" i="77"/>
  <c r="Y30" i="77"/>
  <c r="U6" i="77"/>
  <c r="Y23" i="77"/>
  <c r="J14" i="76"/>
  <c r="K14" i="76" s="1"/>
  <c r="N14" i="76" s="1"/>
  <c r="Z14" i="76" s="1"/>
  <c r="J9" i="76"/>
  <c r="K9" i="76" s="1"/>
  <c r="N9" i="76" s="1"/>
  <c r="S9" i="76" s="1"/>
  <c r="T9" i="76" s="1"/>
  <c r="J6" i="76"/>
  <c r="K6" i="76" s="1"/>
  <c r="N6" i="76" s="1"/>
  <c r="S6" i="76" s="1"/>
  <c r="T6" i="76" s="1"/>
  <c r="Z3" i="76"/>
  <c r="S3" i="76"/>
  <c r="T3" i="76" s="1"/>
  <c r="AD21" i="76"/>
  <c r="J17" i="76"/>
  <c r="K17" i="76" s="1"/>
  <c r="N17" i="76" s="1"/>
  <c r="AF4" i="75"/>
  <c r="Y4" i="75"/>
  <c r="AB4" i="75" s="1"/>
  <c r="Q3" i="75"/>
  <c r="J3" i="75"/>
  <c r="L8" i="75"/>
  <c r="Q8" i="75" s="1"/>
  <c r="R8" i="75" s="1"/>
  <c r="U8" i="75" s="1"/>
  <c r="AF8" i="75" s="1"/>
  <c r="M3" i="75"/>
  <c r="P3" i="75" s="1"/>
  <c r="R3" i="75" s="1"/>
  <c r="U3" i="75" s="1"/>
  <c r="AC8" i="75"/>
  <c r="AD8" i="75" s="1"/>
  <c r="AC22" i="9"/>
  <c r="AC19" i="9"/>
  <c r="AC18" i="9"/>
  <c r="Y34" i="74"/>
  <c r="Y31" i="74"/>
  <c r="AD25" i="74"/>
  <c r="Y25" i="74"/>
  <c r="AD22" i="74"/>
  <c r="Y22" i="74"/>
  <c r="M17" i="74"/>
  <c r="H17" i="74"/>
  <c r="F17" i="74"/>
  <c r="G17" i="74" s="1"/>
  <c r="J17" i="74" s="1"/>
  <c r="K17" i="74" s="1"/>
  <c r="M14" i="74"/>
  <c r="H14" i="74"/>
  <c r="J14" i="74" s="1"/>
  <c r="K14" i="74" s="1"/>
  <c r="G14" i="74"/>
  <c r="F14" i="74"/>
  <c r="M9" i="74"/>
  <c r="H9" i="74"/>
  <c r="F9" i="74"/>
  <c r="G9" i="74" s="1"/>
  <c r="M6" i="74"/>
  <c r="H6" i="74"/>
  <c r="G6" i="74"/>
  <c r="F6" i="74"/>
  <c r="M3" i="74"/>
  <c r="H3" i="74"/>
  <c r="J3" i="74" s="1"/>
  <c r="K3" i="74" s="1"/>
  <c r="G3" i="74"/>
  <c r="F3" i="74"/>
  <c r="Y34" i="73"/>
  <c r="Y31" i="73"/>
  <c r="AD25" i="73"/>
  <c r="Y25" i="73"/>
  <c r="AD22" i="73"/>
  <c r="Y22" i="73"/>
  <c r="M17" i="73"/>
  <c r="H17" i="73"/>
  <c r="F17" i="73"/>
  <c r="G17" i="73" s="1"/>
  <c r="M14" i="73"/>
  <c r="H14" i="73"/>
  <c r="J14" i="73" s="1"/>
  <c r="K14" i="73" s="1"/>
  <c r="G14" i="73"/>
  <c r="F14" i="73"/>
  <c r="M9" i="73"/>
  <c r="H9" i="73"/>
  <c r="F9" i="73"/>
  <c r="G9" i="73" s="1"/>
  <c r="M6" i="73"/>
  <c r="H6" i="73"/>
  <c r="J6" i="73" s="1"/>
  <c r="K6" i="73" s="1"/>
  <c r="G6" i="73"/>
  <c r="F6" i="73"/>
  <c r="M3" i="73"/>
  <c r="H3" i="73"/>
  <c r="J3" i="73" s="1"/>
  <c r="K3" i="73" s="1"/>
  <c r="G3" i="73"/>
  <c r="F3" i="73"/>
  <c r="W7" i="79" l="1"/>
  <c r="X27" i="79" s="1"/>
  <c r="W10" i="79"/>
  <c r="X36" i="79" s="1"/>
  <c r="W3" i="79"/>
  <c r="AC27" i="79" s="1"/>
  <c r="T8" i="40"/>
  <c r="S8" i="40" s="1"/>
  <c r="U14" i="40" s="1"/>
  <c r="U12" i="40"/>
  <c r="AA8" i="40"/>
  <c r="U3" i="77"/>
  <c r="V3" i="77" s="1"/>
  <c r="AD24" i="77" s="1"/>
  <c r="V6" i="77"/>
  <c r="Y24" i="77" s="1"/>
  <c r="Y32" i="77"/>
  <c r="U9" i="77"/>
  <c r="S14" i="76"/>
  <c r="T14" i="76" s="1"/>
  <c r="U14" i="76" s="1"/>
  <c r="V14" i="76" s="1"/>
  <c r="W14" i="76" s="1"/>
  <c r="Y30" i="76"/>
  <c r="Z9" i="76"/>
  <c r="Y21" i="76"/>
  <c r="Z6" i="76"/>
  <c r="U9" i="76"/>
  <c r="Y32" i="76"/>
  <c r="Y23" i="76"/>
  <c r="U6" i="76"/>
  <c r="S17" i="76"/>
  <c r="T17" i="76" s="1"/>
  <c r="U17" i="76" s="1"/>
  <c r="Z17" i="76"/>
  <c r="U3" i="76"/>
  <c r="AD23" i="76"/>
  <c r="AF3" i="75"/>
  <c r="Y3" i="75"/>
  <c r="AB3" i="75" s="1"/>
  <c r="AC4" i="75"/>
  <c r="AD4" i="75" s="1"/>
  <c r="J6" i="74"/>
  <c r="K6" i="74" s="1"/>
  <c r="N6" i="74" s="1"/>
  <c r="Y21" i="74" s="1"/>
  <c r="N3" i="74"/>
  <c r="N14" i="74"/>
  <c r="Z14" i="74" s="1"/>
  <c r="N17" i="74"/>
  <c r="Z17" i="74" s="1"/>
  <c r="S3" i="74"/>
  <c r="T3" i="74" s="1"/>
  <c r="AD21" i="74"/>
  <c r="Z3" i="74"/>
  <c r="S14" i="74"/>
  <c r="T14" i="74" s="1"/>
  <c r="U14" i="74" s="1"/>
  <c r="J9" i="74"/>
  <c r="K9" i="74" s="1"/>
  <c r="N9" i="74" s="1"/>
  <c r="N14" i="73"/>
  <c r="S14" i="73" s="1"/>
  <c r="T14" i="73" s="1"/>
  <c r="U14" i="73" s="1"/>
  <c r="N6" i="73"/>
  <c r="N3" i="73"/>
  <c r="S3" i="73" s="1"/>
  <c r="T3" i="73" s="1"/>
  <c r="Z14" i="73"/>
  <c r="J17" i="73"/>
  <c r="K17" i="73" s="1"/>
  <c r="N17" i="73" s="1"/>
  <c r="S6" i="73"/>
  <c r="T6" i="73" s="1"/>
  <c r="Y21" i="73"/>
  <c r="Z6" i="73"/>
  <c r="J9" i="73"/>
  <c r="K9" i="73" s="1"/>
  <c r="N9" i="73" s="1"/>
  <c r="W8" i="40" l="1"/>
  <c r="X8" i="40" s="1"/>
  <c r="U15" i="40" s="1"/>
  <c r="V9" i="77"/>
  <c r="Y33" i="77" s="1"/>
  <c r="W6" i="77"/>
  <c r="Y26" i="77" s="1"/>
  <c r="W3" i="77"/>
  <c r="AD26" i="77" s="1"/>
  <c r="V9" i="76"/>
  <c r="Y33" i="76" s="1"/>
  <c r="V3" i="76"/>
  <c r="AD24" i="76" s="1"/>
  <c r="V17" i="76"/>
  <c r="W17" i="76" s="1"/>
  <c r="V6" i="76"/>
  <c r="Y24" i="76" s="1"/>
  <c r="AC3" i="75"/>
  <c r="AD3" i="75" s="1"/>
  <c r="S6" i="74"/>
  <c r="T6" i="74" s="1"/>
  <c r="U6" i="74" s="1"/>
  <c r="Z6" i="74"/>
  <c r="S17" i="74"/>
  <c r="T17" i="74" s="1"/>
  <c r="U17" i="74" s="1"/>
  <c r="V17" i="74" s="1"/>
  <c r="W17" i="74" s="1"/>
  <c r="S9" i="74"/>
  <c r="T9" i="74" s="1"/>
  <c r="Z9" i="74"/>
  <c r="Y30" i="74"/>
  <c r="Y23" i="74"/>
  <c r="AD23" i="74"/>
  <c r="U3" i="74"/>
  <c r="V14" i="74"/>
  <c r="W14" i="74" s="1"/>
  <c r="AD21" i="73"/>
  <c r="Z3" i="73"/>
  <c r="Z17" i="73"/>
  <c r="S17" i="73"/>
  <c r="T17" i="73" s="1"/>
  <c r="U17" i="73" s="1"/>
  <c r="S9" i="73"/>
  <c r="T9" i="73" s="1"/>
  <c r="Y30" i="73"/>
  <c r="Z9" i="73"/>
  <c r="Y23" i="73"/>
  <c r="U6" i="73"/>
  <c r="U3" i="73"/>
  <c r="AD23" i="73"/>
  <c r="V14" i="73"/>
  <c r="W14" i="73" s="1"/>
  <c r="AD29" i="18"/>
  <c r="AD26" i="18"/>
  <c r="Y34" i="58"/>
  <c r="Y31" i="58"/>
  <c r="Y25" i="58"/>
  <c r="Y22" i="58"/>
  <c r="AD25" i="58"/>
  <c r="AD22" i="58"/>
  <c r="AD25" i="64"/>
  <c r="AD22" i="64"/>
  <c r="AB31" i="13"/>
  <c r="AB28" i="13"/>
  <c r="AB22" i="13"/>
  <c r="AB19" i="13"/>
  <c r="F54" i="72"/>
  <c r="G54" i="72" s="1"/>
  <c r="I54" i="72" s="1"/>
  <c r="L54" i="72" s="1"/>
  <c r="D54" i="72"/>
  <c r="D53" i="72"/>
  <c r="F53" i="72" s="1"/>
  <c r="G53" i="72" s="1"/>
  <c r="I53" i="72" s="1"/>
  <c r="L53" i="72" s="1"/>
  <c r="D52" i="72"/>
  <c r="F52" i="72" s="1"/>
  <c r="G52" i="72" s="1"/>
  <c r="I52" i="72" s="1"/>
  <c r="L52" i="72" s="1"/>
  <c r="C51" i="72"/>
  <c r="B51" i="72"/>
  <c r="D51" i="72" s="1"/>
  <c r="F51" i="72" s="1"/>
  <c r="G51" i="72" s="1"/>
  <c r="I51" i="72" s="1"/>
  <c r="L51" i="72" s="1"/>
  <c r="O12" i="72" s="1"/>
  <c r="D50" i="72"/>
  <c r="F50" i="72" s="1"/>
  <c r="G50" i="72" s="1"/>
  <c r="I50" i="72" s="1"/>
  <c r="L50" i="72" s="1"/>
  <c r="T45" i="72"/>
  <c r="U45" i="72" s="1"/>
  <c r="V45" i="72" s="1"/>
  <c r="W45" i="72" s="1"/>
  <c r="D45" i="72"/>
  <c r="E45" i="72" s="1"/>
  <c r="F45" i="72" s="1"/>
  <c r="G45" i="72" s="1"/>
  <c r="T44" i="72"/>
  <c r="U44" i="72" s="1"/>
  <c r="V44" i="72" s="1"/>
  <c r="W44" i="72" s="1"/>
  <c r="D44" i="72"/>
  <c r="E44" i="72" s="1"/>
  <c r="F44" i="72" s="1"/>
  <c r="G44" i="72" s="1"/>
  <c r="T43" i="72"/>
  <c r="U43" i="72" s="1"/>
  <c r="V43" i="72" s="1"/>
  <c r="W43" i="72" s="1"/>
  <c r="D43" i="72"/>
  <c r="E43" i="72" s="1"/>
  <c r="F43" i="72" s="1"/>
  <c r="G43" i="72" s="1"/>
  <c r="S42" i="72"/>
  <c r="R42" i="72"/>
  <c r="Q42" i="72"/>
  <c r="T42" i="72" s="1"/>
  <c r="U42" i="72" s="1"/>
  <c r="V42" i="72" s="1"/>
  <c r="W42" i="72" s="1"/>
  <c r="O20" i="72" s="1"/>
  <c r="C42" i="72"/>
  <c r="B42" i="72"/>
  <c r="A42" i="72"/>
  <c r="D42" i="72" s="1"/>
  <c r="E42" i="72" s="1"/>
  <c r="F42" i="72" s="1"/>
  <c r="G42" i="72" s="1"/>
  <c r="O8" i="72" s="1"/>
  <c r="S41" i="72"/>
  <c r="R41" i="72"/>
  <c r="Q41" i="72"/>
  <c r="T41" i="72" s="1"/>
  <c r="U41" i="72" s="1"/>
  <c r="V41" i="72" s="1"/>
  <c r="W41" i="72" s="1"/>
  <c r="O16" i="72" s="1"/>
  <c r="C41" i="72"/>
  <c r="D41" i="72" s="1"/>
  <c r="E41" i="72" s="1"/>
  <c r="F41" i="72" s="1"/>
  <c r="G41" i="72" s="1"/>
  <c r="O4" i="72" s="1"/>
  <c r="B41" i="72"/>
  <c r="A41" i="72"/>
  <c r="M39" i="72"/>
  <c r="M38" i="72"/>
  <c r="M37" i="72"/>
  <c r="M36" i="72"/>
  <c r="R34" i="72"/>
  <c r="B34" i="72"/>
  <c r="L30" i="72"/>
  <c r="G30" i="72"/>
  <c r="E30" i="72"/>
  <c r="F30" i="72" s="1"/>
  <c r="M20" i="72"/>
  <c r="H20" i="72"/>
  <c r="G20" i="72"/>
  <c r="J20" i="72" s="1"/>
  <c r="K20" i="72" s="1"/>
  <c r="N20" i="72" s="1"/>
  <c r="F20" i="72"/>
  <c r="M16" i="72"/>
  <c r="H16" i="72"/>
  <c r="J16" i="72" s="1"/>
  <c r="K16" i="72" s="1"/>
  <c r="N16" i="72" s="1"/>
  <c r="G16" i="72"/>
  <c r="F16" i="72"/>
  <c r="M12" i="72"/>
  <c r="H12" i="72"/>
  <c r="F12" i="72"/>
  <c r="G12" i="72" s="1"/>
  <c r="M8" i="72"/>
  <c r="H8" i="72"/>
  <c r="J8" i="72" s="1"/>
  <c r="K8" i="72" s="1"/>
  <c r="N8" i="72" s="1"/>
  <c r="G8" i="72"/>
  <c r="F8" i="72"/>
  <c r="M4" i="72"/>
  <c r="H4" i="72"/>
  <c r="J4" i="72" s="1"/>
  <c r="K4" i="72" s="1"/>
  <c r="N4" i="72" s="1"/>
  <c r="G4" i="72"/>
  <c r="F4" i="72"/>
  <c r="X35" i="71"/>
  <c r="X32" i="71"/>
  <c r="AC26" i="71"/>
  <c r="X26" i="71"/>
  <c r="AC23" i="71"/>
  <c r="X23" i="71"/>
  <c r="M18" i="71"/>
  <c r="H18" i="71"/>
  <c r="F18" i="71"/>
  <c r="G18" i="71" s="1"/>
  <c r="M15" i="71"/>
  <c r="H15" i="71"/>
  <c r="J15" i="71" s="1"/>
  <c r="K15" i="71" s="1"/>
  <c r="N15" i="71" s="1"/>
  <c r="G15" i="71"/>
  <c r="F15" i="71"/>
  <c r="M10" i="71"/>
  <c r="H10" i="71"/>
  <c r="F10" i="71"/>
  <c r="G10" i="71" s="1"/>
  <c r="M7" i="71"/>
  <c r="H7" i="71"/>
  <c r="G7" i="71"/>
  <c r="F7" i="71"/>
  <c r="M3" i="71"/>
  <c r="H3" i="71"/>
  <c r="J3" i="71" s="1"/>
  <c r="K3" i="71" s="1"/>
  <c r="N3" i="71" s="1"/>
  <c r="G3" i="71"/>
  <c r="F3" i="71"/>
  <c r="AC27" i="70"/>
  <c r="AC26" i="70"/>
  <c r="AC25" i="70"/>
  <c r="AC24" i="70"/>
  <c r="AC23" i="70"/>
  <c r="AC22" i="70"/>
  <c r="H7" i="70"/>
  <c r="M3" i="70"/>
  <c r="H3" i="70"/>
  <c r="J3" i="70" s="1"/>
  <c r="K3" i="70" s="1"/>
  <c r="N3" i="70" s="1"/>
  <c r="G3" i="70"/>
  <c r="F3" i="70"/>
  <c r="X35" i="70"/>
  <c r="X32" i="70"/>
  <c r="X26" i="70"/>
  <c r="X23" i="70"/>
  <c r="M18" i="70"/>
  <c r="H18" i="70"/>
  <c r="G18" i="70"/>
  <c r="J18" i="70" s="1"/>
  <c r="K18" i="70" s="1"/>
  <c r="N18" i="70" s="1"/>
  <c r="F18" i="70"/>
  <c r="M15" i="70"/>
  <c r="H15" i="70"/>
  <c r="G15" i="70"/>
  <c r="F15" i="70"/>
  <c r="M10" i="70"/>
  <c r="H10" i="70"/>
  <c r="F10" i="70"/>
  <c r="G10" i="70" s="1"/>
  <c r="J10" i="70" s="1"/>
  <c r="K10" i="70" s="1"/>
  <c r="N10" i="70" s="1"/>
  <c r="M7" i="70"/>
  <c r="G7" i="70"/>
  <c r="F7" i="70"/>
  <c r="X30" i="9"/>
  <c r="X29" i="9"/>
  <c r="X32" i="9"/>
  <c r="X31" i="9"/>
  <c r="X28" i="9"/>
  <c r="X27" i="9"/>
  <c r="X22" i="9"/>
  <c r="X19" i="9"/>
  <c r="AB17" i="4"/>
  <c r="Y38" i="18"/>
  <c r="Y35" i="18"/>
  <c r="Y29" i="18"/>
  <c r="Y26" i="18"/>
  <c r="U11" i="45"/>
  <c r="U14" i="45"/>
  <c r="AC31" i="45"/>
  <c r="AC29" i="45"/>
  <c r="AC28" i="45"/>
  <c r="AC27" i="45"/>
  <c r="AC22" i="45"/>
  <c r="AC20" i="45"/>
  <c r="AC19" i="45"/>
  <c r="AC18" i="45"/>
  <c r="X31" i="45"/>
  <c r="X28" i="45"/>
  <c r="X22" i="45"/>
  <c r="X19" i="45"/>
  <c r="Y28" i="69"/>
  <c r="Y25" i="69"/>
  <c r="AD20" i="69"/>
  <c r="Y20" i="69"/>
  <c r="AD19" i="69"/>
  <c r="Y19" i="69"/>
  <c r="AD18" i="69"/>
  <c r="Y18" i="69"/>
  <c r="AD17" i="69"/>
  <c r="Y17" i="69"/>
  <c r="AD16" i="69"/>
  <c r="Y16" i="69"/>
  <c r="AD15" i="69"/>
  <c r="Y15" i="69"/>
  <c r="M11" i="69"/>
  <c r="H11" i="69"/>
  <c r="F11" i="69"/>
  <c r="G11" i="69" s="1"/>
  <c r="M8" i="69"/>
  <c r="H8" i="69"/>
  <c r="J8" i="69" s="1"/>
  <c r="K8" i="69" s="1"/>
  <c r="N8" i="69" s="1"/>
  <c r="G8" i="69"/>
  <c r="F8" i="69"/>
  <c r="M3" i="69"/>
  <c r="H3" i="69"/>
  <c r="J3" i="69" s="1"/>
  <c r="K3" i="69" s="1"/>
  <c r="N3" i="69" s="1"/>
  <c r="F3" i="69"/>
  <c r="G3" i="69" s="1"/>
  <c r="I30" i="72" l="1"/>
  <c r="J30" i="72" s="1"/>
  <c r="P30" i="72" s="1"/>
  <c r="Y30" i="72" s="1"/>
  <c r="Y8" i="40"/>
  <c r="U17" i="40" s="1"/>
  <c r="W9" i="77"/>
  <c r="Y35" i="77" s="1"/>
  <c r="W9" i="76"/>
  <c r="Y35" i="76" s="1"/>
  <c r="W6" i="76"/>
  <c r="Y26" i="76" s="1"/>
  <c r="W3" i="76"/>
  <c r="AD26" i="76" s="1"/>
  <c r="Y32" i="74"/>
  <c r="U9" i="74"/>
  <c r="V3" i="74"/>
  <c r="AD24" i="74" s="1"/>
  <c r="V6" i="74"/>
  <c r="Y24" i="74" s="1"/>
  <c r="V3" i="73"/>
  <c r="AD24" i="73" s="1"/>
  <c r="V6" i="73"/>
  <c r="Y24" i="73" s="1"/>
  <c r="Y32" i="73"/>
  <c r="U9" i="73"/>
  <c r="V17" i="73"/>
  <c r="W17" i="73" s="1"/>
  <c r="P8" i="72"/>
  <c r="S8" i="72" s="1"/>
  <c r="V8" i="72" s="1"/>
  <c r="Z8" i="72"/>
  <c r="P4" i="72"/>
  <c r="S4" i="72" s="1"/>
  <c r="V4" i="72" s="1"/>
  <c r="Z4" i="72"/>
  <c r="Z16" i="72"/>
  <c r="P16" i="72"/>
  <c r="S16" i="72" s="1"/>
  <c r="V16" i="72" s="1"/>
  <c r="Z20" i="72"/>
  <c r="P20" i="72"/>
  <c r="S20" i="72" s="1"/>
  <c r="V20" i="72" s="1"/>
  <c r="J12" i="72"/>
  <c r="K12" i="72" s="1"/>
  <c r="N12" i="72" s="1"/>
  <c r="P12" i="72" s="1"/>
  <c r="J7" i="71"/>
  <c r="K7" i="71" s="1"/>
  <c r="N7" i="71" s="1"/>
  <c r="S7" i="71" s="1"/>
  <c r="T7" i="71" s="1"/>
  <c r="S15" i="71"/>
  <c r="T15" i="71" s="1"/>
  <c r="U15" i="71" s="1"/>
  <c r="Z15" i="71"/>
  <c r="J18" i="71"/>
  <c r="K18" i="71" s="1"/>
  <c r="N18" i="71" s="1"/>
  <c r="Z3" i="71"/>
  <c r="S3" i="71"/>
  <c r="T3" i="71" s="1"/>
  <c r="AC22" i="71"/>
  <c r="J10" i="71"/>
  <c r="K10" i="71" s="1"/>
  <c r="N10" i="71" s="1"/>
  <c r="J7" i="70"/>
  <c r="K7" i="70" s="1"/>
  <c r="N7" i="70" s="1"/>
  <c r="S7" i="70" s="1"/>
  <c r="T7" i="70" s="1"/>
  <c r="J15" i="70"/>
  <c r="K15" i="70" s="1"/>
  <c r="N15" i="70" s="1"/>
  <c r="S15" i="70" s="1"/>
  <c r="T15" i="70" s="1"/>
  <c r="U15" i="70" s="1"/>
  <c r="Z3" i="70"/>
  <c r="S3" i="70"/>
  <c r="T3" i="70" s="1"/>
  <c r="U3" i="70" s="1"/>
  <c r="S18" i="70"/>
  <c r="T18" i="70" s="1"/>
  <c r="U18" i="70" s="1"/>
  <c r="Z18" i="70"/>
  <c r="S10" i="70"/>
  <c r="T10" i="70" s="1"/>
  <c r="X31" i="70"/>
  <c r="Z10" i="70"/>
  <c r="S8" i="69"/>
  <c r="T8" i="69" s="1"/>
  <c r="U8" i="69" s="1"/>
  <c r="Z8" i="69"/>
  <c r="S3" i="69"/>
  <c r="T3" i="69" s="1"/>
  <c r="Y24" i="69"/>
  <c r="Z3" i="69"/>
  <c r="J11" i="69"/>
  <c r="K11" i="69" s="1"/>
  <c r="N11" i="69" s="1"/>
  <c r="R30" i="72" l="1"/>
  <c r="U30" i="72" s="1"/>
  <c r="V30" i="72" s="1"/>
  <c r="W30" i="72" s="1"/>
  <c r="W3" i="74"/>
  <c r="AD26" i="74" s="1"/>
  <c r="W6" i="74"/>
  <c r="Y26" i="74" s="1"/>
  <c r="V9" i="74"/>
  <c r="Y33" i="74" s="1"/>
  <c r="W3" i="73"/>
  <c r="AD26" i="73" s="1"/>
  <c r="V9" i="73"/>
  <c r="Y33" i="73" s="1"/>
  <c r="W6" i="73"/>
  <c r="Y26" i="73" s="1"/>
  <c r="Z12" i="72"/>
  <c r="S12" i="72"/>
  <c r="V12" i="72" s="1"/>
  <c r="W20" i="72"/>
  <c r="X20" i="72" s="1"/>
  <c r="W16" i="72"/>
  <c r="X16" i="72" s="1"/>
  <c r="W4" i="72"/>
  <c r="X4" i="72" s="1"/>
  <c r="W8" i="72"/>
  <c r="X8" i="72" s="1"/>
  <c r="Z7" i="71"/>
  <c r="X22" i="71"/>
  <c r="S10" i="71"/>
  <c r="T10" i="71" s="1"/>
  <c r="X31" i="71"/>
  <c r="Z10" i="71"/>
  <c r="U7" i="71"/>
  <c r="X24" i="71"/>
  <c r="AC24" i="71"/>
  <c r="U3" i="71"/>
  <c r="S18" i="71"/>
  <c r="T18" i="71" s="1"/>
  <c r="U18" i="71" s="1"/>
  <c r="Z18" i="71"/>
  <c r="V15" i="71"/>
  <c r="W15" i="71" s="1"/>
  <c r="Z7" i="70"/>
  <c r="X22" i="70"/>
  <c r="Z15" i="70"/>
  <c r="V3" i="70"/>
  <c r="W3" i="70" s="1"/>
  <c r="V15" i="70"/>
  <c r="W15" i="70" s="1"/>
  <c r="U7" i="70"/>
  <c r="X24" i="70"/>
  <c r="U10" i="70"/>
  <c r="X33" i="70"/>
  <c r="V18" i="70"/>
  <c r="W18" i="70" s="1"/>
  <c r="S11" i="69"/>
  <c r="T11" i="69" s="1"/>
  <c r="U11" i="69" s="1"/>
  <c r="Z11" i="69"/>
  <c r="U3" i="69"/>
  <c r="Y26" i="69"/>
  <c r="V8" i="69"/>
  <c r="W8" i="69" s="1"/>
  <c r="W9" i="74" l="1"/>
  <c r="Y35" i="74" s="1"/>
  <c r="W9" i="73"/>
  <c r="Y35" i="73" s="1"/>
  <c r="X12" i="72"/>
  <c r="W12" i="72"/>
  <c r="V18" i="71"/>
  <c r="W18" i="71" s="1"/>
  <c r="V3" i="71"/>
  <c r="AC25" i="71" s="1"/>
  <c r="V7" i="71"/>
  <c r="X25" i="71" s="1"/>
  <c r="U10" i="71"/>
  <c r="X33" i="71"/>
  <c r="V7" i="70"/>
  <c r="X25" i="70" s="1"/>
  <c r="V10" i="70"/>
  <c r="X34" i="70" s="1"/>
  <c r="V11" i="69"/>
  <c r="W11" i="69" s="1"/>
  <c r="V3" i="69"/>
  <c r="Y27" i="69" s="1"/>
  <c r="V10" i="71" l="1"/>
  <c r="X34" i="71" s="1"/>
  <c r="W7" i="71"/>
  <c r="X27" i="71" s="1"/>
  <c r="W3" i="71"/>
  <c r="AC27" i="71" s="1"/>
  <c r="W10" i="70"/>
  <c r="X36" i="70" s="1"/>
  <c r="W7" i="70"/>
  <c r="X27" i="70" s="1"/>
  <c r="W3" i="69"/>
  <c r="Y29" i="69" s="1"/>
  <c r="W10" i="71" l="1"/>
  <c r="X36" i="71" s="1"/>
  <c r="AA31" i="59"/>
  <c r="AA28" i="59"/>
  <c r="AA22" i="59"/>
  <c r="AA19" i="59"/>
  <c r="F3" i="44"/>
  <c r="G3" i="44"/>
  <c r="H3" i="44"/>
  <c r="J3" i="44"/>
  <c r="K3" i="44"/>
  <c r="M3" i="44"/>
  <c r="N3" i="44"/>
  <c r="Z3" i="44" s="1"/>
  <c r="F6" i="44"/>
  <c r="G6" i="44"/>
  <c r="H6" i="44"/>
  <c r="J6" i="44"/>
  <c r="K6" i="44"/>
  <c r="M6" i="44"/>
  <c r="N6" i="44"/>
  <c r="Z6" i="44" s="1"/>
  <c r="S6" i="44"/>
  <c r="T6" i="44"/>
  <c r="Y29" i="44" s="1"/>
  <c r="F11" i="44"/>
  <c r="G11" i="44"/>
  <c r="H11" i="44"/>
  <c r="J11" i="44"/>
  <c r="K11" i="44"/>
  <c r="M11" i="44"/>
  <c r="N11" i="44"/>
  <c r="S11" i="44"/>
  <c r="T11" i="44"/>
  <c r="U11" i="44"/>
  <c r="V11" i="44" s="1"/>
  <c r="Z11" i="44"/>
  <c r="F14" i="44"/>
  <c r="G14" i="44"/>
  <c r="H14" i="44"/>
  <c r="J14" i="44"/>
  <c r="K14" i="44"/>
  <c r="M14" i="44"/>
  <c r="N14" i="44"/>
  <c r="Z14" i="44" s="1"/>
  <c r="Y19" i="44"/>
  <c r="Y22" i="44"/>
  <c r="Y27" i="44"/>
  <c r="Y28" i="44"/>
  <c r="Y31" i="44"/>
  <c r="Y31" i="67"/>
  <c r="Y28" i="67"/>
  <c r="Y22" i="67"/>
  <c r="Y19" i="67"/>
  <c r="M14" i="67"/>
  <c r="H14" i="67"/>
  <c r="G14" i="67"/>
  <c r="J14" i="67" s="1"/>
  <c r="K14" i="67" s="1"/>
  <c r="N14" i="67" s="1"/>
  <c r="F14" i="67"/>
  <c r="M11" i="67"/>
  <c r="H11" i="67"/>
  <c r="G11" i="67"/>
  <c r="F11" i="67"/>
  <c r="M6" i="67"/>
  <c r="H6" i="67"/>
  <c r="F6" i="67"/>
  <c r="G6" i="67" s="1"/>
  <c r="M3" i="67"/>
  <c r="H3" i="67"/>
  <c r="G3" i="67"/>
  <c r="F3" i="67"/>
  <c r="AB28" i="24"/>
  <c r="AB25" i="24"/>
  <c r="K5" i="48"/>
  <c r="N5" i="48" s="1"/>
  <c r="F35" i="68"/>
  <c r="X34" i="68"/>
  <c r="X31" i="68"/>
  <c r="I31" i="68"/>
  <c r="C31" i="68" s="1"/>
  <c r="F31" i="68" s="1"/>
  <c r="X25" i="68"/>
  <c r="X22" i="68"/>
  <c r="M17" i="68"/>
  <c r="H17" i="68"/>
  <c r="F17" i="68"/>
  <c r="G17" i="68" s="1"/>
  <c r="M14" i="68"/>
  <c r="H14" i="68"/>
  <c r="J14" i="68" s="1"/>
  <c r="K14" i="68" s="1"/>
  <c r="N14" i="68" s="1"/>
  <c r="G14" i="68"/>
  <c r="F14" i="68"/>
  <c r="M9" i="68"/>
  <c r="H9" i="68"/>
  <c r="F9" i="68"/>
  <c r="G9" i="68" s="1"/>
  <c r="M6" i="68"/>
  <c r="H6" i="68"/>
  <c r="G6" i="68"/>
  <c r="F6" i="68"/>
  <c r="M3" i="68"/>
  <c r="H3" i="68"/>
  <c r="G3" i="68"/>
  <c r="F3" i="68"/>
  <c r="M3" i="10"/>
  <c r="H3" i="10"/>
  <c r="G3" i="10"/>
  <c r="F3" i="10"/>
  <c r="Y26" i="10"/>
  <c r="Y23" i="10"/>
  <c r="F35" i="39"/>
  <c r="X34" i="39"/>
  <c r="X31" i="39"/>
  <c r="I31" i="39"/>
  <c r="F31" i="39"/>
  <c r="C31" i="39"/>
  <c r="X25" i="39"/>
  <c r="X22" i="39"/>
  <c r="M17" i="39"/>
  <c r="H17" i="39"/>
  <c r="F17" i="39"/>
  <c r="G17" i="39" s="1"/>
  <c r="M14" i="39"/>
  <c r="H14" i="39"/>
  <c r="J14" i="39" s="1"/>
  <c r="K14" i="39" s="1"/>
  <c r="N14" i="39" s="1"/>
  <c r="G14" i="39"/>
  <c r="F14" i="39"/>
  <c r="M9" i="39"/>
  <c r="H9" i="39"/>
  <c r="F9" i="39"/>
  <c r="G9" i="39" s="1"/>
  <c r="M6" i="39"/>
  <c r="J6" i="39"/>
  <c r="K6" i="39" s="1"/>
  <c r="N6" i="39" s="1"/>
  <c r="H6" i="39"/>
  <c r="G6" i="39"/>
  <c r="F6" i="39"/>
  <c r="M3" i="39"/>
  <c r="H3" i="39"/>
  <c r="G3" i="39"/>
  <c r="J3" i="39" s="1"/>
  <c r="K3" i="39" s="1"/>
  <c r="N3" i="39" s="1"/>
  <c r="F3" i="39"/>
  <c r="G18" i="66"/>
  <c r="F18" i="66"/>
  <c r="E18" i="66"/>
  <c r="G17" i="66"/>
  <c r="F17" i="66"/>
  <c r="E17" i="66"/>
  <c r="G16" i="66"/>
  <c r="F16" i="66"/>
  <c r="E16" i="66"/>
  <c r="G15" i="66"/>
  <c r="F15" i="66"/>
  <c r="E15" i="66"/>
  <c r="G14" i="66"/>
  <c r="F14" i="66"/>
  <c r="E14" i="66"/>
  <c r="G13" i="66"/>
  <c r="F13" i="66"/>
  <c r="H13" i="66" s="1"/>
  <c r="J13" i="66" s="1"/>
  <c r="K13" i="66" s="1"/>
  <c r="E13" i="66"/>
  <c r="G12" i="66"/>
  <c r="F12" i="66"/>
  <c r="E12" i="66"/>
  <c r="G11" i="66"/>
  <c r="F11" i="66"/>
  <c r="E11" i="66"/>
  <c r="G10" i="66"/>
  <c r="F10" i="66"/>
  <c r="G9" i="66"/>
  <c r="F9" i="66"/>
  <c r="E9" i="66"/>
  <c r="G8" i="66"/>
  <c r="F8" i="66"/>
  <c r="E8" i="66"/>
  <c r="G7" i="66"/>
  <c r="F7" i="66"/>
  <c r="E7" i="66"/>
  <c r="G6" i="66"/>
  <c r="F6" i="66"/>
  <c r="E6" i="66"/>
  <c r="G5" i="66"/>
  <c r="F5" i="66"/>
  <c r="E5" i="66"/>
  <c r="G4" i="66"/>
  <c r="F4" i="66"/>
  <c r="G3" i="66"/>
  <c r="F3" i="66"/>
  <c r="E3" i="66"/>
  <c r="J6" i="68" l="1"/>
  <c r="K6" i="68" s="1"/>
  <c r="N6" i="68" s="1"/>
  <c r="J9" i="39"/>
  <c r="K9" i="39" s="1"/>
  <c r="N9" i="39" s="1"/>
  <c r="S9" i="39" s="1"/>
  <c r="T9" i="39" s="1"/>
  <c r="J3" i="10"/>
  <c r="K3" i="10" s="1"/>
  <c r="N3" i="10" s="1"/>
  <c r="J6" i="67"/>
  <c r="K6" i="67" s="1"/>
  <c r="N6" i="67" s="1"/>
  <c r="Y27" i="67" s="1"/>
  <c r="S14" i="44"/>
  <c r="T14" i="44" s="1"/>
  <c r="U14" i="44" s="1"/>
  <c r="S3" i="44"/>
  <c r="T3" i="44" s="1"/>
  <c r="Y18" i="44"/>
  <c r="U6" i="44"/>
  <c r="W11" i="44"/>
  <c r="J11" i="67"/>
  <c r="K11" i="67" s="1"/>
  <c r="N11" i="67" s="1"/>
  <c r="Z11" i="67" s="1"/>
  <c r="J3" i="67"/>
  <c r="K3" i="67" s="1"/>
  <c r="N3" i="67" s="1"/>
  <c r="Z3" i="67" s="1"/>
  <c r="Z14" i="67"/>
  <c r="S14" i="67"/>
  <c r="T14" i="67" s="1"/>
  <c r="U14" i="67" s="1"/>
  <c r="O5" i="48"/>
  <c r="P5" i="48" s="1"/>
  <c r="J3" i="68"/>
  <c r="K3" i="68" s="1"/>
  <c r="N3" i="68" s="1"/>
  <c r="Z3" i="68" s="1"/>
  <c r="G31" i="68"/>
  <c r="H31" i="68" s="1"/>
  <c r="F36" i="68" s="1"/>
  <c r="J9" i="68"/>
  <c r="K9" i="68" s="1"/>
  <c r="N9" i="68" s="1"/>
  <c r="S14" i="68"/>
  <c r="T14" i="68" s="1"/>
  <c r="U14" i="68" s="1"/>
  <c r="Z14" i="68"/>
  <c r="J17" i="68"/>
  <c r="K17" i="68" s="1"/>
  <c r="N17" i="68" s="1"/>
  <c r="Z6" i="68"/>
  <c r="S6" i="68"/>
  <c r="T6" i="68" s="1"/>
  <c r="X21" i="68"/>
  <c r="Z14" i="39"/>
  <c r="S14" i="39"/>
  <c r="T14" i="39" s="1"/>
  <c r="U14" i="39" s="1"/>
  <c r="S6" i="39"/>
  <c r="T6" i="39" s="1"/>
  <c r="Z6" i="39"/>
  <c r="X21" i="39"/>
  <c r="J17" i="39"/>
  <c r="K17" i="39" s="1"/>
  <c r="N17" i="39" s="1"/>
  <c r="H31" i="39"/>
  <c r="F36" i="39" s="1"/>
  <c r="Z3" i="39"/>
  <c r="S3" i="39"/>
  <c r="T3" i="39" s="1"/>
  <c r="U3" i="39" s="1"/>
  <c r="G31" i="39"/>
  <c r="H3" i="66"/>
  <c r="J3" i="66" s="1"/>
  <c r="K3" i="66" s="1"/>
  <c r="H4" i="66"/>
  <c r="J4" i="66" s="1"/>
  <c r="K4" i="66" s="1"/>
  <c r="H5" i="66"/>
  <c r="J5" i="66" s="1"/>
  <c r="K5" i="66" s="1"/>
  <c r="H6" i="66"/>
  <c r="J6" i="66" s="1"/>
  <c r="K6" i="66" s="1"/>
  <c r="H7" i="66"/>
  <c r="J7" i="66" s="1"/>
  <c r="K7" i="66" s="1"/>
  <c r="H15" i="66"/>
  <c r="J15" i="66" s="1"/>
  <c r="K15" i="66" s="1"/>
  <c r="H16" i="66"/>
  <c r="J16" i="66" s="1"/>
  <c r="K16" i="66" s="1"/>
  <c r="H17" i="66"/>
  <c r="J17" i="66" s="1"/>
  <c r="K17" i="66" s="1"/>
  <c r="H11" i="66"/>
  <c r="J11" i="66" s="1"/>
  <c r="K11" i="66" s="1"/>
  <c r="H9" i="66"/>
  <c r="J9" i="66" s="1"/>
  <c r="K9" i="66" s="1"/>
  <c r="H8" i="66"/>
  <c r="J8" i="66" s="1"/>
  <c r="K8" i="66" s="1"/>
  <c r="H12" i="66"/>
  <c r="J12" i="66" s="1"/>
  <c r="K12" i="66" s="1"/>
  <c r="H14" i="66"/>
  <c r="J14" i="66" s="1"/>
  <c r="K14" i="66" s="1"/>
  <c r="H10" i="66"/>
  <c r="J10" i="66" s="1"/>
  <c r="K10" i="66" s="1"/>
  <c r="H18" i="66"/>
  <c r="J18" i="66" s="1"/>
  <c r="K18" i="66" s="1"/>
  <c r="Y34" i="65"/>
  <c r="Y31" i="65"/>
  <c r="AD25" i="65"/>
  <c r="Y25" i="65"/>
  <c r="AD22" i="65"/>
  <c r="Y22" i="65"/>
  <c r="M17" i="65"/>
  <c r="H17" i="65"/>
  <c r="F17" i="65"/>
  <c r="G17" i="65" s="1"/>
  <c r="M14" i="65"/>
  <c r="H14" i="65"/>
  <c r="J14" i="65" s="1"/>
  <c r="K14" i="65" s="1"/>
  <c r="G14" i="65"/>
  <c r="F14" i="65"/>
  <c r="M9" i="65"/>
  <c r="H9" i="65"/>
  <c r="F9" i="65"/>
  <c r="G9" i="65" s="1"/>
  <c r="M6" i="65"/>
  <c r="J6" i="65"/>
  <c r="K6" i="65" s="1"/>
  <c r="N6" i="65" s="1"/>
  <c r="H6" i="65"/>
  <c r="G6" i="65"/>
  <c r="F6" i="65"/>
  <c r="M3" i="65"/>
  <c r="H3" i="65"/>
  <c r="G3" i="65"/>
  <c r="J3" i="65" s="1"/>
  <c r="K3" i="65" s="1"/>
  <c r="F3" i="65"/>
  <c r="AD25" i="7"/>
  <c r="AD22" i="7"/>
  <c r="C51" i="2"/>
  <c r="B51" i="2"/>
  <c r="D54" i="2"/>
  <c r="F54" i="2" s="1"/>
  <c r="G54" i="2" s="1"/>
  <c r="I54" i="2" s="1"/>
  <c r="L54" i="2" s="1"/>
  <c r="D53" i="2"/>
  <c r="F53" i="2" s="1"/>
  <c r="G53" i="2" s="1"/>
  <c r="I53" i="2" s="1"/>
  <c r="L53" i="2" s="1"/>
  <c r="D52" i="2"/>
  <c r="F52" i="2" s="1"/>
  <c r="G52" i="2" s="1"/>
  <c r="I52" i="2" s="1"/>
  <c r="L52" i="2" s="1"/>
  <c r="D51" i="2"/>
  <c r="F51" i="2" s="1"/>
  <c r="D50" i="2"/>
  <c r="F50" i="2" s="1"/>
  <c r="G50" i="2" s="1"/>
  <c r="I50" i="2" s="1"/>
  <c r="L50" i="2" s="1"/>
  <c r="M12" i="2"/>
  <c r="H12" i="2"/>
  <c r="F12" i="2"/>
  <c r="G12" i="2" s="1"/>
  <c r="D37" i="15"/>
  <c r="F37" i="15" s="1"/>
  <c r="G37" i="15" s="1"/>
  <c r="I37" i="15" s="1"/>
  <c r="Q37" i="15" s="1"/>
  <c r="D36" i="15"/>
  <c r="F36" i="15" s="1"/>
  <c r="G36" i="15" s="1"/>
  <c r="I36" i="15" s="1"/>
  <c r="Q36" i="15" s="1"/>
  <c r="D35" i="15"/>
  <c r="F35" i="15" s="1"/>
  <c r="G35" i="15" s="1"/>
  <c r="I35" i="15" s="1"/>
  <c r="Q35" i="15" s="1"/>
  <c r="D34" i="15"/>
  <c r="F34" i="15" s="1"/>
  <c r="G34" i="15" s="1"/>
  <c r="I34" i="15" s="1"/>
  <c r="Q34" i="15" s="1"/>
  <c r="F33" i="15"/>
  <c r="G33" i="15" s="1"/>
  <c r="I33" i="15" s="1"/>
  <c r="Q33" i="15" s="1"/>
  <c r="D33" i="15"/>
  <c r="X34" i="14"/>
  <c r="X31" i="14"/>
  <c r="X26" i="14"/>
  <c r="X25" i="14"/>
  <c r="X24" i="14"/>
  <c r="X23" i="14"/>
  <c r="X22" i="14"/>
  <c r="X21" i="14"/>
  <c r="M3" i="14"/>
  <c r="H3" i="14"/>
  <c r="G3" i="14"/>
  <c r="F3" i="14"/>
  <c r="AA13" i="4"/>
  <c r="AC13" i="4" s="1"/>
  <c r="AF13" i="4" s="1"/>
  <c r="AB16" i="4"/>
  <c r="U28" i="4"/>
  <c r="U25" i="4"/>
  <c r="U19" i="4"/>
  <c r="U16" i="4"/>
  <c r="Y34" i="64"/>
  <c r="Y31" i="64"/>
  <c r="Y25" i="64"/>
  <c r="Y22" i="64"/>
  <c r="M17" i="64"/>
  <c r="H17" i="64"/>
  <c r="F17" i="64"/>
  <c r="G17" i="64" s="1"/>
  <c r="J17" i="64" s="1"/>
  <c r="K17" i="64" s="1"/>
  <c r="N17" i="64" s="1"/>
  <c r="M14" i="64"/>
  <c r="H14" i="64"/>
  <c r="G14" i="64"/>
  <c r="F14" i="64"/>
  <c r="M9" i="64"/>
  <c r="H9" i="64"/>
  <c r="F9" i="64"/>
  <c r="G9" i="64" s="1"/>
  <c r="M6" i="64"/>
  <c r="H6" i="64"/>
  <c r="G6" i="64"/>
  <c r="F6" i="64"/>
  <c r="M3" i="64"/>
  <c r="H3" i="64"/>
  <c r="G3" i="64"/>
  <c r="F3" i="64"/>
  <c r="V43" i="34"/>
  <c r="X43" i="34" s="1"/>
  <c r="Y43" i="34" s="1"/>
  <c r="AA43" i="34" s="1"/>
  <c r="AD43" i="34" s="1"/>
  <c r="V42" i="34"/>
  <c r="X42" i="34" s="1"/>
  <c r="Y42" i="34" s="1"/>
  <c r="AA42" i="34" s="1"/>
  <c r="AD42" i="34" s="1"/>
  <c r="V41" i="34"/>
  <c r="X41" i="34" s="1"/>
  <c r="Y41" i="34" s="1"/>
  <c r="AA41" i="34" s="1"/>
  <c r="AD41" i="34" s="1"/>
  <c r="V40" i="34"/>
  <c r="X40" i="34" s="1"/>
  <c r="Y40" i="34" s="1"/>
  <c r="AA40" i="34" s="1"/>
  <c r="AD40" i="34" s="1"/>
  <c r="V39" i="34"/>
  <c r="X39" i="34" s="1"/>
  <c r="Y39" i="34" s="1"/>
  <c r="AA39" i="34" s="1"/>
  <c r="AD39" i="34" s="1"/>
  <c r="M3" i="46"/>
  <c r="H3" i="46"/>
  <c r="G3" i="46"/>
  <c r="F3" i="46"/>
  <c r="Y34" i="62"/>
  <c r="Y31" i="62"/>
  <c r="X43" i="23"/>
  <c r="AB19" i="24"/>
  <c r="AB16" i="24"/>
  <c r="M13" i="36"/>
  <c r="H13" i="36"/>
  <c r="J13" i="36" s="1"/>
  <c r="K13" i="36" s="1"/>
  <c r="G13" i="36"/>
  <c r="F13" i="36"/>
  <c r="M3" i="36"/>
  <c r="H3" i="36"/>
  <c r="G3" i="36"/>
  <c r="F3" i="36"/>
  <c r="T11" i="45"/>
  <c r="P11" i="45"/>
  <c r="U36" i="19"/>
  <c r="D36" i="19"/>
  <c r="U35" i="19"/>
  <c r="V35" i="19" s="1"/>
  <c r="W35" i="19" s="1"/>
  <c r="X35" i="19" s="1"/>
  <c r="D35" i="19"/>
  <c r="U34" i="19"/>
  <c r="D34" i="19"/>
  <c r="E34" i="19" s="1"/>
  <c r="F34" i="19" s="1"/>
  <c r="G34" i="19" s="1"/>
  <c r="T33" i="19"/>
  <c r="R33" i="19"/>
  <c r="Q33" i="19"/>
  <c r="C33" i="19"/>
  <c r="B33" i="19"/>
  <c r="A33" i="19"/>
  <c r="D33" i="19" s="1"/>
  <c r="E33" i="19" s="1"/>
  <c r="F33" i="19" s="1"/>
  <c r="G33" i="19" s="1"/>
  <c r="O7" i="19" s="1"/>
  <c r="T32" i="19"/>
  <c r="R32" i="19"/>
  <c r="Q32" i="19"/>
  <c r="C32" i="19"/>
  <c r="B32" i="19"/>
  <c r="A32" i="19"/>
  <c r="D32" i="19" s="1"/>
  <c r="E32" i="19" s="1"/>
  <c r="F32" i="19" s="1"/>
  <c r="G32" i="19" s="1"/>
  <c r="O3" i="19" s="1"/>
  <c r="M30" i="19"/>
  <c r="M29" i="19"/>
  <c r="M28" i="19"/>
  <c r="M27" i="19"/>
  <c r="R25" i="19"/>
  <c r="B25" i="19"/>
  <c r="L21" i="19"/>
  <c r="G21" i="19"/>
  <c r="E21" i="19"/>
  <c r="F21" i="19" s="1"/>
  <c r="M16" i="19"/>
  <c r="H16" i="19"/>
  <c r="G16" i="19"/>
  <c r="F16" i="19"/>
  <c r="M12" i="19"/>
  <c r="H12" i="19"/>
  <c r="G12" i="19"/>
  <c r="F12" i="19"/>
  <c r="M7" i="19"/>
  <c r="J7" i="19"/>
  <c r="K7" i="19" s="1"/>
  <c r="N7" i="19" s="1"/>
  <c r="H7" i="19"/>
  <c r="G7" i="19"/>
  <c r="F7" i="19"/>
  <c r="M3" i="19"/>
  <c r="H3" i="19"/>
  <c r="J3" i="19" s="1"/>
  <c r="K3" i="19" s="1"/>
  <c r="N3" i="19" s="1"/>
  <c r="G3" i="19"/>
  <c r="F3" i="19"/>
  <c r="Y31" i="25"/>
  <c r="Y28" i="25"/>
  <c r="Y22" i="25"/>
  <c r="Y19" i="25"/>
  <c r="Y34" i="63"/>
  <c r="Y31" i="63"/>
  <c r="Y25" i="63"/>
  <c r="Y22" i="63"/>
  <c r="M17" i="63"/>
  <c r="H17" i="63"/>
  <c r="F17" i="63"/>
  <c r="G17" i="63" s="1"/>
  <c r="J17" i="63" s="1"/>
  <c r="K17" i="63" s="1"/>
  <c r="N17" i="63" s="1"/>
  <c r="M14" i="63"/>
  <c r="H14" i="63"/>
  <c r="G14" i="63"/>
  <c r="J14" i="63" s="1"/>
  <c r="K14" i="63" s="1"/>
  <c r="N14" i="63" s="1"/>
  <c r="F14" i="63"/>
  <c r="M9" i="63"/>
  <c r="H9" i="63"/>
  <c r="J9" i="63" s="1"/>
  <c r="K9" i="63" s="1"/>
  <c r="N9" i="63" s="1"/>
  <c r="F9" i="63"/>
  <c r="G9" i="63" s="1"/>
  <c r="M6" i="63"/>
  <c r="H6" i="63"/>
  <c r="G6" i="63"/>
  <c r="F6" i="63"/>
  <c r="M3" i="63"/>
  <c r="H3" i="63"/>
  <c r="J3" i="63" s="1"/>
  <c r="K3" i="63" s="1"/>
  <c r="G3" i="63"/>
  <c r="F3" i="63"/>
  <c r="M3" i="18"/>
  <c r="H3" i="18"/>
  <c r="G3" i="18"/>
  <c r="F3" i="18"/>
  <c r="Y25" i="62"/>
  <c r="Y22" i="62"/>
  <c r="M17" i="62"/>
  <c r="H17" i="62"/>
  <c r="J17" i="62" s="1"/>
  <c r="K17" i="62" s="1"/>
  <c r="N17" i="62" s="1"/>
  <c r="G17" i="62"/>
  <c r="F17" i="62"/>
  <c r="M14" i="62"/>
  <c r="H14" i="62"/>
  <c r="J14" i="62" s="1"/>
  <c r="K14" i="62" s="1"/>
  <c r="N14" i="62" s="1"/>
  <c r="G14" i="62"/>
  <c r="F14" i="62"/>
  <c r="M9" i="62"/>
  <c r="H9" i="62"/>
  <c r="F9" i="62"/>
  <c r="G9" i="62" s="1"/>
  <c r="M6" i="62"/>
  <c r="H6" i="62"/>
  <c r="G6" i="62"/>
  <c r="F6" i="62"/>
  <c r="M3" i="62"/>
  <c r="H3" i="62"/>
  <c r="G3" i="62"/>
  <c r="F3" i="62"/>
  <c r="Y34" i="7"/>
  <c r="Y31" i="7"/>
  <c r="Y25" i="7"/>
  <c r="Y22" i="7"/>
  <c r="M3" i="7"/>
  <c r="H3" i="7"/>
  <c r="G3" i="7"/>
  <c r="F3" i="7"/>
  <c r="W22" i="27"/>
  <c r="W19" i="27"/>
  <c r="W18" i="27"/>
  <c r="M3" i="4"/>
  <c r="H3" i="4"/>
  <c r="G3" i="4"/>
  <c r="F3" i="4"/>
  <c r="M14" i="61"/>
  <c r="H14" i="61"/>
  <c r="F14" i="61"/>
  <c r="G14" i="61" s="1"/>
  <c r="J14" i="61" s="1"/>
  <c r="K14" i="61" s="1"/>
  <c r="N14" i="61" s="1"/>
  <c r="M11" i="61"/>
  <c r="H11" i="61"/>
  <c r="G11" i="61"/>
  <c r="F11" i="61"/>
  <c r="M6" i="61"/>
  <c r="H6" i="61"/>
  <c r="F6" i="61"/>
  <c r="G6" i="61" s="1"/>
  <c r="M3" i="61"/>
  <c r="H3" i="61"/>
  <c r="J3" i="61" s="1"/>
  <c r="K3" i="61" s="1"/>
  <c r="G3" i="61"/>
  <c r="F3" i="61"/>
  <c r="J5" i="60"/>
  <c r="J6" i="60"/>
  <c r="J7" i="60"/>
  <c r="J8" i="60"/>
  <c r="J9" i="60"/>
  <c r="J10" i="60"/>
  <c r="J11" i="60"/>
  <c r="J12" i="60"/>
  <c r="J13" i="60"/>
  <c r="J14" i="60"/>
  <c r="J15" i="60"/>
  <c r="J16" i="60"/>
  <c r="J4" i="60"/>
  <c r="M14" i="59"/>
  <c r="H14" i="59"/>
  <c r="J14" i="59" s="1"/>
  <c r="K14" i="59" s="1"/>
  <c r="G14" i="59"/>
  <c r="F14" i="59"/>
  <c r="M11" i="59"/>
  <c r="H11" i="59"/>
  <c r="J11" i="59" s="1"/>
  <c r="K11" i="59" s="1"/>
  <c r="G11" i="59"/>
  <c r="F11" i="59"/>
  <c r="M6" i="59"/>
  <c r="H6" i="59"/>
  <c r="F6" i="59"/>
  <c r="G6" i="59" s="1"/>
  <c r="M3" i="59"/>
  <c r="H3" i="59"/>
  <c r="G3" i="59"/>
  <c r="F3" i="59"/>
  <c r="G22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M17" i="58"/>
  <c r="H17" i="58"/>
  <c r="F17" i="58"/>
  <c r="G17" i="58" s="1"/>
  <c r="M14" i="58"/>
  <c r="H14" i="58"/>
  <c r="G14" i="58"/>
  <c r="F14" i="58"/>
  <c r="M9" i="58"/>
  <c r="H9" i="58"/>
  <c r="F9" i="58"/>
  <c r="G9" i="58" s="1"/>
  <c r="M6" i="58"/>
  <c r="H6" i="58"/>
  <c r="G6" i="58"/>
  <c r="F6" i="58"/>
  <c r="M3" i="58"/>
  <c r="H3" i="58"/>
  <c r="G3" i="58"/>
  <c r="F3" i="58"/>
  <c r="D49" i="28"/>
  <c r="F49" i="28" s="1"/>
  <c r="G49" i="28" s="1"/>
  <c r="I49" i="28" s="1"/>
  <c r="L49" i="28" s="1"/>
  <c r="D48" i="28"/>
  <c r="F48" i="28" s="1"/>
  <c r="G48" i="28" s="1"/>
  <c r="I48" i="28" s="1"/>
  <c r="L48" i="28" s="1"/>
  <c r="L47" i="28"/>
  <c r="I47" i="28"/>
  <c r="G47" i="28"/>
  <c r="F47" i="28"/>
  <c r="D47" i="28"/>
  <c r="D46" i="28"/>
  <c r="F46" i="28" s="1"/>
  <c r="G46" i="28" s="1"/>
  <c r="I46" i="28" s="1"/>
  <c r="L46" i="28" s="1"/>
  <c r="L45" i="28"/>
  <c r="I45" i="28"/>
  <c r="G45" i="28"/>
  <c r="F45" i="28"/>
  <c r="D45" i="28"/>
  <c r="U41" i="28"/>
  <c r="V41" i="28" s="1"/>
  <c r="W41" i="28" s="1"/>
  <c r="X41" i="28" s="1"/>
  <c r="D41" i="28"/>
  <c r="E41" i="28" s="1"/>
  <c r="F41" i="28" s="1"/>
  <c r="G41" i="28" s="1"/>
  <c r="U40" i="28"/>
  <c r="D40" i="28"/>
  <c r="E40" i="28" s="1"/>
  <c r="F40" i="28" s="1"/>
  <c r="G40" i="28" s="1"/>
  <c r="U39" i="28"/>
  <c r="V39" i="28" s="1"/>
  <c r="W39" i="28" s="1"/>
  <c r="X39" i="28" s="1"/>
  <c r="D39" i="28"/>
  <c r="T38" i="28"/>
  <c r="R38" i="28"/>
  <c r="Q38" i="28"/>
  <c r="C38" i="28"/>
  <c r="B38" i="28"/>
  <c r="A38" i="28"/>
  <c r="T37" i="28"/>
  <c r="R37" i="28"/>
  <c r="Q37" i="28"/>
  <c r="C37" i="28"/>
  <c r="B37" i="28"/>
  <c r="A37" i="28"/>
  <c r="M35" i="28"/>
  <c r="M34" i="28"/>
  <c r="M33" i="28"/>
  <c r="M32" i="28"/>
  <c r="R30" i="28"/>
  <c r="B30" i="28"/>
  <c r="V40" i="28" s="1"/>
  <c r="W40" i="28" s="1"/>
  <c r="X40" i="28" s="1"/>
  <c r="L26" i="28"/>
  <c r="G26" i="28"/>
  <c r="E26" i="28"/>
  <c r="F26" i="28" s="1"/>
  <c r="M16" i="28"/>
  <c r="H16" i="28"/>
  <c r="G16" i="28"/>
  <c r="F16" i="28"/>
  <c r="M12" i="28"/>
  <c r="H12" i="28"/>
  <c r="G12" i="28"/>
  <c r="J12" i="28" s="1"/>
  <c r="K12" i="28" s="1"/>
  <c r="N12" i="28" s="1"/>
  <c r="F12" i="28"/>
  <c r="M7" i="28"/>
  <c r="H7" i="28"/>
  <c r="G7" i="28"/>
  <c r="F7" i="28"/>
  <c r="M3" i="28"/>
  <c r="H3" i="28"/>
  <c r="G3" i="28"/>
  <c r="F3" i="28"/>
  <c r="X31" i="34"/>
  <c r="X28" i="34"/>
  <c r="M3" i="21"/>
  <c r="H3" i="21"/>
  <c r="G3" i="21"/>
  <c r="F3" i="21"/>
  <c r="F21" i="16"/>
  <c r="F22" i="16"/>
  <c r="E21" i="16"/>
  <c r="E22" i="16"/>
  <c r="C21" i="16"/>
  <c r="C22" i="16"/>
  <c r="T8" i="33"/>
  <c r="K8" i="33"/>
  <c r="I8" i="33"/>
  <c r="F8" i="33"/>
  <c r="N8" i="33" s="1"/>
  <c r="E8" i="33"/>
  <c r="L8" i="33" s="1"/>
  <c r="R3" i="10" l="1"/>
  <c r="U3" i="10" s="1"/>
  <c r="Y15" i="10" s="1"/>
  <c r="Y13" i="10"/>
  <c r="J3" i="62"/>
  <c r="K3" i="62" s="1"/>
  <c r="N3" i="62" s="1"/>
  <c r="AE13" i="4"/>
  <c r="AG15" i="4"/>
  <c r="Z9" i="39"/>
  <c r="X30" i="39"/>
  <c r="Y3" i="10"/>
  <c r="N14" i="59"/>
  <c r="N11" i="59"/>
  <c r="S11" i="59" s="1"/>
  <c r="T11" i="59" s="1"/>
  <c r="U11" i="59" s="1"/>
  <c r="J6" i="59"/>
  <c r="K6" i="59" s="1"/>
  <c r="N6" i="59" s="1"/>
  <c r="AA27" i="59" s="1"/>
  <c r="Z6" i="67"/>
  <c r="S6" i="67"/>
  <c r="T6" i="67" s="1"/>
  <c r="U6" i="67" s="1"/>
  <c r="V14" i="44"/>
  <c r="W14" i="44" s="1"/>
  <c r="Y20" i="44"/>
  <c r="U3" i="44"/>
  <c r="V6" i="44"/>
  <c r="Y30" i="44" s="1"/>
  <c r="Y18" i="67"/>
  <c r="S11" i="67"/>
  <c r="T11" i="67" s="1"/>
  <c r="U11" i="67" s="1"/>
  <c r="V11" i="67" s="1"/>
  <c r="W11" i="67" s="1"/>
  <c r="S3" i="67"/>
  <c r="T3" i="67" s="1"/>
  <c r="Y20" i="67" s="1"/>
  <c r="V14" i="67"/>
  <c r="W14" i="67" s="1"/>
  <c r="Q5" i="48"/>
  <c r="S3" i="68"/>
  <c r="T3" i="68" s="1"/>
  <c r="U3" i="68" s="1"/>
  <c r="V3" i="68" s="1"/>
  <c r="W3" i="68" s="1"/>
  <c r="U6" i="68"/>
  <c r="X23" i="68"/>
  <c r="S17" i="68"/>
  <c r="T17" i="68" s="1"/>
  <c r="U17" i="68" s="1"/>
  <c r="Z17" i="68"/>
  <c r="V14" i="68"/>
  <c r="W14" i="68"/>
  <c r="X30" i="68"/>
  <c r="S9" i="68"/>
  <c r="T9" i="68" s="1"/>
  <c r="Z9" i="68"/>
  <c r="Q3" i="10"/>
  <c r="V3" i="39"/>
  <c r="W3" i="39" s="1"/>
  <c r="X32" i="39"/>
  <c r="U9" i="39"/>
  <c r="Z17" i="39"/>
  <c r="S17" i="39"/>
  <c r="T17" i="39" s="1"/>
  <c r="U17" i="39" s="1"/>
  <c r="U6" i="39"/>
  <c r="X23" i="39"/>
  <c r="V14" i="39"/>
  <c r="W14" i="39" s="1"/>
  <c r="Q8" i="33"/>
  <c r="J8" i="33"/>
  <c r="M8" i="33"/>
  <c r="P8" i="33" s="1"/>
  <c r="N3" i="65"/>
  <c r="Z3" i="65" s="1"/>
  <c r="N14" i="65"/>
  <c r="S14" i="65" s="1"/>
  <c r="T14" i="65" s="1"/>
  <c r="U14" i="65" s="1"/>
  <c r="J9" i="65"/>
  <c r="K9" i="65" s="1"/>
  <c r="N9" i="65" s="1"/>
  <c r="Y30" i="65" s="1"/>
  <c r="J17" i="65"/>
  <c r="K17" i="65" s="1"/>
  <c r="N17" i="65" s="1"/>
  <c r="S6" i="65"/>
  <c r="T6" i="65" s="1"/>
  <c r="Y21" i="65"/>
  <c r="Z6" i="65"/>
  <c r="G51" i="2"/>
  <c r="I51" i="2" s="1"/>
  <c r="L51" i="2" s="1"/>
  <c r="O12" i="2" s="1"/>
  <c r="J12" i="2"/>
  <c r="J3" i="14"/>
  <c r="K3" i="14" s="1"/>
  <c r="N3" i="14" s="1"/>
  <c r="S3" i="14" s="1"/>
  <c r="T3" i="14" s="1"/>
  <c r="U3" i="14" s="1"/>
  <c r="J6" i="64"/>
  <c r="K6" i="64" s="1"/>
  <c r="N6" i="64" s="1"/>
  <c r="J14" i="64"/>
  <c r="K14" i="64" s="1"/>
  <c r="N14" i="64" s="1"/>
  <c r="J3" i="64"/>
  <c r="K3" i="64" s="1"/>
  <c r="N3" i="64" s="1"/>
  <c r="J9" i="64"/>
  <c r="K9" i="64" s="1"/>
  <c r="N9" i="64" s="1"/>
  <c r="Z17" i="64"/>
  <c r="S17" i="64"/>
  <c r="T17" i="64" s="1"/>
  <c r="U17" i="64" s="1"/>
  <c r="S14" i="64"/>
  <c r="T14" i="64" s="1"/>
  <c r="U14" i="64" s="1"/>
  <c r="Z14" i="64"/>
  <c r="N3" i="63"/>
  <c r="J6" i="63"/>
  <c r="K6" i="63" s="1"/>
  <c r="N6" i="63" s="1"/>
  <c r="Y21" i="63" s="1"/>
  <c r="J3" i="46"/>
  <c r="K3" i="46" s="1"/>
  <c r="N3" i="46" s="1"/>
  <c r="Q3" i="46" s="1"/>
  <c r="R3" i="46" s="1"/>
  <c r="U3" i="46" s="1"/>
  <c r="J6" i="62"/>
  <c r="K6" i="62" s="1"/>
  <c r="N6" i="62" s="1"/>
  <c r="Z6" i="62" s="1"/>
  <c r="J9" i="62"/>
  <c r="K9" i="62" s="1"/>
  <c r="N9" i="62" s="1"/>
  <c r="Y30" i="62" s="1"/>
  <c r="J16" i="28"/>
  <c r="K16" i="28" s="1"/>
  <c r="N16" i="28" s="1"/>
  <c r="U38" i="28"/>
  <c r="V38" i="28" s="1"/>
  <c r="W38" i="28" s="1"/>
  <c r="X38" i="28" s="1"/>
  <c r="O16" i="28" s="1"/>
  <c r="P16" i="28" s="1"/>
  <c r="S16" i="28" s="1"/>
  <c r="T16" i="28" s="1"/>
  <c r="W16" i="28" s="1"/>
  <c r="U37" i="28"/>
  <c r="V37" i="28" s="1"/>
  <c r="W37" i="28" s="1"/>
  <c r="X37" i="28" s="1"/>
  <c r="O12" i="28" s="1"/>
  <c r="P12" i="28" s="1"/>
  <c r="S12" i="28" s="1"/>
  <c r="T12" i="28" s="1"/>
  <c r="W12" i="28" s="1"/>
  <c r="J7" i="28"/>
  <c r="K7" i="28" s="1"/>
  <c r="N7" i="28" s="1"/>
  <c r="AA7" i="28" s="1"/>
  <c r="D38" i="28"/>
  <c r="E38" i="28" s="1"/>
  <c r="F38" i="28" s="1"/>
  <c r="G38" i="28" s="1"/>
  <c r="O7" i="28" s="1"/>
  <c r="D37" i="28"/>
  <c r="E37" i="28" s="1"/>
  <c r="F37" i="28" s="1"/>
  <c r="G37" i="28" s="1"/>
  <c r="O3" i="28" s="1"/>
  <c r="P3" i="28" s="1"/>
  <c r="S3" i="28" s="1"/>
  <c r="T3" i="28" s="1"/>
  <c r="W3" i="28" s="1"/>
  <c r="J3" i="28"/>
  <c r="K3" i="28" s="1"/>
  <c r="N3" i="28" s="1"/>
  <c r="AA3" i="28" s="1"/>
  <c r="N3" i="61"/>
  <c r="S3" i="61" s="1"/>
  <c r="T3" i="61" s="1"/>
  <c r="U3" i="61" s="1"/>
  <c r="J3" i="36"/>
  <c r="K3" i="36" s="1"/>
  <c r="N3" i="36" s="1"/>
  <c r="Z3" i="36" s="1"/>
  <c r="N13" i="36"/>
  <c r="Z13" i="36" s="1"/>
  <c r="J12" i="19"/>
  <c r="K12" i="19" s="1"/>
  <c r="N12" i="19" s="1"/>
  <c r="AA12" i="19" s="1"/>
  <c r="U33" i="19"/>
  <c r="V33" i="19" s="1"/>
  <c r="W33" i="19" s="1"/>
  <c r="X33" i="19" s="1"/>
  <c r="O16" i="19" s="1"/>
  <c r="J16" i="19"/>
  <c r="K16" i="19" s="1"/>
  <c r="N16" i="19" s="1"/>
  <c r="U32" i="19"/>
  <c r="V32" i="19" s="1"/>
  <c r="W32" i="19" s="1"/>
  <c r="X32" i="19" s="1"/>
  <c r="O12" i="19" s="1"/>
  <c r="V34" i="19"/>
  <c r="W34" i="19" s="1"/>
  <c r="X34" i="19" s="1"/>
  <c r="E35" i="19"/>
  <c r="F35" i="19" s="1"/>
  <c r="G35" i="19" s="1"/>
  <c r="E36" i="19"/>
  <c r="F36" i="19" s="1"/>
  <c r="G36" i="19" s="1"/>
  <c r="V36" i="19"/>
  <c r="W36" i="19" s="1"/>
  <c r="X36" i="19" s="1"/>
  <c r="P16" i="19"/>
  <c r="S16" i="19" s="1"/>
  <c r="T16" i="19" s="1"/>
  <c r="W16" i="19" s="1"/>
  <c r="AA16" i="19"/>
  <c r="I21" i="19"/>
  <c r="J21" i="19" s="1"/>
  <c r="M21" i="19" s="1"/>
  <c r="AA7" i="19"/>
  <c r="P7" i="19"/>
  <c r="S7" i="19" s="1"/>
  <c r="T7" i="19" s="1"/>
  <c r="W7" i="19" s="1"/>
  <c r="P3" i="19"/>
  <c r="S3" i="19" s="1"/>
  <c r="T3" i="19" s="1"/>
  <c r="W3" i="19" s="1"/>
  <c r="AA3" i="19"/>
  <c r="Y30" i="63"/>
  <c r="S9" i="63"/>
  <c r="T9" i="63" s="1"/>
  <c r="Z9" i="63"/>
  <c r="S14" i="63"/>
  <c r="T14" i="63" s="1"/>
  <c r="U14" i="63" s="1"/>
  <c r="Z14" i="63"/>
  <c r="S3" i="63"/>
  <c r="T3" i="63" s="1"/>
  <c r="U3" i="63" s="1"/>
  <c r="Z3" i="63"/>
  <c r="Z17" i="63"/>
  <c r="S17" i="63"/>
  <c r="T17" i="63" s="1"/>
  <c r="U17" i="63" s="1"/>
  <c r="J3" i="18"/>
  <c r="K3" i="18" s="1"/>
  <c r="N3" i="18" s="1"/>
  <c r="Z14" i="62"/>
  <c r="S14" i="62"/>
  <c r="T14" i="62" s="1"/>
  <c r="U14" i="62" s="1"/>
  <c r="Z17" i="62"/>
  <c r="S17" i="62"/>
  <c r="T17" i="62" s="1"/>
  <c r="U17" i="62" s="1"/>
  <c r="Z3" i="62"/>
  <c r="S3" i="62"/>
  <c r="T3" i="62" s="1"/>
  <c r="U3" i="62" s="1"/>
  <c r="Z9" i="62"/>
  <c r="S9" i="62"/>
  <c r="J3" i="7"/>
  <c r="K3" i="7" s="1"/>
  <c r="N3" i="7" s="1"/>
  <c r="J3" i="4"/>
  <c r="K3" i="4" s="1"/>
  <c r="N3" i="4" s="1"/>
  <c r="Y3" i="4" s="1"/>
  <c r="J11" i="61"/>
  <c r="K11" i="61" s="1"/>
  <c r="N11" i="61" s="1"/>
  <c r="Z11" i="61" s="1"/>
  <c r="J6" i="61"/>
  <c r="K6" i="61" s="1"/>
  <c r="N6" i="61" s="1"/>
  <c r="S6" i="61" s="1"/>
  <c r="T6" i="61" s="1"/>
  <c r="U6" i="61" s="1"/>
  <c r="Z14" i="61"/>
  <c r="S14" i="61"/>
  <c r="T14" i="61" s="1"/>
  <c r="U14" i="61" s="1"/>
  <c r="J3" i="59"/>
  <c r="K3" i="59" s="1"/>
  <c r="N3" i="59" s="1"/>
  <c r="Z14" i="59"/>
  <c r="S14" i="59"/>
  <c r="T14" i="59" s="1"/>
  <c r="U14" i="59" s="1"/>
  <c r="J22" i="16"/>
  <c r="J21" i="16"/>
  <c r="J3" i="58"/>
  <c r="K3" i="58" s="1"/>
  <c r="N3" i="58" s="1"/>
  <c r="J14" i="58"/>
  <c r="K14" i="58" s="1"/>
  <c r="N14" i="58" s="1"/>
  <c r="S14" i="58" s="1"/>
  <c r="T14" i="58" s="1"/>
  <c r="U14" i="58" s="1"/>
  <c r="J9" i="58"/>
  <c r="K9" i="58" s="1"/>
  <c r="N9" i="58" s="1"/>
  <c r="J6" i="58"/>
  <c r="K6" i="58" s="1"/>
  <c r="N6" i="58" s="1"/>
  <c r="J17" i="58"/>
  <c r="K17" i="58" s="1"/>
  <c r="N17" i="58" s="1"/>
  <c r="I26" i="28"/>
  <c r="J26" i="28" s="1"/>
  <c r="M26" i="28" s="1"/>
  <c r="AA16" i="28"/>
  <c r="AA12" i="28"/>
  <c r="E39" i="28"/>
  <c r="F39" i="28" s="1"/>
  <c r="G39" i="28" s="1"/>
  <c r="J3" i="21"/>
  <c r="K3" i="21" s="1"/>
  <c r="N3" i="21" s="1"/>
  <c r="S3" i="21" s="1"/>
  <c r="T3" i="21" s="1"/>
  <c r="U3" i="21" s="1"/>
  <c r="V3" i="10" l="1"/>
  <c r="W3" i="10" s="1"/>
  <c r="Y18" i="10" s="1"/>
  <c r="Y16" i="10"/>
  <c r="S6" i="58"/>
  <c r="T6" i="58" s="1"/>
  <c r="U6" i="58" s="1"/>
  <c r="V6" i="58" s="1"/>
  <c r="Y21" i="58"/>
  <c r="Z9" i="58"/>
  <c r="Y30" i="58"/>
  <c r="Z3" i="58"/>
  <c r="AD21" i="58"/>
  <c r="Z3" i="18"/>
  <c r="AD25" i="18"/>
  <c r="Z3" i="64"/>
  <c r="AD21" i="64"/>
  <c r="Z11" i="59"/>
  <c r="S6" i="59"/>
  <c r="T6" i="59" s="1"/>
  <c r="S3" i="59"/>
  <c r="T3" i="59" s="1"/>
  <c r="AA18" i="59"/>
  <c r="Z6" i="59"/>
  <c r="U6" i="59"/>
  <c r="V6" i="59" s="1"/>
  <c r="AA30" i="59" s="1"/>
  <c r="AA29" i="59"/>
  <c r="Y29" i="67"/>
  <c r="V3" i="44"/>
  <c r="Y21" i="44" s="1"/>
  <c r="W3" i="44"/>
  <c r="Y23" i="44" s="1"/>
  <c r="W6" i="44"/>
  <c r="Y32" i="44" s="1"/>
  <c r="U3" i="67"/>
  <c r="V3" i="67" s="1"/>
  <c r="Y21" i="67" s="1"/>
  <c r="V6" i="67"/>
  <c r="Y30" i="67" s="1"/>
  <c r="U9" i="68"/>
  <c r="X32" i="68"/>
  <c r="W17" i="68"/>
  <c r="V17" i="68"/>
  <c r="V6" i="68"/>
  <c r="X24" i="68" s="1"/>
  <c r="V6" i="39"/>
  <c r="X24" i="39" s="1"/>
  <c r="V17" i="39"/>
  <c r="W17" i="39" s="1"/>
  <c r="V9" i="39"/>
  <c r="X33" i="39" s="1"/>
  <c r="Z6" i="58"/>
  <c r="R8" i="33"/>
  <c r="U8" i="33" s="1"/>
  <c r="AG8" i="33" s="1"/>
  <c r="V8" i="33" s="1"/>
  <c r="Y8" i="33" s="1"/>
  <c r="AB8" i="33" s="1"/>
  <c r="Z3" i="7"/>
  <c r="AD21" i="7"/>
  <c r="AD21" i="65"/>
  <c r="S3" i="65"/>
  <c r="T3" i="65" s="1"/>
  <c r="AD23" i="65" s="1"/>
  <c r="Z14" i="65"/>
  <c r="S9" i="65"/>
  <c r="T9" i="65" s="1"/>
  <c r="U9" i="65" s="1"/>
  <c r="Z9" i="65"/>
  <c r="V14" i="65"/>
  <c r="W14" i="65" s="1"/>
  <c r="U6" i="65"/>
  <c r="Y23" i="65"/>
  <c r="Z17" i="65"/>
  <c r="S17" i="65"/>
  <c r="T17" i="65" s="1"/>
  <c r="U17" i="65" s="1"/>
  <c r="K12" i="2"/>
  <c r="N12" i="2" s="1"/>
  <c r="P12" i="2" s="1"/>
  <c r="Z3" i="14"/>
  <c r="V3" i="14"/>
  <c r="W3" i="14" s="1"/>
  <c r="Z6" i="64"/>
  <c r="Y21" i="64"/>
  <c r="S6" i="64"/>
  <c r="T6" i="64" s="1"/>
  <c r="U6" i="64" s="1"/>
  <c r="S3" i="64"/>
  <c r="T3" i="64" s="1"/>
  <c r="V14" i="64"/>
  <c r="W14" i="64" s="1"/>
  <c r="Y30" i="64"/>
  <c r="Z9" i="64"/>
  <c r="S9" i="64"/>
  <c r="T9" i="64" s="1"/>
  <c r="V17" i="64"/>
  <c r="W17" i="64" s="1"/>
  <c r="S6" i="63"/>
  <c r="T6" i="63" s="1"/>
  <c r="Y23" i="63" s="1"/>
  <c r="Z6" i="63"/>
  <c r="Y3" i="46"/>
  <c r="V3" i="46"/>
  <c r="W3" i="46" s="1"/>
  <c r="S6" i="62"/>
  <c r="T6" i="62" s="1"/>
  <c r="U6" i="62" s="1"/>
  <c r="Y21" i="62"/>
  <c r="T9" i="62"/>
  <c r="U9" i="62" s="1"/>
  <c r="Y32" i="62"/>
  <c r="P7" i="28"/>
  <c r="S7" i="28" s="1"/>
  <c r="T7" i="28" s="1"/>
  <c r="W7" i="28" s="1"/>
  <c r="X7" i="28" s="1"/>
  <c r="Y7" i="28" s="1"/>
  <c r="Z3" i="61"/>
  <c r="S3" i="36"/>
  <c r="T3" i="36" s="1"/>
  <c r="U3" i="36" s="1"/>
  <c r="V3" i="36" s="1"/>
  <c r="W3" i="36" s="1"/>
  <c r="S13" i="36"/>
  <c r="T13" i="36" s="1"/>
  <c r="U13" i="36" s="1"/>
  <c r="P12" i="19"/>
  <c r="S12" i="19" s="1"/>
  <c r="T12" i="19" s="1"/>
  <c r="W12" i="19" s="1"/>
  <c r="X12" i="19" s="1"/>
  <c r="Y12" i="19" s="1"/>
  <c r="X3" i="19"/>
  <c r="Y3" i="19" s="1"/>
  <c r="X7" i="19"/>
  <c r="Y7" i="19" s="1"/>
  <c r="R21" i="19"/>
  <c r="V21" i="19" s="1"/>
  <c r="Z21" i="19"/>
  <c r="X16" i="19"/>
  <c r="Y16" i="19"/>
  <c r="V17" i="63"/>
  <c r="W17" i="63" s="1"/>
  <c r="V3" i="63"/>
  <c r="W3" i="63" s="1"/>
  <c r="V14" i="63"/>
  <c r="W14" i="63" s="1"/>
  <c r="Y32" i="63"/>
  <c r="U9" i="63"/>
  <c r="S3" i="18"/>
  <c r="V3" i="62"/>
  <c r="W3" i="62" s="1"/>
  <c r="V17" i="62"/>
  <c r="W17" i="62" s="1"/>
  <c r="V14" i="62"/>
  <c r="W14" i="62" s="1"/>
  <c r="S3" i="7"/>
  <c r="T3" i="7" s="1"/>
  <c r="Q3" i="4"/>
  <c r="R3" i="4" s="1"/>
  <c r="U3" i="4" s="1"/>
  <c r="V3" i="4" s="1"/>
  <c r="W3" i="4" s="1"/>
  <c r="S11" i="61"/>
  <c r="T11" i="61" s="1"/>
  <c r="U11" i="61" s="1"/>
  <c r="V11" i="61" s="1"/>
  <c r="W11" i="61" s="1"/>
  <c r="Z6" i="61"/>
  <c r="V3" i="61"/>
  <c r="W3" i="61" s="1"/>
  <c r="V14" i="61"/>
  <c r="W14" i="61" s="1"/>
  <c r="V6" i="61"/>
  <c r="W6" i="61" s="1"/>
  <c r="Z3" i="59"/>
  <c r="V11" i="59"/>
  <c r="W11" i="59" s="1"/>
  <c r="V14" i="59"/>
  <c r="W14" i="59" s="1"/>
  <c r="L22" i="16"/>
  <c r="M22" i="16" s="1"/>
  <c r="O22" i="16" s="1"/>
  <c r="L21" i="16"/>
  <c r="M21" i="16" s="1"/>
  <c r="O21" i="16" s="1"/>
  <c r="S3" i="58"/>
  <c r="T3" i="58" s="1"/>
  <c r="Z14" i="58"/>
  <c r="S9" i="58"/>
  <c r="T9" i="58" s="1"/>
  <c r="Z17" i="58"/>
  <c r="S17" i="58"/>
  <c r="T17" i="58" s="1"/>
  <c r="U17" i="58" s="1"/>
  <c r="V14" i="58"/>
  <c r="W14" i="58" s="1"/>
  <c r="X12" i="28"/>
  <c r="Y12" i="28" s="1"/>
  <c r="R26" i="28"/>
  <c r="V26" i="28" s="1"/>
  <c r="Z26" i="28"/>
  <c r="X16" i="28"/>
  <c r="Y16" i="28" s="1"/>
  <c r="X3" i="28"/>
  <c r="Y3" i="28" s="1"/>
  <c r="Z3" i="21"/>
  <c r="V3" i="21"/>
  <c r="W3" i="21" s="1"/>
  <c r="Y23" i="58" l="1"/>
  <c r="U9" i="58"/>
  <c r="V9" i="58" s="1"/>
  <c r="Y32" i="58"/>
  <c r="U3" i="58"/>
  <c r="V3" i="58" s="1"/>
  <c r="AD23" i="58"/>
  <c r="T3" i="18"/>
  <c r="U3" i="18" s="1"/>
  <c r="V3" i="18" s="1"/>
  <c r="W3" i="18" s="1"/>
  <c r="AD30" i="18" s="1"/>
  <c r="AD27" i="18"/>
  <c r="W6" i="58"/>
  <c r="Y26" i="58" s="1"/>
  <c r="Y24" i="58"/>
  <c r="U3" i="64"/>
  <c r="V3" i="64" s="1"/>
  <c r="AD23" i="64"/>
  <c r="S12" i="2"/>
  <c r="V12" i="2" s="1"/>
  <c r="W12" i="2" s="1"/>
  <c r="X12" i="2" s="1"/>
  <c r="Z12" i="2"/>
  <c r="U3" i="59"/>
  <c r="V3" i="59" s="1"/>
  <c r="AA20" i="59"/>
  <c r="W6" i="59"/>
  <c r="AA32" i="59" s="1"/>
  <c r="W6" i="67"/>
  <c r="Y32" i="67" s="1"/>
  <c r="W3" i="67"/>
  <c r="Y23" i="67" s="1"/>
  <c r="W6" i="68"/>
  <c r="X26" i="68" s="1"/>
  <c r="V9" i="68"/>
  <c r="X33" i="68" s="1"/>
  <c r="W6" i="39"/>
  <c r="X26" i="39" s="1"/>
  <c r="W9" i="39"/>
  <c r="X35" i="39" s="1"/>
  <c r="AF8" i="33"/>
  <c r="U3" i="65"/>
  <c r="V3" i="65" s="1"/>
  <c r="AD24" i="65" s="1"/>
  <c r="Y32" i="65"/>
  <c r="V9" i="65"/>
  <c r="Y33" i="65" s="1"/>
  <c r="V17" i="65"/>
  <c r="W17" i="65" s="1"/>
  <c r="V6" i="65"/>
  <c r="Y24" i="65" s="1"/>
  <c r="U3" i="7"/>
  <c r="V3" i="7" s="1"/>
  <c r="AD23" i="7"/>
  <c r="Y23" i="64"/>
  <c r="V6" i="64"/>
  <c r="Y24" i="64" s="1"/>
  <c r="Y32" i="64"/>
  <c r="U9" i="64"/>
  <c r="U6" i="63"/>
  <c r="V6" i="63" s="1"/>
  <c r="Y24" i="63" s="1"/>
  <c r="Y23" i="62"/>
  <c r="V13" i="36"/>
  <c r="W13" i="36" s="1"/>
  <c r="W21" i="19"/>
  <c r="X21" i="19" s="1"/>
  <c r="V9" i="63"/>
  <c r="Y33" i="63" s="1"/>
  <c r="V9" i="62"/>
  <c r="Y33" i="62" s="1"/>
  <c r="V6" i="62"/>
  <c r="Y24" i="62" s="1"/>
  <c r="N22" i="16"/>
  <c r="N21" i="16"/>
  <c r="V17" i="58"/>
  <c r="W17" i="58" s="1"/>
  <c r="W26" i="28"/>
  <c r="X26" i="28" s="1"/>
  <c r="AC8" i="33"/>
  <c r="AD8" i="33" s="1"/>
  <c r="W9" i="58" l="1"/>
  <c r="Y35" i="58" s="1"/>
  <c r="Y33" i="58"/>
  <c r="W3" i="58"/>
  <c r="AD26" i="58" s="1"/>
  <c r="AD24" i="58"/>
  <c r="AD28" i="18"/>
  <c r="W3" i="64"/>
  <c r="AD26" i="64" s="1"/>
  <c r="AD24" i="64"/>
  <c r="W3" i="59"/>
  <c r="AA23" i="59" s="1"/>
  <c r="AA21" i="59"/>
  <c r="W9" i="68"/>
  <c r="X35" i="68" s="1"/>
  <c r="W3" i="65"/>
  <c r="AD26" i="65" s="1"/>
  <c r="W9" i="65"/>
  <c r="Y35" i="65" s="1"/>
  <c r="W6" i="65"/>
  <c r="Y26" i="65" s="1"/>
  <c r="W3" i="7"/>
  <c r="AD26" i="7" s="1"/>
  <c r="AD24" i="7"/>
  <c r="V9" i="64"/>
  <c r="Y33" i="64" s="1"/>
  <c r="W6" i="64"/>
  <c r="Y26" i="64" s="1"/>
  <c r="W9" i="63"/>
  <c r="Y35" i="63" s="1"/>
  <c r="W6" i="63"/>
  <c r="Y26" i="63" s="1"/>
  <c r="W6" i="62"/>
  <c r="Y26" i="62" s="1"/>
  <c r="W9" i="62"/>
  <c r="Y35" i="62" s="1"/>
  <c r="Q27" i="8"/>
  <c r="Q26" i="8"/>
  <c r="Q25" i="8"/>
  <c r="Q24" i="8"/>
  <c r="Q23" i="8"/>
  <c r="F49" i="57"/>
  <c r="G49" i="57" s="1"/>
  <c r="I49" i="57" s="1"/>
  <c r="L49" i="57" s="1"/>
  <c r="D49" i="57"/>
  <c r="D48" i="57"/>
  <c r="F48" i="57" s="1"/>
  <c r="G48" i="57" s="1"/>
  <c r="I48" i="57" s="1"/>
  <c r="L48" i="57" s="1"/>
  <c r="F47" i="57"/>
  <c r="G47" i="57" s="1"/>
  <c r="I47" i="57" s="1"/>
  <c r="L47" i="57" s="1"/>
  <c r="D47" i="57"/>
  <c r="D46" i="57"/>
  <c r="F46" i="57" s="1"/>
  <c r="G46" i="57" s="1"/>
  <c r="I46" i="57" s="1"/>
  <c r="L46" i="57" s="1"/>
  <c r="F45" i="57"/>
  <c r="G45" i="57" s="1"/>
  <c r="I45" i="57" s="1"/>
  <c r="L45" i="57" s="1"/>
  <c r="D45" i="57"/>
  <c r="U41" i="57"/>
  <c r="D41" i="57"/>
  <c r="U40" i="57"/>
  <c r="D40" i="57"/>
  <c r="U39" i="57"/>
  <c r="D39" i="57"/>
  <c r="T38" i="57"/>
  <c r="R38" i="57"/>
  <c r="Q38" i="57"/>
  <c r="D38" i="57"/>
  <c r="E38" i="57" s="1"/>
  <c r="F38" i="57" s="1"/>
  <c r="G38" i="57" s="1"/>
  <c r="O7" i="57" s="1"/>
  <c r="C38" i="57"/>
  <c r="B38" i="57"/>
  <c r="A38" i="57"/>
  <c r="T37" i="57"/>
  <c r="U37" i="57" s="1"/>
  <c r="V37" i="57" s="1"/>
  <c r="W37" i="57" s="1"/>
  <c r="X37" i="57" s="1"/>
  <c r="O12" i="57" s="1"/>
  <c r="R37" i="57"/>
  <c r="Q37" i="57"/>
  <c r="C37" i="57"/>
  <c r="B37" i="57"/>
  <c r="A37" i="57"/>
  <c r="M35" i="57"/>
  <c r="M34" i="57"/>
  <c r="M33" i="57"/>
  <c r="M32" i="57"/>
  <c r="R30" i="57"/>
  <c r="B30" i="57"/>
  <c r="V39" i="57" s="1"/>
  <c r="W39" i="57" s="1"/>
  <c r="X39" i="57" s="1"/>
  <c r="L26" i="57"/>
  <c r="G26" i="57"/>
  <c r="E26" i="57"/>
  <c r="F26" i="57" s="1"/>
  <c r="M16" i="57"/>
  <c r="H16" i="57"/>
  <c r="G16" i="57"/>
  <c r="F16" i="57"/>
  <c r="M12" i="57"/>
  <c r="H12" i="57"/>
  <c r="J12" i="57" s="1"/>
  <c r="K12" i="57" s="1"/>
  <c r="N12" i="57" s="1"/>
  <c r="G12" i="57"/>
  <c r="F12" i="57"/>
  <c r="M7" i="57"/>
  <c r="H7" i="57"/>
  <c r="J7" i="57" s="1"/>
  <c r="K7" i="57" s="1"/>
  <c r="N7" i="57" s="1"/>
  <c r="G7" i="57"/>
  <c r="F7" i="57"/>
  <c r="M3" i="57"/>
  <c r="H3" i="57"/>
  <c r="G3" i="57"/>
  <c r="F3" i="57"/>
  <c r="AC21" i="34"/>
  <c r="AC18" i="34"/>
  <c r="AC20" i="34"/>
  <c r="AC19" i="34"/>
  <c r="M12" i="15"/>
  <c r="H12" i="15"/>
  <c r="G12" i="15"/>
  <c r="F12" i="15"/>
  <c r="M3" i="15"/>
  <c r="H3" i="15"/>
  <c r="G3" i="15"/>
  <c r="F3" i="15"/>
  <c r="M19" i="36"/>
  <c r="H19" i="36"/>
  <c r="F19" i="36"/>
  <c r="G19" i="36" s="1"/>
  <c r="J19" i="36" s="1"/>
  <c r="K19" i="36" s="1"/>
  <c r="N19" i="36" s="1"/>
  <c r="M16" i="36"/>
  <c r="H16" i="36"/>
  <c r="G16" i="36"/>
  <c r="F16" i="36"/>
  <c r="M9" i="36"/>
  <c r="H9" i="36"/>
  <c r="F9" i="36"/>
  <c r="G9" i="36" s="1"/>
  <c r="M6" i="36"/>
  <c r="H6" i="36"/>
  <c r="G6" i="36"/>
  <c r="F6" i="36"/>
  <c r="M16" i="56"/>
  <c r="H16" i="56"/>
  <c r="F16" i="56"/>
  <c r="G16" i="56" s="1"/>
  <c r="M13" i="56"/>
  <c r="H13" i="56"/>
  <c r="J13" i="56" s="1"/>
  <c r="K13" i="56" s="1"/>
  <c r="G13" i="56"/>
  <c r="F13" i="56"/>
  <c r="M9" i="56"/>
  <c r="H9" i="56"/>
  <c r="F9" i="56"/>
  <c r="G9" i="56" s="1"/>
  <c r="M6" i="56"/>
  <c r="H6" i="56"/>
  <c r="G6" i="56"/>
  <c r="F6" i="56"/>
  <c r="V38" i="1"/>
  <c r="V37" i="1"/>
  <c r="V36" i="1"/>
  <c r="M6" i="29"/>
  <c r="H6" i="29"/>
  <c r="G6" i="29"/>
  <c r="F6" i="29"/>
  <c r="M3" i="29"/>
  <c r="H3" i="29"/>
  <c r="G3" i="29"/>
  <c r="F3" i="29"/>
  <c r="F9" i="29"/>
  <c r="G9" i="29"/>
  <c r="H9" i="29"/>
  <c r="M9" i="29"/>
  <c r="M20" i="29"/>
  <c r="H20" i="29"/>
  <c r="F20" i="29"/>
  <c r="G20" i="29" s="1"/>
  <c r="M17" i="29"/>
  <c r="H17" i="29"/>
  <c r="G17" i="29"/>
  <c r="F17" i="29"/>
  <c r="M12" i="29"/>
  <c r="H12" i="29"/>
  <c r="F12" i="29"/>
  <c r="G12" i="29" s="1"/>
  <c r="I31" i="14"/>
  <c r="C31" i="14" s="1"/>
  <c r="F31" i="14" s="1"/>
  <c r="G31" i="14" s="1"/>
  <c r="F35" i="14"/>
  <c r="X17" i="49"/>
  <c r="F15" i="49" s="1"/>
  <c r="I15" i="49" s="1"/>
  <c r="I19" i="49"/>
  <c r="E45" i="19"/>
  <c r="G45" i="19" s="1"/>
  <c r="H45" i="19" s="1"/>
  <c r="J45" i="19" s="1"/>
  <c r="M45" i="19" s="1"/>
  <c r="E44" i="19"/>
  <c r="G44" i="19" s="1"/>
  <c r="H44" i="19" s="1"/>
  <c r="J44" i="19" s="1"/>
  <c r="M44" i="19" s="1"/>
  <c r="E43" i="19"/>
  <c r="G43" i="19" s="1"/>
  <c r="H43" i="19" s="1"/>
  <c r="J43" i="19" s="1"/>
  <c r="M43" i="19" s="1"/>
  <c r="E42" i="19"/>
  <c r="G42" i="19" s="1"/>
  <c r="H42" i="19" s="1"/>
  <c r="J42" i="19" s="1"/>
  <c r="M42" i="19" s="1"/>
  <c r="E41" i="19"/>
  <c r="G41" i="19" s="1"/>
  <c r="H41" i="19" s="1"/>
  <c r="J41" i="19" s="1"/>
  <c r="M41" i="19" s="1"/>
  <c r="D49" i="51"/>
  <c r="F49" i="51" s="1"/>
  <c r="G49" i="51" s="1"/>
  <c r="I49" i="51" s="1"/>
  <c r="L49" i="51" s="1"/>
  <c r="G48" i="51"/>
  <c r="I48" i="51" s="1"/>
  <c r="L48" i="51" s="1"/>
  <c r="F48" i="51"/>
  <c r="D48" i="51"/>
  <c r="F47" i="51"/>
  <c r="G47" i="51" s="1"/>
  <c r="I47" i="51" s="1"/>
  <c r="L47" i="51" s="1"/>
  <c r="D47" i="51"/>
  <c r="D46" i="51"/>
  <c r="F46" i="51" s="1"/>
  <c r="G46" i="51" s="1"/>
  <c r="I46" i="51" s="1"/>
  <c r="L46" i="51" s="1"/>
  <c r="G45" i="51"/>
  <c r="I45" i="51" s="1"/>
  <c r="L45" i="51" s="1"/>
  <c r="F45" i="51"/>
  <c r="D45" i="51"/>
  <c r="U41" i="51"/>
  <c r="D41" i="51"/>
  <c r="U40" i="51"/>
  <c r="D40" i="51"/>
  <c r="U39" i="51"/>
  <c r="D39" i="51"/>
  <c r="T38" i="51"/>
  <c r="R38" i="51"/>
  <c r="U38" i="51" s="1"/>
  <c r="V38" i="51" s="1"/>
  <c r="W38" i="51" s="1"/>
  <c r="X38" i="51" s="1"/>
  <c r="O16" i="51" s="1"/>
  <c r="Q38" i="51"/>
  <c r="C38" i="51"/>
  <c r="B38" i="51"/>
  <c r="A38" i="51"/>
  <c r="D38" i="51" s="1"/>
  <c r="E38" i="51" s="1"/>
  <c r="F38" i="51" s="1"/>
  <c r="G38" i="51" s="1"/>
  <c r="O7" i="51" s="1"/>
  <c r="T37" i="51"/>
  <c r="R37" i="51"/>
  <c r="Q37" i="51"/>
  <c r="C37" i="51"/>
  <c r="B37" i="51"/>
  <c r="D37" i="51" s="1"/>
  <c r="E37" i="51" s="1"/>
  <c r="F37" i="51" s="1"/>
  <c r="G37" i="51" s="1"/>
  <c r="O3" i="51" s="1"/>
  <c r="A37" i="51"/>
  <c r="M35" i="51"/>
  <c r="M34" i="51"/>
  <c r="M33" i="51"/>
  <c r="M32" i="51"/>
  <c r="R30" i="51"/>
  <c r="B30" i="51"/>
  <c r="V40" i="51" s="1"/>
  <c r="W40" i="51" s="1"/>
  <c r="X40" i="51" s="1"/>
  <c r="L26" i="51"/>
  <c r="G26" i="51"/>
  <c r="E26" i="51"/>
  <c r="F26" i="51" s="1"/>
  <c r="I26" i="51" s="1"/>
  <c r="J26" i="51" s="1"/>
  <c r="M26" i="51" s="1"/>
  <c r="M16" i="51"/>
  <c r="H16" i="51"/>
  <c r="J16" i="51" s="1"/>
  <c r="K16" i="51" s="1"/>
  <c r="N16" i="51" s="1"/>
  <c r="G16" i="51"/>
  <c r="F16" i="51"/>
  <c r="M12" i="51"/>
  <c r="H12" i="51"/>
  <c r="G12" i="51"/>
  <c r="F12" i="51"/>
  <c r="M7" i="51"/>
  <c r="H7" i="51"/>
  <c r="J7" i="51" s="1"/>
  <c r="K7" i="51" s="1"/>
  <c r="N7" i="51" s="1"/>
  <c r="G7" i="51"/>
  <c r="F7" i="51"/>
  <c r="M3" i="51"/>
  <c r="H3" i="51"/>
  <c r="G3" i="51"/>
  <c r="J3" i="51" s="1"/>
  <c r="K3" i="51" s="1"/>
  <c r="N3" i="51" s="1"/>
  <c r="F3" i="51"/>
  <c r="M3" i="49"/>
  <c r="H3" i="49"/>
  <c r="G3" i="49"/>
  <c r="F3" i="49"/>
  <c r="T14" i="34"/>
  <c r="L14" i="34"/>
  <c r="J14" i="34"/>
  <c r="G14" i="34"/>
  <c r="O14" i="34" s="1"/>
  <c r="F14" i="34"/>
  <c r="M14" i="34" s="1"/>
  <c r="M6" i="35"/>
  <c r="H6" i="35"/>
  <c r="F6" i="35"/>
  <c r="G6" i="35" s="1"/>
  <c r="M3" i="35"/>
  <c r="H3" i="35"/>
  <c r="G3" i="35"/>
  <c r="F3" i="35"/>
  <c r="M10" i="46"/>
  <c r="H10" i="46"/>
  <c r="F10" i="46"/>
  <c r="G10" i="46" s="1"/>
  <c r="J10" i="46" s="1"/>
  <c r="K10" i="46" s="1"/>
  <c r="N10" i="46" s="1"/>
  <c r="M6" i="46"/>
  <c r="H6" i="46"/>
  <c r="G6" i="46"/>
  <c r="F6" i="46"/>
  <c r="U38" i="57" l="1"/>
  <c r="V38" i="57" s="1"/>
  <c r="W38" i="57" s="1"/>
  <c r="X38" i="57" s="1"/>
  <c r="O16" i="57" s="1"/>
  <c r="J16" i="57"/>
  <c r="K16" i="57" s="1"/>
  <c r="N16" i="57" s="1"/>
  <c r="AA16" i="57" s="1"/>
  <c r="I26" i="57"/>
  <c r="J26" i="57" s="1"/>
  <c r="M26" i="57" s="1"/>
  <c r="J6" i="56"/>
  <c r="K6" i="56" s="1"/>
  <c r="N6" i="56" s="1"/>
  <c r="X18" i="56" s="1"/>
  <c r="N13" i="56"/>
  <c r="J16" i="56"/>
  <c r="K16" i="56" s="1"/>
  <c r="N16" i="56" s="1"/>
  <c r="W9" i="64"/>
  <c r="Y35" i="64" s="1"/>
  <c r="J3" i="57"/>
  <c r="K3" i="57" s="1"/>
  <c r="N3" i="57" s="1"/>
  <c r="AA3" i="57" s="1"/>
  <c r="J9" i="36"/>
  <c r="K9" i="36" s="1"/>
  <c r="N9" i="36" s="1"/>
  <c r="J9" i="29"/>
  <c r="K9" i="29" s="1"/>
  <c r="N9" i="29" s="1"/>
  <c r="Z9" i="29" s="1"/>
  <c r="D37" i="57"/>
  <c r="E37" i="57" s="1"/>
  <c r="F37" i="57" s="1"/>
  <c r="G37" i="57" s="1"/>
  <c r="O3" i="57" s="1"/>
  <c r="J12" i="15"/>
  <c r="K12" i="15" s="1"/>
  <c r="O12" i="15" s="1"/>
  <c r="AA7" i="57"/>
  <c r="P7" i="57"/>
  <c r="S7" i="57" s="1"/>
  <c r="T7" i="57" s="1"/>
  <c r="W7" i="57" s="1"/>
  <c r="AA12" i="57"/>
  <c r="P12" i="57"/>
  <c r="S12" i="57" s="1"/>
  <c r="T12" i="57" s="1"/>
  <c r="W12" i="57" s="1"/>
  <c r="Z26" i="57"/>
  <c r="R26" i="57"/>
  <c r="V26" i="57" s="1"/>
  <c r="E39" i="57"/>
  <c r="F39" i="57" s="1"/>
  <c r="G39" i="57" s="1"/>
  <c r="V40" i="57"/>
  <c r="W40" i="57" s="1"/>
  <c r="X40" i="57" s="1"/>
  <c r="E41" i="57"/>
  <c r="F41" i="57" s="1"/>
  <c r="G41" i="57" s="1"/>
  <c r="E40" i="57"/>
  <c r="F40" i="57" s="1"/>
  <c r="G40" i="57" s="1"/>
  <c r="V41" i="57"/>
  <c r="W41" i="57" s="1"/>
  <c r="X41" i="57" s="1"/>
  <c r="J3" i="15"/>
  <c r="K3" i="15" s="1"/>
  <c r="O3" i="15" s="1"/>
  <c r="J6" i="36"/>
  <c r="K6" i="36" s="1"/>
  <c r="N6" i="36" s="1"/>
  <c r="Z6" i="36" s="1"/>
  <c r="J16" i="36"/>
  <c r="K16" i="36" s="1"/>
  <c r="N16" i="36" s="1"/>
  <c r="Z16" i="36" s="1"/>
  <c r="S9" i="36"/>
  <c r="T9" i="36" s="1"/>
  <c r="U9" i="36" s="1"/>
  <c r="Z9" i="36"/>
  <c r="Z19" i="36"/>
  <c r="S19" i="36"/>
  <c r="T19" i="36" s="1"/>
  <c r="U19" i="36" s="1"/>
  <c r="J9" i="56"/>
  <c r="K9" i="56" s="1"/>
  <c r="N9" i="56" s="1"/>
  <c r="Z13" i="56"/>
  <c r="S13" i="56"/>
  <c r="T13" i="56" s="1"/>
  <c r="U13" i="56" s="1"/>
  <c r="Z16" i="56"/>
  <c r="S16" i="56"/>
  <c r="T16" i="56" s="1"/>
  <c r="U16" i="56" s="1"/>
  <c r="J3" i="29"/>
  <c r="K3" i="29" s="1"/>
  <c r="N3" i="29" s="1"/>
  <c r="Z3" i="29" s="1"/>
  <c r="J6" i="29"/>
  <c r="K6" i="29" s="1"/>
  <c r="N6" i="29" s="1"/>
  <c r="Z6" i="29" s="1"/>
  <c r="J17" i="29"/>
  <c r="K17" i="29" s="1"/>
  <c r="N17" i="29" s="1"/>
  <c r="Z17" i="29" s="1"/>
  <c r="J20" i="29"/>
  <c r="K20" i="29" s="1"/>
  <c r="N20" i="29" s="1"/>
  <c r="Z20" i="29" s="1"/>
  <c r="J12" i="29"/>
  <c r="K12" i="29" s="1"/>
  <c r="N12" i="29" s="1"/>
  <c r="Z12" i="29" s="1"/>
  <c r="H31" i="14"/>
  <c r="F36" i="14" s="1"/>
  <c r="J3" i="49"/>
  <c r="K3" i="49" s="1"/>
  <c r="N3" i="49" s="1"/>
  <c r="Q3" i="49" s="1"/>
  <c r="R3" i="49" s="1"/>
  <c r="U3" i="49" s="1"/>
  <c r="V3" i="49" s="1"/>
  <c r="W3" i="49" s="1"/>
  <c r="J15" i="49"/>
  <c r="K15" i="49" s="1"/>
  <c r="U37" i="51"/>
  <c r="V37" i="51" s="1"/>
  <c r="W37" i="51" s="1"/>
  <c r="X37" i="51" s="1"/>
  <c r="O12" i="51" s="1"/>
  <c r="J12" i="51"/>
  <c r="K12" i="51" s="1"/>
  <c r="N12" i="51" s="1"/>
  <c r="AA12" i="51" s="1"/>
  <c r="P7" i="51"/>
  <c r="S7" i="51" s="1"/>
  <c r="T7" i="51" s="1"/>
  <c r="W7" i="51" s="1"/>
  <c r="AA7" i="51"/>
  <c r="P16" i="51"/>
  <c r="S16" i="51" s="1"/>
  <c r="T16" i="51" s="1"/>
  <c r="W16" i="51" s="1"/>
  <c r="AA16" i="51"/>
  <c r="P3" i="51"/>
  <c r="S3" i="51" s="1"/>
  <c r="T3" i="51" s="1"/>
  <c r="W3" i="51" s="1"/>
  <c r="AA3" i="51"/>
  <c r="Z26" i="51"/>
  <c r="R26" i="51"/>
  <c r="V26" i="51" s="1"/>
  <c r="E41" i="51"/>
  <c r="F41" i="51" s="1"/>
  <c r="G41" i="51" s="1"/>
  <c r="V39" i="51"/>
  <c r="W39" i="51" s="1"/>
  <c r="X39" i="51" s="1"/>
  <c r="E39" i="51"/>
  <c r="F39" i="51" s="1"/>
  <c r="G39" i="51" s="1"/>
  <c r="V41" i="51"/>
  <c r="W41" i="51" s="1"/>
  <c r="X41" i="51" s="1"/>
  <c r="E40" i="51"/>
  <c r="F40" i="51" s="1"/>
  <c r="G40" i="51" s="1"/>
  <c r="Q14" i="34"/>
  <c r="N14" i="34"/>
  <c r="P14" i="34" s="1"/>
  <c r="K14" i="34"/>
  <c r="J3" i="35"/>
  <c r="K3" i="35" s="1"/>
  <c r="N3" i="35" s="1"/>
  <c r="J6" i="35"/>
  <c r="K6" i="35" s="1"/>
  <c r="N6" i="35" s="1"/>
  <c r="S6" i="35" s="1"/>
  <c r="T6" i="35" s="1"/>
  <c r="U6" i="35" s="1"/>
  <c r="J6" i="46"/>
  <c r="K6" i="46" s="1"/>
  <c r="N6" i="46" s="1"/>
  <c r="Q6" i="46" s="1"/>
  <c r="R6" i="46" s="1"/>
  <c r="U6" i="46" s="1"/>
  <c r="Y10" i="46"/>
  <c r="Q10" i="46"/>
  <c r="R10" i="46" s="1"/>
  <c r="U10" i="46" s="1"/>
  <c r="M14" i="45"/>
  <c r="H14" i="45"/>
  <c r="F14" i="45"/>
  <c r="G14" i="45" s="1"/>
  <c r="M11" i="45"/>
  <c r="H11" i="45"/>
  <c r="G11" i="45"/>
  <c r="J11" i="45" s="1"/>
  <c r="K11" i="45" s="1"/>
  <c r="N11" i="45" s="1"/>
  <c r="O11" i="45" s="1"/>
  <c r="F11" i="45"/>
  <c r="M6" i="45"/>
  <c r="H6" i="45"/>
  <c r="G6" i="45"/>
  <c r="F6" i="45"/>
  <c r="M3" i="45"/>
  <c r="H3" i="45"/>
  <c r="G3" i="45"/>
  <c r="F3" i="45"/>
  <c r="K4" i="33"/>
  <c r="M14" i="41"/>
  <c r="H14" i="41"/>
  <c r="F14" i="41"/>
  <c r="G14" i="41" s="1"/>
  <c r="M11" i="41"/>
  <c r="H11" i="41"/>
  <c r="J11" i="41" s="1"/>
  <c r="K11" i="41" s="1"/>
  <c r="G11" i="41"/>
  <c r="F11" i="41"/>
  <c r="M6" i="41"/>
  <c r="H6" i="41"/>
  <c r="F6" i="41"/>
  <c r="G6" i="41" s="1"/>
  <c r="M3" i="41"/>
  <c r="H3" i="41"/>
  <c r="G3" i="41"/>
  <c r="F3" i="41"/>
  <c r="L3" i="40"/>
  <c r="G3" i="40"/>
  <c r="E3" i="40"/>
  <c r="F3" i="40" s="1"/>
  <c r="P16" i="57" l="1"/>
  <c r="S16" i="57" s="1"/>
  <c r="T16" i="57" s="1"/>
  <c r="W16" i="57" s="1"/>
  <c r="X16" i="57" s="1"/>
  <c r="Y16" i="57" s="1"/>
  <c r="Z6" i="56"/>
  <c r="S6" i="56"/>
  <c r="T6" i="56" s="1"/>
  <c r="AA3" i="15"/>
  <c r="AF22" i="15"/>
  <c r="Z3" i="35"/>
  <c r="S3" i="35"/>
  <c r="T3" i="35" s="1"/>
  <c r="U3" i="35" s="1"/>
  <c r="V3" i="35" s="1"/>
  <c r="W3" i="35" s="1"/>
  <c r="S9" i="29"/>
  <c r="T9" i="29" s="1"/>
  <c r="U9" i="29" s="1"/>
  <c r="V9" i="29" s="1"/>
  <c r="W9" i="29" s="1"/>
  <c r="S17" i="29"/>
  <c r="T17" i="29" s="1"/>
  <c r="U17" i="29" s="1"/>
  <c r="V17" i="29" s="1"/>
  <c r="W17" i="29" s="1"/>
  <c r="P3" i="57"/>
  <c r="S3" i="57" s="1"/>
  <c r="T3" i="57" s="1"/>
  <c r="W3" i="57" s="1"/>
  <c r="X3" i="57" s="1"/>
  <c r="Y3" i="57" s="1"/>
  <c r="S16" i="36"/>
  <c r="T16" i="36" s="1"/>
  <c r="U16" i="36" s="1"/>
  <c r="V16" i="36" s="1"/>
  <c r="W16" i="36" s="1"/>
  <c r="J6" i="45"/>
  <c r="K6" i="45" s="1"/>
  <c r="N6" i="45" s="1"/>
  <c r="Z6" i="45" s="1"/>
  <c r="J3" i="45"/>
  <c r="K3" i="45" s="1"/>
  <c r="N3" i="45" s="1"/>
  <c r="T12" i="15"/>
  <c r="U12" i="15" s="1"/>
  <c r="V12" i="15" s="1"/>
  <c r="W12" i="15" s="1"/>
  <c r="X12" i="15" s="1"/>
  <c r="AA12" i="15"/>
  <c r="W26" i="57"/>
  <c r="X26" i="57" s="1"/>
  <c r="X12" i="57"/>
  <c r="Y12" i="57" s="1"/>
  <c r="X7" i="57"/>
  <c r="Y7" i="57" s="1"/>
  <c r="N11" i="41"/>
  <c r="S11" i="41" s="1"/>
  <c r="T11" i="41" s="1"/>
  <c r="U11" i="41" s="1"/>
  <c r="T3" i="15"/>
  <c r="U3" i="15" s="1"/>
  <c r="S6" i="36"/>
  <c r="T6" i="36" s="1"/>
  <c r="U6" i="36" s="1"/>
  <c r="V6" i="36" s="1"/>
  <c r="W6" i="36" s="1"/>
  <c r="V19" i="36"/>
  <c r="W19" i="36" s="1"/>
  <c r="V9" i="36"/>
  <c r="W9" i="36" s="1"/>
  <c r="V16" i="56"/>
  <c r="W16" i="56" s="1"/>
  <c r="W13" i="56"/>
  <c r="V13" i="56"/>
  <c r="Z9" i="56"/>
  <c r="S9" i="56"/>
  <c r="T9" i="56" s="1"/>
  <c r="U9" i="56" s="1"/>
  <c r="S3" i="29"/>
  <c r="T3" i="29" s="1"/>
  <c r="U3" i="29" s="1"/>
  <c r="V3" i="29" s="1"/>
  <c r="W3" i="29" s="1"/>
  <c r="S6" i="29"/>
  <c r="T6" i="29" s="1"/>
  <c r="U6" i="29" s="1"/>
  <c r="V6" i="29" s="1"/>
  <c r="W6" i="29" s="1"/>
  <c r="S12" i="29"/>
  <c r="T12" i="29" s="1"/>
  <c r="U12" i="29" s="1"/>
  <c r="V12" i="29" s="1"/>
  <c r="W12" i="29" s="1"/>
  <c r="S20" i="29"/>
  <c r="T20" i="29" s="1"/>
  <c r="U20" i="29" s="1"/>
  <c r="V20" i="29" s="1"/>
  <c r="W20" i="29" s="1"/>
  <c r="I20" i="49"/>
  <c r="P12" i="51"/>
  <c r="S12" i="51" s="1"/>
  <c r="T12" i="51" s="1"/>
  <c r="W12" i="51" s="1"/>
  <c r="X12" i="51" s="1"/>
  <c r="Y12" i="51" s="1"/>
  <c r="X16" i="51"/>
  <c r="Y16" i="51" s="1"/>
  <c r="X3" i="51"/>
  <c r="Y3" i="51" s="1"/>
  <c r="W26" i="51"/>
  <c r="X26" i="51" s="1"/>
  <c r="Y7" i="51"/>
  <c r="X7" i="51"/>
  <c r="J3" i="41"/>
  <c r="K3" i="41" s="1"/>
  <c r="N3" i="41" s="1"/>
  <c r="S3" i="41" s="1"/>
  <c r="T3" i="41" s="1"/>
  <c r="U3" i="41" s="1"/>
  <c r="R14" i="34"/>
  <c r="U14" i="34" s="1"/>
  <c r="Z6" i="35"/>
  <c r="Y6" i="46"/>
  <c r="V10" i="46"/>
  <c r="W10" i="46" s="1"/>
  <c r="V6" i="46"/>
  <c r="W6" i="46" s="1"/>
  <c r="J14" i="45"/>
  <c r="K14" i="45" s="1"/>
  <c r="N14" i="45" s="1"/>
  <c r="Z11" i="45"/>
  <c r="J14" i="41"/>
  <c r="K14" i="41" s="1"/>
  <c r="N14" i="41" s="1"/>
  <c r="S14" i="41" s="1"/>
  <c r="T14" i="41" s="1"/>
  <c r="U14" i="41" s="1"/>
  <c r="J6" i="41"/>
  <c r="K6" i="41" s="1"/>
  <c r="N6" i="41" s="1"/>
  <c r="S6" i="41" s="1"/>
  <c r="T6" i="41" s="1"/>
  <c r="U6" i="41" s="1"/>
  <c r="I3" i="40"/>
  <c r="J3" i="40" s="1"/>
  <c r="M3" i="40" s="1"/>
  <c r="U6" i="56" l="1"/>
  <c r="V6" i="56" s="1"/>
  <c r="X20" i="56"/>
  <c r="V3" i="15"/>
  <c r="W3" i="15" s="1"/>
  <c r="AF25" i="15" s="1"/>
  <c r="AF24" i="15"/>
  <c r="Z11" i="41"/>
  <c r="Z3" i="45"/>
  <c r="O3" i="45"/>
  <c r="P3" i="45"/>
  <c r="O14" i="45"/>
  <c r="P14" i="45" s="1"/>
  <c r="T14" i="45" s="1"/>
  <c r="P6" i="45"/>
  <c r="O6" i="45"/>
  <c r="Y14" i="34"/>
  <c r="AB14" i="34" s="1"/>
  <c r="AC14" i="34" s="1"/>
  <c r="AD14" i="34" s="1"/>
  <c r="AC22" i="34" s="1"/>
  <c r="AC17" i="34"/>
  <c r="V9" i="56"/>
  <c r="W9" i="56" s="1"/>
  <c r="V3" i="41"/>
  <c r="W3" i="41" s="1"/>
  <c r="Z3" i="41"/>
  <c r="AF14" i="34"/>
  <c r="V6" i="35"/>
  <c r="W6" i="35" s="1"/>
  <c r="Z14" i="45"/>
  <c r="V11" i="45"/>
  <c r="Z14" i="41"/>
  <c r="Z6" i="41"/>
  <c r="V14" i="41"/>
  <c r="W14" i="41" s="1"/>
  <c r="V11" i="41"/>
  <c r="W11" i="41" s="1"/>
  <c r="AA3" i="40"/>
  <c r="P3" i="40"/>
  <c r="U21" i="40" s="1"/>
  <c r="W6" i="56" l="1"/>
  <c r="X23" i="56" s="1"/>
  <c r="X21" i="56"/>
  <c r="X3" i="15"/>
  <c r="AF27" i="15" s="1"/>
  <c r="T3" i="40"/>
  <c r="S3" i="40" s="1"/>
  <c r="X18" i="45"/>
  <c r="T3" i="45"/>
  <c r="T6" i="45"/>
  <c r="X27" i="45"/>
  <c r="W11" i="45"/>
  <c r="AC23" i="45" s="1"/>
  <c r="AC21" i="45"/>
  <c r="V14" i="45"/>
  <c r="V6" i="41"/>
  <c r="W6" i="41" s="1"/>
  <c r="M14" i="38"/>
  <c r="H14" i="38"/>
  <c r="J14" i="38" s="1"/>
  <c r="K14" i="38" s="1"/>
  <c r="N14" i="38" s="1"/>
  <c r="G14" i="38"/>
  <c r="F14" i="38"/>
  <c r="M11" i="38"/>
  <c r="H11" i="38"/>
  <c r="G11" i="38"/>
  <c r="F11" i="38"/>
  <c r="M6" i="38"/>
  <c r="H6" i="38"/>
  <c r="G6" i="38"/>
  <c r="F6" i="38"/>
  <c r="M3" i="38"/>
  <c r="H3" i="38"/>
  <c r="G3" i="38"/>
  <c r="F3" i="38"/>
  <c r="W3" i="40" l="1"/>
  <c r="U23" i="40"/>
  <c r="X20" i="45"/>
  <c r="U3" i="45"/>
  <c r="U6" i="45"/>
  <c r="X29" i="45"/>
  <c r="W14" i="45"/>
  <c r="AC32" i="45" s="1"/>
  <c r="AC30" i="45"/>
  <c r="J11" i="38"/>
  <c r="K11" i="38" s="1"/>
  <c r="N11" i="38" s="1"/>
  <c r="Y11" i="38" s="1"/>
  <c r="J3" i="38"/>
  <c r="K3" i="38" s="1"/>
  <c r="N3" i="38" s="1"/>
  <c r="Y3" i="38" s="1"/>
  <c r="J6" i="38"/>
  <c r="K6" i="38" s="1"/>
  <c r="N6" i="38" s="1"/>
  <c r="Y6" i="38" s="1"/>
  <c r="Y14" i="38"/>
  <c r="T14" i="38"/>
  <c r="S14" i="38"/>
  <c r="X3" i="40" l="1"/>
  <c r="U24" i="40" s="1"/>
  <c r="V3" i="45"/>
  <c r="X21" i="45" s="1"/>
  <c r="V6" i="45"/>
  <c r="X30" i="45" s="1"/>
  <c r="W6" i="45"/>
  <c r="X32" i="45" s="1"/>
  <c r="T11" i="38"/>
  <c r="U11" i="38" s="1"/>
  <c r="V11" i="38" s="1"/>
  <c r="S11" i="38"/>
  <c r="S3" i="38"/>
  <c r="T3" i="38"/>
  <c r="U3" i="38" s="1"/>
  <c r="V3" i="38" s="1"/>
  <c r="S6" i="38"/>
  <c r="T6" i="38"/>
  <c r="U6" i="38" s="1"/>
  <c r="V6" i="38" s="1"/>
  <c r="U14" i="38"/>
  <c r="V14" i="38" s="1"/>
  <c r="T3" i="30"/>
  <c r="S3" i="30"/>
  <c r="M7" i="37"/>
  <c r="H7" i="37"/>
  <c r="J7" i="37" s="1"/>
  <c r="K7" i="37" s="1"/>
  <c r="N7" i="37" s="1"/>
  <c r="G7" i="37"/>
  <c r="F7" i="37"/>
  <c r="M3" i="37"/>
  <c r="H3" i="37"/>
  <c r="J3" i="37" s="1"/>
  <c r="K3" i="37" s="1"/>
  <c r="N3" i="37" s="1"/>
  <c r="G3" i="37"/>
  <c r="F3" i="37"/>
  <c r="K3" i="33"/>
  <c r="E4" i="33"/>
  <c r="L4" i="33" s="1"/>
  <c r="E3" i="33"/>
  <c r="L3" i="33" s="1"/>
  <c r="F4" i="33"/>
  <c r="N4" i="33" s="1"/>
  <c r="F3" i="33"/>
  <c r="N3" i="33" s="1"/>
  <c r="T4" i="33"/>
  <c r="I4" i="33"/>
  <c r="T3" i="33"/>
  <c r="I3" i="33"/>
  <c r="X21" i="34"/>
  <c r="M36" i="34"/>
  <c r="M35" i="34"/>
  <c r="M34" i="34"/>
  <c r="M33" i="34"/>
  <c r="D41" i="34"/>
  <c r="E41" i="34" s="1"/>
  <c r="F41" i="34" s="1"/>
  <c r="G41" i="34" s="1"/>
  <c r="D40" i="34"/>
  <c r="E40" i="34" s="1"/>
  <c r="F40" i="34" s="1"/>
  <c r="G40" i="34" s="1"/>
  <c r="D39" i="34"/>
  <c r="E39" i="34" s="1"/>
  <c r="F39" i="34" s="1"/>
  <c r="G39" i="34" s="1"/>
  <c r="C38" i="34"/>
  <c r="B38" i="34"/>
  <c r="A38" i="34"/>
  <c r="D38" i="34" s="1"/>
  <c r="E38" i="34" s="1"/>
  <c r="F38" i="34" s="1"/>
  <c r="G38" i="34" s="1"/>
  <c r="C37" i="34"/>
  <c r="B37" i="34"/>
  <c r="A37" i="34"/>
  <c r="B30" i="34"/>
  <c r="X18" i="34"/>
  <c r="M7" i="34"/>
  <c r="H7" i="34"/>
  <c r="F7" i="34"/>
  <c r="G7" i="34" s="1"/>
  <c r="M3" i="34"/>
  <c r="H3" i="34"/>
  <c r="G3" i="34"/>
  <c r="F3" i="34"/>
  <c r="T42" i="32"/>
  <c r="U42" i="32" s="1"/>
  <c r="V42" i="32" s="1"/>
  <c r="W42" i="32" s="1"/>
  <c r="D42" i="32"/>
  <c r="E42" i="32" s="1"/>
  <c r="F42" i="32" s="1"/>
  <c r="G42" i="32" s="1"/>
  <c r="T41" i="32"/>
  <c r="U41" i="32" s="1"/>
  <c r="V41" i="32" s="1"/>
  <c r="W41" i="32" s="1"/>
  <c r="D41" i="32"/>
  <c r="E41" i="32" s="1"/>
  <c r="F41" i="32" s="1"/>
  <c r="G41" i="32" s="1"/>
  <c r="T40" i="32"/>
  <c r="U40" i="32" s="1"/>
  <c r="V40" i="32" s="1"/>
  <c r="W40" i="32" s="1"/>
  <c r="D40" i="32"/>
  <c r="E40" i="32" s="1"/>
  <c r="F40" i="32" s="1"/>
  <c r="G40" i="32" s="1"/>
  <c r="S39" i="32"/>
  <c r="R39" i="32"/>
  <c r="Q39" i="32"/>
  <c r="T39" i="32" s="1"/>
  <c r="U39" i="32" s="1"/>
  <c r="V39" i="32" s="1"/>
  <c r="W39" i="32" s="1"/>
  <c r="O17" i="32" s="1"/>
  <c r="C39" i="32"/>
  <c r="B39" i="32"/>
  <c r="A39" i="32"/>
  <c r="S38" i="32"/>
  <c r="R38" i="32"/>
  <c r="Q38" i="32"/>
  <c r="C38" i="32"/>
  <c r="B38" i="32"/>
  <c r="A38" i="32"/>
  <c r="D38" i="32" s="1"/>
  <c r="E38" i="32" s="1"/>
  <c r="F38" i="32" s="1"/>
  <c r="G38" i="32" s="1"/>
  <c r="O4" i="32" s="1"/>
  <c r="M36" i="32"/>
  <c r="M35" i="32"/>
  <c r="M34" i="32"/>
  <c r="M33" i="32"/>
  <c r="R31" i="32"/>
  <c r="B31" i="32"/>
  <c r="L27" i="32"/>
  <c r="G27" i="32"/>
  <c r="E27" i="32"/>
  <c r="F27" i="32" s="1"/>
  <c r="M17" i="32"/>
  <c r="H17" i="32"/>
  <c r="G17" i="32"/>
  <c r="F17" i="32"/>
  <c r="M13" i="32"/>
  <c r="H13" i="32"/>
  <c r="G13" i="32"/>
  <c r="F13" i="32"/>
  <c r="M8" i="32"/>
  <c r="H8" i="32"/>
  <c r="G8" i="32"/>
  <c r="F8" i="32"/>
  <c r="M4" i="32"/>
  <c r="H4" i="32"/>
  <c r="J4" i="32" s="1"/>
  <c r="K4" i="32" s="1"/>
  <c r="N4" i="32" s="1"/>
  <c r="G4" i="32"/>
  <c r="F4" i="32"/>
  <c r="G18" i="31"/>
  <c r="H18" i="31" s="1"/>
  <c r="J18" i="31" s="1"/>
  <c r="K18" i="31" s="1"/>
  <c r="F18" i="31"/>
  <c r="E18" i="31"/>
  <c r="G17" i="31"/>
  <c r="F17" i="31"/>
  <c r="H17" i="31" s="1"/>
  <c r="J17" i="31" s="1"/>
  <c r="K17" i="31" s="1"/>
  <c r="E17" i="31"/>
  <c r="G16" i="31"/>
  <c r="F16" i="31"/>
  <c r="E16" i="31"/>
  <c r="H15" i="31"/>
  <c r="J15" i="31" s="1"/>
  <c r="K15" i="31" s="1"/>
  <c r="G15" i="31"/>
  <c r="F15" i="31"/>
  <c r="E15" i="31"/>
  <c r="G14" i="31"/>
  <c r="H14" i="31" s="1"/>
  <c r="J14" i="31" s="1"/>
  <c r="K14" i="31" s="1"/>
  <c r="F14" i="31"/>
  <c r="E14" i="31"/>
  <c r="G13" i="31"/>
  <c r="F13" i="31"/>
  <c r="E13" i="31"/>
  <c r="G12" i="31"/>
  <c r="H12" i="31" s="1"/>
  <c r="J12" i="31" s="1"/>
  <c r="K12" i="31" s="1"/>
  <c r="F12" i="31"/>
  <c r="E12" i="31"/>
  <c r="G11" i="31"/>
  <c r="F11" i="31"/>
  <c r="E11" i="31"/>
  <c r="G10" i="31"/>
  <c r="H10" i="31" s="1"/>
  <c r="J10" i="31" s="1"/>
  <c r="K10" i="31" s="1"/>
  <c r="F10" i="31"/>
  <c r="G9" i="31"/>
  <c r="F9" i="31"/>
  <c r="E9" i="31"/>
  <c r="G8" i="31"/>
  <c r="H8" i="31" s="1"/>
  <c r="J8" i="31" s="1"/>
  <c r="K8" i="31" s="1"/>
  <c r="F8" i="31"/>
  <c r="E8" i="31"/>
  <c r="G7" i="31"/>
  <c r="H7" i="31" s="1"/>
  <c r="J7" i="31" s="1"/>
  <c r="K7" i="31" s="1"/>
  <c r="F7" i="31"/>
  <c r="E7" i="31"/>
  <c r="G6" i="31"/>
  <c r="H6" i="31" s="1"/>
  <c r="J6" i="31" s="1"/>
  <c r="K6" i="31" s="1"/>
  <c r="F6" i="31"/>
  <c r="E6" i="31"/>
  <c r="G5" i="31"/>
  <c r="H5" i="31" s="1"/>
  <c r="J5" i="31" s="1"/>
  <c r="K5" i="31" s="1"/>
  <c r="F5" i="31"/>
  <c r="E5" i="31"/>
  <c r="G4" i="31"/>
  <c r="H4" i="31" s="1"/>
  <c r="J4" i="31" s="1"/>
  <c r="K4" i="31" s="1"/>
  <c r="F4" i="31"/>
  <c r="G3" i="31"/>
  <c r="H3" i="31" s="1"/>
  <c r="J3" i="31" s="1"/>
  <c r="K3" i="31" s="1"/>
  <c r="F3" i="31"/>
  <c r="E3" i="31"/>
  <c r="Y3" i="40" l="1"/>
  <c r="U26" i="40" s="1"/>
  <c r="W3" i="45"/>
  <c r="X23" i="45" s="1"/>
  <c r="M3" i="33"/>
  <c r="P3" i="33" s="1"/>
  <c r="J7" i="34"/>
  <c r="K7" i="34" s="1"/>
  <c r="N7" i="34" s="1"/>
  <c r="J3" i="33"/>
  <c r="J17" i="32"/>
  <c r="K17" i="32" s="1"/>
  <c r="N17" i="32" s="1"/>
  <c r="D39" i="32"/>
  <c r="E39" i="32" s="1"/>
  <c r="F39" i="32" s="1"/>
  <c r="G39" i="32" s="1"/>
  <c r="O8" i="32" s="1"/>
  <c r="J8" i="32"/>
  <c r="K8" i="32" s="1"/>
  <c r="N8" i="32" s="1"/>
  <c r="P8" i="32" s="1"/>
  <c r="S8" i="32" s="1"/>
  <c r="V8" i="32" s="1"/>
  <c r="D37" i="34"/>
  <c r="E37" i="34" s="1"/>
  <c r="F37" i="34" s="1"/>
  <c r="G37" i="34" s="1"/>
  <c r="H11" i="31"/>
  <c r="J11" i="31" s="1"/>
  <c r="K11" i="31" s="1"/>
  <c r="H9" i="31"/>
  <c r="J9" i="31" s="1"/>
  <c r="K9" i="31" s="1"/>
  <c r="H13" i="31"/>
  <c r="J13" i="31" s="1"/>
  <c r="K13" i="31" s="1"/>
  <c r="M4" i="33"/>
  <c r="P4" i="33" s="1"/>
  <c r="Q3" i="33"/>
  <c r="Q4" i="33"/>
  <c r="J4" i="33"/>
  <c r="Y3" i="37"/>
  <c r="Q3" i="37"/>
  <c r="R3" i="37" s="1"/>
  <c r="U3" i="37" s="1"/>
  <c r="Y7" i="37"/>
  <c r="Q7" i="37"/>
  <c r="R7" i="37" s="1"/>
  <c r="U7" i="37" s="1"/>
  <c r="J3" i="34"/>
  <c r="K3" i="34" s="1"/>
  <c r="N3" i="34" s="1"/>
  <c r="X17" i="34" s="1"/>
  <c r="T38" i="32"/>
  <c r="U38" i="32" s="1"/>
  <c r="V38" i="32" s="1"/>
  <c r="W38" i="32" s="1"/>
  <c r="O13" i="32" s="1"/>
  <c r="J13" i="32"/>
  <c r="K13" i="32" s="1"/>
  <c r="N13" i="32" s="1"/>
  <c r="Z13" i="32" s="1"/>
  <c r="Z4" i="32"/>
  <c r="P4" i="32"/>
  <c r="S4" i="32" s="1"/>
  <c r="V4" i="32" s="1"/>
  <c r="I27" i="32"/>
  <c r="J27" i="32" s="1"/>
  <c r="M27" i="32" s="1"/>
  <c r="Z17" i="32"/>
  <c r="P17" i="32"/>
  <c r="S17" i="32" s="1"/>
  <c r="V17" i="32" s="1"/>
  <c r="H16" i="31"/>
  <c r="J16" i="31" s="1"/>
  <c r="K16" i="31" s="1"/>
  <c r="D44" i="23"/>
  <c r="F44" i="23" s="1"/>
  <c r="G44" i="23" s="1"/>
  <c r="I44" i="23" s="1"/>
  <c r="L44" i="23" s="1"/>
  <c r="D43" i="23"/>
  <c r="F43" i="23" s="1"/>
  <c r="G43" i="23" s="1"/>
  <c r="I43" i="23" s="1"/>
  <c r="L43" i="23" s="1"/>
  <c r="D42" i="23"/>
  <c r="F42" i="23" s="1"/>
  <c r="G42" i="23" s="1"/>
  <c r="I42" i="23" s="1"/>
  <c r="L42" i="23" s="1"/>
  <c r="D41" i="23"/>
  <c r="F41" i="23" s="1"/>
  <c r="G41" i="23" s="1"/>
  <c r="I41" i="23" s="1"/>
  <c r="L41" i="23" s="1"/>
  <c r="D40" i="23"/>
  <c r="F40" i="23" s="1"/>
  <c r="G40" i="23" s="1"/>
  <c r="I40" i="23" s="1"/>
  <c r="L40" i="23" s="1"/>
  <c r="X14" i="8"/>
  <c r="T11" i="30"/>
  <c r="M14" i="30"/>
  <c r="H14" i="30"/>
  <c r="F14" i="30"/>
  <c r="G14" i="30" s="1"/>
  <c r="J14" i="30" s="1"/>
  <c r="K14" i="30" s="1"/>
  <c r="N14" i="30" s="1"/>
  <c r="S14" i="30" s="1"/>
  <c r="T14" i="30" s="1"/>
  <c r="U14" i="30" s="1"/>
  <c r="M11" i="30"/>
  <c r="H11" i="30"/>
  <c r="G11" i="30"/>
  <c r="F11" i="30"/>
  <c r="M6" i="30"/>
  <c r="H6" i="30"/>
  <c r="F6" i="30"/>
  <c r="G6" i="30" s="1"/>
  <c r="M3" i="30"/>
  <c r="H3" i="30"/>
  <c r="G3" i="30"/>
  <c r="F3" i="30"/>
  <c r="U6" i="11"/>
  <c r="S6" i="11"/>
  <c r="T6" i="11" s="1"/>
  <c r="Y7" i="34" l="1"/>
  <c r="X27" i="34"/>
  <c r="Q7" i="34"/>
  <c r="R7" i="34"/>
  <c r="U7" i="34" s="1"/>
  <c r="Z8" i="32"/>
  <c r="R4" i="33"/>
  <c r="U4" i="33" s="1"/>
  <c r="V7" i="37"/>
  <c r="W7" i="37" s="1"/>
  <c r="V3" i="37"/>
  <c r="W3" i="37" s="1"/>
  <c r="R3" i="33"/>
  <c r="U3" i="33" s="1"/>
  <c r="Y3" i="33" s="1"/>
  <c r="AB3" i="33" s="1"/>
  <c r="AC3" i="33" s="1"/>
  <c r="AD3" i="33" s="1"/>
  <c r="Y3" i="34"/>
  <c r="Q3" i="34"/>
  <c r="R3" i="34" s="1"/>
  <c r="U3" i="34" s="1"/>
  <c r="X19" i="34" s="1"/>
  <c r="P13" i="32"/>
  <c r="S13" i="32" s="1"/>
  <c r="V13" i="32" s="1"/>
  <c r="W13" i="32" s="1"/>
  <c r="X13" i="32" s="1"/>
  <c r="W8" i="32"/>
  <c r="X8" i="32" s="1"/>
  <c r="R27" i="32"/>
  <c r="U27" i="32" s="1"/>
  <c r="Y27" i="32"/>
  <c r="W4" i="32"/>
  <c r="X4" i="32"/>
  <c r="W17" i="32"/>
  <c r="X17" i="32" s="1"/>
  <c r="J11" i="30"/>
  <c r="K11" i="30" s="1"/>
  <c r="N11" i="30" s="1"/>
  <c r="J3" i="30"/>
  <c r="K3" i="30" s="1"/>
  <c r="N3" i="30" s="1"/>
  <c r="J6" i="30"/>
  <c r="K6" i="30" s="1"/>
  <c r="N6" i="30" s="1"/>
  <c r="S6" i="30" s="1"/>
  <c r="T6" i="30" s="1"/>
  <c r="U6" i="30" s="1"/>
  <c r="Z14" i="30"/>
  <c r="F25" i="17"/>
  <c r="V7" i="34" l="1"/>
  <c r="X29" i="34"/>
  <c r="AF4" i="33"/>
  <c r="Y4" i="33"/>
  <c r="AB4" i="33" s="1"/>
  <c r="AC4" i="33" s="1"/>
  <c r="AD4" i="33" s="1"/>
  <c r="AF3" i="33"/>
  <c r="X20" i="34"/>
  <c r="V27" i="32"/>
  <c r="W27" i="32" s="1"/>
  <c r="U11" i="30"/>
  <c r="S11" i="30"/>
  <c r="U3" i="30"/>
  <c r="V3" i="30" s="1"/>
  <c r="W3" i="30" s="1"/>
  <c r="Z11" i="30"/>
  <c r="Z3" i="30"/>
  <c r="V6" i="30"/>
  <c r="W6" i="30" s="1"/>
  <c r="Z6" i="30"/>
  <c r="V14" i="30"/>
  <c r="W14" i="30" s="1"/>
  <c r="V11" i="30"/>
  <c r="W11" i="30" s="1"/>
  <c r="M22" i="18"/>
  <c r="H22" i="18"/>
  <c r="G22" i="18"/>
  <c r="F22" i="18"/>
  <c r="M14" i="27"/>
  <c r="H14" i="27"/>
  <c r="J14" i="27" s="1"/>
  <c r="K14" i="27" s="1"/>
  <c r="N14" i="27" s="1"/>
  <c r="F14" i="27"/>
  <c r="G14" i="27" s="1"/>
  <c r="M11" i="27"/>
  <c r="H11" i="27"/>
  <c r="J11" i="27" s="1"/>
  <c r="K11" i="27" s="1"/>
  <c r="N11" i="27" s="1"/>
  <c r="G11" i="27"/>
  <c r="F11" i="27"/>
  <c r="M6" i="27"/>
  <c r="H6" i="27"/>
  <c r="F6" i="27"/>
  <c r="G6" i="27" s="1"/>
  <c r="M3" i="27"/>
  <c r="H3" i="27"/>
  <c r="G3" i="27"/>
  <c r="F3" i="27"/>
  <c r="T41" i="26"/>
  <c r="U41" i="26" s="1"/>
  <c r="V41" i="26" s="1"/>
  <c r="W41" i="26" s="1"/>
  <c r="E41" i="26"/>
  <c r="F41" i="26" s="1"/>
  <c r="G41" i="26" s="1"/>
  <c r="D41" i="26"/>
  <c r="T40" i="26"/>
  <c r="U40" i="26" s="1"/>
  <c r="V40" i="26" s="1"/>
  <c r="W40" i="26" s="1"/>
  <c r="D40" i="26"/>
  <c r="E40" i="26" s="1"/>
  <c r="F40" i="26" s="1"/>
  <c r="G40" i="26" s="1"/>
  <c r="T39" i="26"/>
  <c r="U39" i="26" s="1"/>
  <c r="V39" i="26" s="1"/>
  <c r="W39" i="26" s="1"/>
  <c r="E39" i="26"/>
  <c r="F39" i="26" s="1"/>
  <c r="G39" i="26" s="1"/>
  <c r="D39" i="26"/>
  <c r="S38" i="26"/>
  <c r="R38" i="26"/>
  <c r="Q38" i="26"/>
  <c r="T38" i="26" s="1"/>
  <c r="U38" i="26" s="1"/>
  <c r="V38" i="26" s="1"/>
  <c r="W38" i="26" s="1"/>
  <c r="O16" i="26" s="1"/>
  <c r="C38" i="26"/>
  <c r="B38" i="26"/>
  <c r="A38" i="26"/>
  <c r="D38" i="26" s="1"/>
  <c r="E38" i="26" s="1"/>
  <c r="F38" i="26" s="1"/>
  <c r="G38" i="26" s="1"/>
  <c r="O7" i="26" s="1"/>
  <c r="S37" i="26"/>
  <c r="R37" i="26"/>
  <c r="Q37" i="26"/>
  <c r="T37" i="26" s="1"/>
  <c r="U37" i="26" s="1"/>
  <c r="V37" i="26" s="1"/>
  <c r="W37" i="26" s="1"/>
  <c r="O12" i="26" s="1"/>
  <c r="C37" i="26"/>
  <c r="B37" i="26"/>
  <c r="A37" i="26"/>
  <c r="D37" i="26" s="1"/>
  <c r="E37" i="26" s="1"/>
  <c r="F37" i="26" s="1"/>
  <c r="G37" i="26" s="1"/>
  <c r="O3" i="26" s="1"/>
  <c r="M35" i="26"/>
  <c r="M34" i="26"/>
  <c r="M33" i="26"/>
  <c r="M32" i="26"/>
  <c r="R30" i="26"/>
  <c r="B30" i="26"/>
  <c r="L26" i="26"/>
  <c r="G26" i="26"/>
  <c r="E26" i="26"/>
  <c r="F26" i="26" s="1"/>
  <c r="M16" i="26"/>
  <c r="H16" i="26"/>
  <c r="J16" i="26" s="1"/>
  <c r="K16" i="26" s="1"/>
  <c r="N16" i="26" s="1"/>
  <c r="G16" i="26"/>
  <c r="F16" i="26"/>
  <c r="M12" i="26"/>
  <c r="H12" i="26"/>
  <c r="J12" i="26" s="1"/>
  <c r="K12" i="26" s="1"/>
  <c r="N12" i="26" s="1"/>
  <c r="G12" i="26"/>
  <c r="F12" i="26"/>
  <c r="M7" i="26"/>
  <c r="H7" i="26"/>
  <c r="J7" i="26" s="1"/>
  <c r="K7" i="26" s="1"/>
  <c r="N7" i="26" s="1"/>
  <c r="G7" i="26"/>
  <c r="F7" i="26"/>
  <c r="M3" i="26"/>
  <c r="H3" i="26"/>
  <c r="J3" i="26" s="1"/>
  <c r="K3" i="26" s="1"/>
  <c r="N3" i="26" s="1"/>
  <c r="G3" i="26"/>
  <c r="F3" i="26"/>
  <c r="M14" i="25"/>
  <c r="H14" i="25"/>
  <c r="F14" i="25"/>
  <c r="G14" i="25" s="1"/>
  <c r="M11" i="25"/>
  <c r="H11" i="25"/>
  <c r="G11" i="25"/>
  <c r="F11" i="25"/>
  <c r="M6" i="25"/>
  <c r="H6" i="25"/>
  <c r="F6" i="25"/>
  <c r="G6" i="25" s="1"/>
  <c r="M3" i="25"/>
  <c r="H3" i="25"/>
  <c r="G3" i="25"/>
  <c r="F3" i="25"/>
  <c r="T33" i="1"/>
  <c r="W33" i="1" s="1"/>
  <c r="G4" i="16"/>
  <c r="G5" i="16"/>
  <c r="G6" i="16"/>
  <c r="G7" i="16"/>
  <c r="G8" i="16"/>
  <c r="G3" i="16"/>
  <c r="E3" i="16"/>
  <c r="J11" i="25" l="1"/>
  <c r="K11" i="25" s="1"/>
  <c r="N11" i="25" s="1"/>
  <c r="W7" i="34"/>
  <c r="X32" i="34" s="1"/>
  <c r="X30" i="34"/>
  <c r="J3" i="25"/>
  <c r="K3" i="25" s="1"/>
  <c r="N3" i="25" s="1"/>
  <c r="Y18" i="25" s="1"/>
  <c r="W3" i="34"/>
  <c r="X22" i="34" s="1"/>
  <c r="J6" i="27"/>
  <c r="K6" i="27" s="1"/>
  <c r="N6" i="27" s="1"/>
  <c r="T6" i="27" s="1"/>
  <c r="J14" i="25"/>
  <c r="K14" i="25" s="1"/>
  <c r="N14" i="25" s="1"/>
  <c r="J22" i="18"/>
  <c r="K22" i="18" s="1"/>
  <c r="N22" i="18" s="1"/>
  <c r="AD34" i="18" s="1"/>
  <c r="J3" i="27"/>
  <c r="K3" i="27" s="1"/>
  <c r="N3" i="27" s="1"/>
  <c r="T3" i="27" s="1"/>
  <c r="T14" i="27"/>
  <c r="S14" i="27"/>
  <c r="Y14" i="27"/>
  <c r="Y6" i="27"/>
  <c r="T11" i="27"/>
  <c r="S11" i="27"/>
  <c r="Y11" i="27"/>
  <c r="P16" i="26"/>
  <c r="S16" i="26" s="1"/>
  <c r="V16" i="26" s="1"/>
  <c r="Z16" i="26"/>
  <c r="Z12" i="26"/>
  <c r="P12" i="26"/>
  <c r="S12" i="26" s="1"/>
  <c r="V12" i="26" s="1"/>
  <c r="I26" i="26"/>
  <c r="J26" i="26" s="1"/>
  <c r="M26" i="26" s="1"/>
  <c r="Z7" i="26"/>
  <c r="P7" i="26"/>
  <c r="S7" i="26" s="1"/>
  <c r="V7" i="26" s="1"/>
  <c r="Z3" i="26"/>
  <c r="P3" i="26"/>
  <c r="S3" i="26" s="1"/>
  <c r="V3" i="26" s="1"/>
  <c r="J6" i="25"/>
  <c r="K6" i="25" s="1"/>
  <c r="N6" i="25" s="1"/>
  <c r="Y27" i="25" s="1"/>
  <c r="U33" i="1"/>
  <c r="Z39" i="1" s="1"/>
  <c r="M10" i="24"/>
  <c r="H10" i="24"/>
  <c r="F10" i="24"/>
  <c r="G10" i="24" s="1"/>
  <c r="M6" i="24"/>
  <c r="H6" i="24"/>
  <c r="G6" i="24"/>
  <c r="F6" i="24"/>
  <c r="X33" i="1" l="1"/>
  <c r="Z11" i="25"/>
  <c r="S11" i="25"/>
  <c r="T11" i="25" s="1"/>
  <c r="U11" i="25" s="1"/>
  <c r="V11" i="25" s="1"/>
  <c r="W11" i="25" s="1"/>
  <c r="S14" i="25"/>
  <c r="T14" i="25" s="1"/>
  <c r="U14" i="25" s="1"/>
  <c r="V14" i="25" s="1"/>
  <c r="W14" i="25" s="1"/>
  <c r="V33" i="1"/>
  <c r="V39" i="1"/>
  <c r="Z3" i="25"/>
  <c r="S3" i="25"/>
  <c r="T3" i="25" s="1"/>
  <c r="Z6" i="25"/>
  <c r="S6" i="25"/>
  <c r="T6" i="25" s="1"/>
  <c r="Z22" i="18"/>
  <c r="S22" i="18"/>
  <c r="T22" i="18" s="1"/>
  <c r="S6" i="27"/>
  <c r="Z14" i="25"/>
  <c r="S3" i="27"/>
  <c r="W20" i="27" s="1"/>
  <c r="Y3" i="27"/>
  <c r="U3" i="27"/>
  <c r="U11" i="27"/>
  <c r="V11" i="27" s="1"/>
  <c r="U6" i="27"/>
  <c r="V6" i="27" s="1"/>
  <c r="U14" i="27"/>
  <c r="V14" i="27" s="1"/>
  <c r="W3" i="26"/>
  <c r="X3" i="26" s="1"/>
  <c r="W7" i="26"/>
  <c r="X7" i="26" s="1"/>
  <c r="R26" i="26"/>
  <c r="U26" i="26" s="1"/>
  <c r="Y26" i="26"/>
  <c r="W12" i="26"/>
  <c r="X12" i="26"/>
  <c r="W16" i="26"/>
  <c r="X16" i="26" s="1"/>
  <c r="J6" i="24"/>
  <c r="K6" i="24" s="1"/>
  <c r="N6" i="24" s="1"/>
  <c r="R6" i="24" s="1"/>
  <c r="Q6" i="24" s="1"/>
  <c r="J10" i="24"/>
  <c r="K10" i="24" s="1"/>
  <c r="N10" i="24" s="1"/>
  <c r="V40" i="1" l="1"/>
  <c r="Z40" i="1"/>
  <c r="U22" i="18"/>
  <c r="V22" i="18" s="1"/>
  <c r="AD36" i="18"/>
  <c r="Y33" i="1"/>
  <c r="AB24" i="24"/>
  <c r="R10" i="24"/>
  <c r="Q10" i="24" s="1"/>
  <c r="Y6" i="24"/>
  <c r="AB15" i="24"/>
  <c r="U3" i="25"/>
  <c r="V3" i="25" s="1"/>
  <c r="Y20" i="25"/>
  <c r="U6" i="25"/>
  <c r="V6" i="25" s="1"/>
  <c r="Y29" i="25"/>
  <c r="V3" i="27"/>
  <c r="W23" i="27" s="1"/>
  <c r="W21" i="27"/>
  <c r="V26" i="26"/>
  <c r="W26" i="26"/>
  <c r="Y10" i="24"/>
  <c r="W22" i="18" l="1"/>
  <c r="AD39" i="18" s="1"/>
  <c r="AD37" i="18"/>
  <c r="U10" i="24"/>
  <c r="V10" i="24" s="1"/>
  <c r="AB26" i="24"/>
  <c r="U6" i="24"/>
  <c r="V6" i="24" s="1"/>
  <c r="AB17" i="24"/>
  <c r="W3" i="25"/>
  <c r="Y23" i="25" s="1"/>
  <c r="Y21" i="25"/>
  <c r="W6" i="25"/>
  <c r="Y32" i="25" s="1"/>
  <c r="Y30" i="25"/>
  <c r="W10" i="24" l="1"/>
  <c r="AB29" i="24" s="1"/>
  <c r="AB27" i="24"/>
  <c r="W6" i="24"/>
  <c r="AB20" i="24" s="1"/>
  <c r="AB18" i="24"/>
  <c r="T33" i="23"/>
  <c r="R33" i="23"/>
  <c r="Q33" i="23"/>
  <c r="U36" i="23"/>
  <c r="D36" i="23"/>
  <c r="U35" i="23"/>
  <c r="D35" i="23"/>
  <c r="U34" i="23"/>
  <c r="D34" i="23"/>
  <c r="C33" i="23"/>
  <c r="B33" i="23"/>
  <c r="A33" i="23"/>
  <c r="T32" i="23"/>
  <c r="R32" i="23"/>
  <c r="Q32" i="23"/>
  <c r="C32" i="23"/>
  <c r="B32" i="23"/>
  <c r="A32" i="23"/>
  <c r="M30" i="23"/>
  <c r="M29" i="23"/>
  <c r="M28" i="23"/>
  <c r="M27" i="23"/>
  <c r="R25" i="23"/>
  <c r="B25" i="23"/>
  <c r="L21" i="23"/>
  <c r="G21" i="23"/>
  <c r="E21" i="23"/>
  <c r="F21" i="23" s="1"/>
  <c r="M16" i="23"/>
  <c r="H16" i="23"/>
  <c r="G16" i="23"/>
  <c r="F16" i="23"/>
  <c r="M12" i="23"/>
  <c r="H12" i="23"/>
  <c r="G12" i="23"/>
  <c r="F12" i="23"/>
  <c r="M7" i="23"/>
  <c r="H7" i="23"/>
  <c r="G7" i="23"/>
  <c r="F7" i="23"/>
  <c r="M3" i="23"/>
  <c r="H3" i="23"/>
  <c r="G3" i="23"/>
  <c r="F3" i="23"/>
  <c r="M14" i="22"/>
  <c r="H14" i="22"/>
  <c r="F14" i="22"/>
  <c r="G14" i="22" s="1"/>
  <c r="M11" i="22"/>
  <c r="H11" i="22"/>
  <c r="J11" i="22" s="1"/>
  <c r="K11" i="22" s="1"/>
  <c r="N11" i="22" s="1"/>
  <c r="G11" i="22"/>
  <c r="F11" i="22"/>
  <c r="M6" i="22"/>
  <c r="H6" i="22"/>
  <c r="F6" i="22"/>
  <c r="G6" i="22" s="1"/>
  <c r="M3" i="22"/>
  <c r="H3" i="22"/>
  <c r="J3" i="22" s="1"/>
  <c r="K3" i="22" s="1"/>
  <c r="N3" i="22" s="1"/>
  <c r="G3" i="22"/>
  <c r="F3" i="22"/>
  <c r="M17" i="21"/>
  <c r="H17" i="21"/>
  <c r="F17" i="21"/>
  <c r="G17" i="21" s="1"/>
  <c r="M14" i="21"/>
  <c r="H14" i="21"/>
  <c r="J14" i="21" s="1"/>
  <c r="K14" i="21" s="1"/>
  <c r="N14" i="21" s="1"/>
  <c r="S14" i="21" s="1"/>
  <c r="T14" i="21" s="1"/>
  <c r="U14" i="21" s="1"/>
  <c r="G14" i="21"/>
  <c r="F14" i="21"/>
  <c r="M9" i="21"/>
  <c r="H9" i="21"/>
  <c r="F9" i="21"/>
  <c r="G9" i="21" s="1"/>
  <c r="M6" i="21"/>
  <c r="H6" i="21"/>
  <c r="G6" i="21"/>
  <c r="F6" i="21"/>
  <c r="M14" i="20"/>
  <c r="H14" i="20"/>
  <c r="F14" i="20"/>
  <c r="G14" i="20" s="1"/>
  <c r="M11" i="20"/>
  <c r="H11" i="20"/>
  <c r="G11" i="20"/>
  <c r="F11" i="20"/>
  <c r="M6" i="20"/>
  <c r="H6" i="20"/>
  <c r="F6" i="20"/>
  <c r="G6" i="20" s="1"/>
  <c r="M3" i="20"/>
  <c r="H3" i="20"/>
  <c r="G3" i="20"/>
  <c r="F3" i="20"/>
  <c r="E34" i="23" l="1"/>
  <c r="F34" i="23" s="1"/>
  <c r="G34" i="23" s="1"/>
  <c r="V35" i="23"/>
  <c r="W35" i="23" s="1"/>
  <c r="X35" i="23" s="1"/>
  <c r="E36" i="23"/>
  <c r="F36" i="23" s="1"/>
  <c r="G36" i="23" s="1"/>
  <c r="V36" i="23"/>
  <c r="W36" i="23" s="1"/>
  <c r="X36" i="23" s="1"/>
  <c r="E35" i="23"/>
  <c r="F35" i="23" s="1"/>
  <c r="G35" i="23" s="1"/>
  <c r="J11" i="20"/>
  <c r="K11" i="20" s="1"/>
  <c r="N11" i="20" s="1"/>
  <c r="S11" i="20" s="1"/>
  <c r="T11" i="20" s="1"/>
  <c r="U11" i="20" s="1"/>
  <c r="J6" i="20"/>
  <c r="K6" i="20" s="1"/>
  <c r="N6" i="20" s="1"/>
  <c r="S6" i="20" s="1"/>
  <c r="T6" i="20" s="1"/>
  <c r="U6" i="20" s="1"/>
  <c r="J9" i="21"/>
  <c r="K9" i="21" s="1"/>
  <c r="N9" i="21" s="1"/>
  <c r="S9" i="21" s="1"/>
  <c r="T9" i="21" s="1"/>
  <c r="U9" i="21" s="1"/>
  <c r="D32" i="23"/>
  <c r="E32" i="23" s="1"/>
  <c r="F32" i="23" s="1"/>
  <c r="G32" i="23" s="1"/>
  <c r="O3" i="23" s="1"/>
  <c r="D33" i="23"/>
  <c r="E33" i="23" s="1"/>
  <c r="F33" i="23" s="1"/>
  <c r="G33" i="23" s="1"/>
  <c r="O7" i="23" s="1"/>
  <c r="J7" i="23"/>
  <c r="K7" i="23" s="1"/>
  <c r="N7" i="23" s="1"/>
  <c r="AA7" i="23" s="1"/>
  <c r="U33" i="23"/>
  <c r="V33" i="23" s="1"/>
  <c r="W33" i="23" s="1"/>
  <c r="X33" i="23" s="1"/>
  <c r="O16" i="23" s="1"/>
  <c r="J12" i="23"/>
  <c r="K12" i="23" s="1"/>
  <c r="N12" i="23" s="1"/>
  <c r="AA12" i="23" s="1"/>
  <c r="J3" i="23"/>
  <c r="K3" i="23" s="1"/>
  <c r="N3" i="23" s="1"/>
  <c r="J16" i="23"/>
  <c r="K16" i="23" s="1"/>
  <c r="N16" i="23" s="1"/>
  <c r="U32" i="23"/>
  <c r="V32" i="23" s="1"/>
  <c r="W32" i="23" s="1"/>
  <c r="X32" i="23" s="1"/>
  <c r="O12" i="23" s="1"/>
  <c r="I21" i="23"/>
  <c r="J21" i="23" s="1"/>
  <c r="N21" i="23" s="1"/>
  <c r="S21" i="23" s="1"/>
  <c r="T21" i="23" s="1"/>
  <c r="V34" i="23"/>
  <c r="W34" i="23" s="1"/>
  <c r="X34" i="23" s="1"/>
  <c r="T11" i="22"/>
  <c r="S11" i="22"/>
  <c r="Y11" i="22"/>
  <c r="T3" i="22"/>
  <c r="Y3" i="22"/>
  <c r="S3" i="22"/>
  <c r="J6" i="22"/>
  <c r="K6" i="22" s="1"/>
  <c r="N6" i="22" s="1"/>
  <c r="J14" i="22"/>
  <c r="K14" i="22" s="1"/>
  <c r="N14" i="22" s="1"/>
  <c r="J6" i="21"/>
  <c r="K6" i="21" s="1"/>
  <c r="N6" i="21" s="1"/>
  <c r="S6" i="21" s="1"/>
  <c r="T6" i="21" s="1"/>
  <c r="U6" i="21" s="1"/>
  <c r="J17" i="21"/>
  <c r="K17" i="21" s="1"/>
  <c r="N17" i="21" s="1"/>
  <c r="S17" i="21" s="1"/>
  <c r="T17" i="21" s="1"/>
  <c r="U17" i="21" s="1"/>
  <c r="Z14" i="21"/>
  <c r="J3" i="20"/>
  <c r="K3" i="20" s="1"/>
  <c r="N3" i="20" s="1"/>
  <c r="S3" i="20" s="1"/>
  <c r="T3" i="20" s="1"/>
  <c r="U3" i="20" s="1"/>
  <c r="J14" i="20"/>
  <c r="K14" i="20" s="1"/>
  <c r="N14" i="20" s="1"/>
  <c r="S14" i="20" s="1"/>
  <c r="T14" i="20" s="1"/>
  <c r="U14" i="20" s="1"/>
  <c r="P16" i="23" l="1"/>
  <c r="Z11" i="20"/>
  <c r="Z6" i="20"/>
  <c r="Z9" i="21"/>
  <c r="P3" i="23"/>
  <c r="AA3" i="23"/>
  <c r="P7" i="23"/>
  <c r="P12" i="23"/>
  <c r="AA16" i="23"/>
  <c r="AA21" i="23"/>
  <c r="U11" i="22"/>
  <c r="V11" i="22" s="1"/>
  <c r="T6" i="22"/>
  <c r="Y6" i="22"/>
  <c r="S6" i="22"/>
  <c r="U3" i="22"/>
  <c r="V3" i="22" s="1"/>
  <c r="Y14" i="22"/>
  <c r="T14" i="22"/>
  <c r="S14" i="22"/>
  <c r="Z6" i="21"/>
  <c r="V6" i="21"/>
  <c r="W6" i="21" s="1"/>
  <c r="Z17" i="21"/>
  <c r="V9" i="21"/>
  <c r="W9" i="21" s="1"/>
  <c r="V14" i="21"/>
  <c r="W14" i="21" s="1"/>
  <c r="Z3" i="20"/>
  <c r="V3" i="20"/>
  <c r="W3" i="20" s="1"/>
  <c r="Z14" i="20"/>
  <c r="V11" i="20"/>
  <c r="W11" i="20" s="1"/>
  <c r="V6" i="20"/>
  <c r="W6" i="20" s="1"/>
  <c r="S16" i="23" l="1"/>
  <c r="S7" i="23"/>
  <c r="T7" i="23" s="1"/>
  <c r="W7" i="23" s="1"/>
  <c r="X7" i="23" s="1"/>
  <c r="Y7" i="23" s="1"/>
  <c r="S3" i="23"/>
  <c r="T3" i="23" s="1"/>
  <c r="W3" i="23" s="1"/>
  <c r="X3" i="23" s="1"/>
  <c r="Y3" i="23" s="1"/>
  <c r="S12" i="23"/>
  <c r="T12" i="23" s="1"/>
  <c r="W12" i="23" s="1"/>
  <c r="X12" i="23" s="1"/>
  <c r="Y12" i="23" s="1"/>
  <c r="U14" i="22"/>
  <c r="V14" i="22" s="1"/>
  <c r="U6" i="22"/>
  <c r="V6" i="22" s="1"/>
  <c r="V17" i="21"/>
  <c r="W17" i="21" s="1"/>
  <c r="V14" i="20"/>
  <c r="W14" i="20" s="1"/>
  <c r="F28" i="17"/>
  <c r="H28" i="17" s="1"/>
  <c r="I28" i="17" s="1"/>
  <c r="K28" i="17" s="1"/>
  <c r="N28" i="17" s="1"/>
  <c r="H25" i="17"/>
  <c r="I25" i="17" s="1"/>
  <c r="K25" i="17" s="1"/>
  <c r="N25" i="17" s="1"/>
  <c r="F26" i="17"/>
  <c r="H26" i="17" s="1"/>
  <c r="I26" i="17" s="1"/>
  <c r="K26" i="17" s="1"/>
  <c r="N26" i="17" s="1"/>
  <c r="F27" i="17"/>
  <c r="H27" i="17" s="1"/>
  <c r="I27" i="17" s="1"/>
  <c r="K27" i="17" s="1"/>
  <c r="N27" i="17" s="1"/>
  <c r="H24" i="17"/>
  <c r="I24" i="17" s="1"/>
  <c r="K24" i="17" s="1"/>
  <c r="N24" i="17" s="1"/>
  <c r="F24" i="17"/>
  <c r="S42" i="2"/>
  <c r="R42" i="2"/>
  <c r="Q42" i="2"/>
  <c r="S41" i="2"/>
  <c r="R41" i="2"/>
  <c r="Q41" i="2"/>
  <c r="M20" i="2"/>
  <c r="H20" i="2"/>
  <c r="G20" i="2"/>
  <c r="F20" i="2"/>
  <c r="M16" i="2"/>
  <c r="H16" i="2"/>
  <c r="G16" i="2"/>
  <c r="F16" i="2"/>
  <c r="C42" i="2"/>
  <c r="B42" i="2"/>
  <c r="A42" i="2"/>
  <c r="C41" i="2"/>
  <c r="B41" i="2"/>
  <c r="A41" i="2"/>
  <c r="M8" i="2"/>
  <c r="H8" i="2"/>
  <c r="G8" i="2"/>
  <c r="F8" i="2"/>
  <c r="T16" i="23" l="1"/>
  <c r="W16" i="23" s="1"/>
  <c r="X16" i="23" s="1"/>
  <c r="Y16" i="23" s="1"/>
  <c r="J20" i="2"/>
  <c r="K20" i="2" s="1"/>
  <c r="N20" i="2" s="1"/>
  <c r="Z20" i="2" s="1"/>
  <c r="J16" i="2"/>
  <c r="K16" i="2" s="1"/>
  <c r="N16" i="2" s="1"/>
  <c r="Z16" i="2" s="1"/>
  <c r="J8" i="2"/>
  <c r="K8" i="2" s="1"/>
  <c r="N8" i="2" s="1"/>
  <c r="Z8" i="2" s="1"/>
  <c r="T45" i="2"/>
  <c r="T44" i="2"/>
  <c r="T43" i="2"/>
  <c r="T42" i="2"/>
  <c r="T41" i="2"/>
  <c r="R34" i="2"/>
  <c r="Q3" i="12"/>
  <c r="L3" i="12"/>
  <c r="J3" i="12"/>
  <c r="K3" i="12" s="1"/>
  <c r="M14" i="9"/>
  <c r="H14" i="9"/>
  <c r="F14" i="9"/>
  <c r="G14" i="9" s="1"/>
  <c r="M11" i="9"/>
  <c r="H11" i="9"/>
  <c r="G11" i="9"/>
  <c r="F11" i="9"/>
  <c r="M6" i="9"/>
  <c r="H6" i="9"/>
  <c r="F6" i="9"/>
  <c r="G6" i="9" s="1"/>
  <c r="M3" i="9"/>
  <c r="H3" i="9"/>
  <c r="G3" i="9"/>
  <c r="F3" i="9"/>
  <c r="M14" i="13"/>
  <c r="H14" i="13"/>
  <c r="F14" i="13"/>
  <c r="G14" i="13" s="1"/>
  <c r="M11" i="13"/>
  <c r="H11" i="13"/>
  <c r="G11" i="13"/>
  <c r="F11" i="13"/>
  <c r="M6" i="13"/>
  <c r="H6" i="13"/>
  <c r="F6" i="13"/>
  <c r="G6" i="13" s="1"/>
  <c r="M3" i="13"/>
  <c r="H3" i="13"/>
  <c r="G3" i="13"/>
  <c r="F3" i="13"/>
  <c r="M17" i="7"/>
  <c r="H17" i="7"/>
  <c r="F17" i="7"/>
  <c r="G17" i="7" s="1"/>
  <c r="M14" i="7"/>
  <c r="H14" i="7"/>
  <c r="G14" i="7"/>
  <c r="F14" i="7"/>
  <c r="M9" i="7"/>
  <c r="H9" i="7"/>
  <c r="F9" i="7"/>
  <c r="G9" i="7" s="1"/>
  <c r="M6" i="7"/>
  <c r="H6" i="7"/>
  <c r="G6" i="7"/>
  <c r="F6" i="7"/>
  <c r="M18" i="18"/>
  <c r="H18" i="18"/>
  <c r="F18" i="18"/>
  <c r="G18" i="18" s="1"/>
  <c r="M15" i="18"/>
  <c r="H15" i="18"/>
  <c r="G15" i="18"/>
  <c r="F15" i="18"/>
  <c r="M10" i="18"/>
  <c r="H10" i="18"/>
  <c r="F10" i="18"/>
  <c r="G10" i="18" s="1"/>
  <c r="M7" i="18"/>
  <c r="H7" i="18"/>
  <c r="G7" i="18"/>
  <c r="F7" i="18"/>
  <c r="L30" i="2"/>
  <c r="G30" i="2"/>
  <c r="E30" i="2"/>
  <c r="F30" i="2" s="1"/>
  <c r="M4" i="2"/>
  <c r="H4" i="2"/>
  <c r="G4" i="2"/>
  <c r="F4" i="2"/>
  <c r="I12" i="17"/>
  <c r="D12" i="17"/>
  <c r="D11" i="17"/>
  <c r="D10" i="17"/>
  <c r="D9" i="17"/>
  <c r="D8" i="17"/>
  <c r="M6" i="17"/>
  <c r="M5" i="17"/>
  <c r="M4" i="17"/>
  <c r="M3" i="17"/>
  <c r="B1" i="17"/>
  <c r="J3" i="9" l="1"/>
  <c r="K3" i="9" s="1"/>
  <c r="N3" i="9" s="1"/>
  <c r="J11" i="13"/>
  <c r="K11" i="13" s="1"/>
  <c r="N11" i="13" s="1"/>
  <c r="S11" i="13" s="1"/>
  <c r="T11" i="13" s="1"/>
  <c r="U11" i="13" s="1"/>
  <c r="J17" i="7"/>
  <c r="K17" i="7" s="1"/>
  <c r="N17" i="7" s="1"/>
  <c r="J14" i="7"/>
  <c r="K14" i="7" s="1"/>
  <c r="N14" i="7" s="1"/>
  <c r="E9" i="17"/>
  <c r="F9" i="17" s="1"/>
  <c r="G9" i="17" s="1"/>
  <c r="E10" i="17"/>
  <c r="F10" i="17" s="1"/>
  <c r="G10" i="17" s="1"/>
  <c r="E12" i="17"/>
  <c r="F12" i="17" s="1"/>
  <c r="G12" i="17" s="1"/>
  <c r="E8" i="17"/>
  <c r="F8" i="17" s="1"/>
  <c r="G8" i="17" s="1"/>
  <c r="G14" i="17" s="1"/>
  <c r="E11" i="17"/>
  <c r="F11" i="17" s="1"/>
  <c r="G11" i="17" s="1"/>
  <c r="J15" i="18"/>
  <c r="K15" i="18" s="1"/>
  <c r="N15" i="18" s="1"/>
  <c r="S15" i="18" s="1"/>
  <c r="T15" i="18" s="1"/>
  <c r="U15" i="18" s="1"/>
  <c r="I30" i="2"/>
  <c r="J30" i="2" s="1"/>
  <c r="P30" i="2" s="1"/>
  <c r="J11" i="9"/>
  <c r="K11" i="9" s="1"/>
  <c r="N11" i="9" s="1"/>
  <c r="S11" i="9" s="1"/>
  <c r="T11" i="9" s="1"/>
  <c r="U11" i="9" s="1"/>
  <c r="J3" i="13"/>
  <c r="K3" i="13" s="1"/>
  <c r="N3" i="13" s="1"/>
  <c r="AB18" i="13" s="1"/>
  <c r="J7" i="18"/>
  <c r="K7" i="18" s="1"/>
  <c r="N7" i="18" s="1"/>
  <c r="J6" i="7"/>
  <c r="K6" i="7" s="1"/>
  <c r="N6" i="7" s="1"/>
  <c r="Y21" i="7" s="1"/>
  <c r="J4" i="2"/>
  <c r="K4" i="2" s="1"/>
  <c r="N4" i="2" s="1"/>
  <c r="Z4" i="2" s="1"/>
  <c r="N3" i="12"/>
  <c r="O3" i="12" s="1"/>
  <c r="R3" i="12" s="1"/>
  <c r="J6" i="9"/>
  <c r="K6" i="9" s="1"/>
  <c r="N6" i="9" s="1"/>
  <c r="S6" i="9" s="1"/>
  <c r="J14" i="9"/>
  <c r="K14" i="9" s="1"/>
  <c r="N14" i="9" s="1"/>
  <c r="S14" i="9" s="1"/>
  <c r="T14" i="9" s="1"/>
  <c r="U14" i="9" s="1"/>
  <c r="J6" i="13"/>
  <c r="K6" i="13" s="1"/>
  <c r="N6" i="13" s="1"/>
  <c r="J14" i="13"/>
  <c r="K14" i="13" s="1"/>
  <c r="N14" i="13" s="1"/>
  <c r="S14" i="13" s="1"/>
  <c r="T14" i="13" s="1"/>
  <c r="U14" i="13" s="1"/>
  <c r="J9" i="7"/>
  <c r="K9" i="7" s="1"/>
  <c r="N9" i="7" s="1"/>
  <c r="J10" i="18"/>
  <c r="K10" i="18" s="1"/>
  <c r="N10" i="18" s="1"/>
  <c r="J18" i="18"/>
  <c r="K18" i="18" s="1"/>
  <c r="N18" i="18" s="1"/>
  <c r="S18" i="18" s="1"/>
  <c r="T18" i="18" s="1"/>
  <c r="U18" i="18" s="1"/>
  <c r="D41" i="2"/>
  <c r="AC3" i="12" l="1"/>
  <c r="U3" i="12"/>
  <c r="V3" i="12" s="1"/>
  <c r="S3" i="9"/>
  <c r="T3" i="9" s="1"/>
  <c r="AC20" i="9" s="1"/>
  <c r="X18" i="9"/>
  <c r="S6" i="13"/>
  <c r="T6" i="13" s="1"/>
  <c r="AB27" i="13"/>
  <c r="T6" i="9"/>
  <c r="U6" i="9" s="1"/>
  <c r="S10" i="18"/>
  <c r="T10" i="18" s="1"/>
  <c r="Y34" i="18"/>
  <c r="S7" i="18"/>
  <c r="T7" i="18" s="1"/>
  <c r="Y25" i="18"/>
  <c r="Z3" i="9"/>
  <c r="Z11" i="13"/>
  <c r="S9" i="7"/>
  <c r="T9" i="7" s="1"/>
  <c r="Y30" i="7"/>
  <c r="Z14" i="7"/>
  <c r="S14" i="7"/>
  <c r="T14" i="7" s="1"/>
  <c r="U14" i="7" s="1"/>
  <c r="V14" i="7" s="1"/>
  <c r="W14" i="7" s="1"/>
  <c r="Z6" i="7"/>
  <c r="S6" i="7"/>
  <c r="T6" i="7" s="1"/>
  <c r="Z17" i="7"/>
  <c r="S17" i="7"/>
  <c r="T17" i="7" s="1"/>
  <c r="U17" i="7" s="1"/>
  <c r="V17" i="7" s="1"/>
  <c r="W17" i="7" s="1"/>
  <c r="Z3" i="13"/>
  <c r="S3" i="13"/>
  <c r="T3" i="13" s="1"/>
  <c r="Z15" i="18"/>
  <c r="Y30" i="2"/>
  <c r="R30" i="2"/>
  <c r="U30" i="2" s="1"/>
  <c r="V30" i="2" s="1"/>
  <c r="W30" i="2" s="1"/>
  <c r="Z11" i="9"/>
  <c r="Z7" i="18"/>
  <c r="Z14" i="9"/>
  <c r="V11" i="9"/>
  <c r="W11" i="9" s="1"/>
  <c r="Z6" i="9"/>
  <c r="Z6" i="13"/>
  <c r="Z14" i="13"/>
  <c r="V11" i="13"/>
  <c r="W11" i="13" s="1"/>
  <c r="Z9" i="7"/>
  <c r="V15" i="18"/>
  <c r="W15" i="18" s="1"/>
  <c r="Z10" i="18"/>
  <c r="Z18" i="18"/>
  <c r="U3" i="9" l="1"/>
  <c r="V3" i="9" s="1"/>
  <c r="X20" i="9"/>
  <c r="U6" i="13"/>
  <c r="V6" i="13" s="1"/>
  <c r="AB29" i="13"/>
  <c r="U3" i="13"/>
  <c r="V3" i="13" s="1"/>
  <c r="AB21" i="13" s="1"/>
  <c r="AB20" i="13"/>
  <c r="U10" i="18"/>
  <c r="V10" i="18" s="1"/>
  <c r="Y36" i="18"/>
  <c r="U7" i="18"/>
  <c r="V7" i="18" s="1"/>
  <c r="Y27" i="18"/>
  <c r="U6" i="7"/>
  <c r="V6" i="7" s="1"/>
  <c r="Y23" i="7"/>
  <c r="U9" i="7"/>
  <c r="V9" i="7" s="1"/>
  <c r="Y32" i="7"/>
  <c r="V6" i="9"/>
  <c r="V14" i="9"/>
  <c r="W14" i="9" s="1"/>
  <c r="V14" i="13"/>
  <c r="W14" i="13" s="1"/>
  <c r="V18" i="18"/>
  <c r="W18" i="18" s="1"/>
  <c r="F20" i="16"/>
  <c r="E20" i="16"/>
  <c r="C20" i="16"/>
  <c r="F19" i="16"/>
  <c r="E19" i="16"/>
  <c r="C19" i="16"/>
  <c r="F18" i="16"/>
  <c r="E18" i="16"/>
  <c r="C18" i="16"/>
  <c r="F17" i="16"/>
  <c r="E17" i="16"/>
  <c r="C17" i="16"/>
  <c r="F16" i="16"/>
  <c r="E16" i="16"/>
  <c r="C16" i="16"/>
  <c r="F15" i="16"/>
  <c r="E15" i="16"/>
  <c r="C15" i="16"/>
  <c r="F14" i="16"/>
  <c r="E14" i="16"/>
  <c r="C14" i="16"/>
  <c r="F13" i="16"/>
  <c r="E13" i="16"/>
  <c r="C13" i="16"/>
  <c r="F12" i="16"/>
  <c r="E12" i="16"/>
  <c r="C12" i="16"/>
  <c r="F11" i="16"/>
  <c r="E11" i="16"/>
  <c r="C11" i="16"/>
  <c r="F10" i="16"/>
  <c r="E10" i="16"/>
  <c r="J10" i="16" s="1"/>
  <c r="C10" i="16"/>
  <c r="F9" i="16"/>
  <c r="E9" i="16"/>
  <c r="C9" i="16"/>
  <c r="F8" i="16"/>
  <c r="E8" i="16"/>
  <c r="C8" i="16"/>
  <c r="J7" i="16"/>
  <c r="F7" i="16"/>
  <c r="E7" i="16"/>
  <c r="C7" i="16"/>
  <c r="F6" i="16"/>
  <c r="E6" i="16"/>
  <c r="C6" i="16"/>
  <c r="F5" i="16"/>
  <c r="E5" i="16"/>
  <c r="C5" i="16"/>
  <c r="F4" i="16"/>
  <c r="E4" i="16"/>
  <c r="C4" i="16"/>
  <c r="F3" i="16"/>
  <c r="C3" i="16"/>
  <c r="M18" i="15"/>
  <c r="H18" i="15"/>
  <c r="F18" i="15"/>
  <c r="G18" i="15" s="1"/>
  <c r="M15" i="15"/>
  <c r="H15" i="15"/>
  <c r="G15" i="15"/>
  <c r="F15" i="15"/>
  <c r="M9" i="15"/>
  <c r="H9" i="15"/>
  <c r="F9" i="15"/>
  <c r="G9" i="15" s="1"/>
  <c r="M6" i="15"/>
  <c r="H6" i="15"/>
  <c r="G6" i="15"/>
  <c r="F6" i="15"/>
  <c r="M17" i="14"/>
  <c r="H17" i="14"/>
  <c r="F17" i="14"/>
  <c r="G17" i="14" s="1"/>
  <c r="M14" i="14"/>
  <c r="H14" i="14"/>
  <c r="J14" i="14" s="1"/>
  <c r="K14" i="14" s="1"/>
  <c r="N14" i="14" s="1"/>
  <c r="S14" i="14" s="1"/>
  <c r="T14" i="14" s="1"/>
  <c r="U14" i="14" s="1"/>
  <c r="G14" i="14"/>
  <c r="F14" i="14"/>
  <c r="M9" i="14"/>
  <c r="H9" i="14"/>
  <c r="F9" i="14"/>
  <c r="G9" i="14" s="1"/>
  <c r="M6" i="14"/>
  <c r="H6" i="14"/>
  <c r="G6" i="14"/>
  <c r="F6" i="14"/>
  <c r="D45" i="2"/>
  <c r="D44" i="2"/>
  <c r="D43" i="2"/>
  <c r="E43" i="2" s="1"/>
  <c r="F43" i="2" s="1"/>
  <c r="G43" i="2" s="1"/>
  <c r="D42" i="2"/>
  <c r="M39" i="2"/>
  <c r="M38" i="2"/>
  <c r="M37" i="2"/>
  <c r="M36" i="2"/>
  <c r="B34" i="2"/>
  <c r="M7" i="3"/>
  <c r="H7" i="3"/>
  <c r="F7" i="3"/>
  <c r="G7" i="3" s="1"/>
  <c r="M3" i="3"/>
  <c r="H3" i="3"/>
  <c r="G3" i="3"/>
  <c r="F3" i="3"/>
  <c r="M12" i="11"/>
  <c r="H12" i="11"/>
  <c r="F12" i="11"/>
  <c r="G12" i="11" s="1"/>
  <c r="F6" i="11"/>
  <c r="G6" i="11"/>
  <c r="H6" i="11"/>
  <c r="M6" i="11"/>
  <c r="F10" i="11"/>
  <c r="G10" i="11" s="1"/>
  <c r="H10" i="11"/>
  <c r="M10" i="11"/>
  <c r="M3" i="11"/>
  <c r="H3" i="11"/>
  <c r="G3" i="11"/>
  <c r="F3" i="11"/>
  <c r="X21" i="9" l="1"/>
  <c r="AC21" i="9"/>
  <c r="W3" i="9"/>
  <c r="W3" i="13"/>
  <c r="AB23" i="13" s="1"/>
  <c r="W6" i="13"/>
  <c r="AB32" i="13" s="1"/>
  <c r="AB30" i="13"/>
  <c r="W6" i="9"/>
  <c r="W10" i="18"/>
  <c r="Y39" i="18" s="1"/>
  <c r="Y37" i="18"/>
  <c r="W7" i="18"/>
  <c r="Y30" i="18" s="1"/>
  <c r="Y28" i="18"/>
  <c r="E42" i="2"/>
  <c r="F42" i="2" s="1"/>
  <c r="G42" i="2" s="1"/>
  <c r="W6" i="7"/>
  <c r="Y26" i="7" s="1"/>
  <c r="Y24" i="7"/>
  <c r="W9" i="7"/>
  <c r="Y35" i="7" s="1"/>
  <c r="Y33" i="7"/>
  <c r="J15" i="15"/>
  <c r="K15" i="15" s="1"/>
  <c r="O15" i="15" s="1"/>
  <c r="T15" i="15" s="1"/>
  <c r="U15" i="15" s="1"/>
  <c r="V15" i="15" s="1"/>
  <c r="J18" i="15"/>
  <c r="K18" i="15" s="1"/>
  <c r="O18" i="15" s="1"/>
  <c r="T18" i="15" s="1"/>
  <c r="U18" i="15" s="1"/>
  <c r="V18" i="15" s="1"/>
  <c r="J6" i="14"/>
  <c r="K6" i="14" s="1"/>
  <c r="N6" i="14" s="1"/>
  <c r="S6" i="14" s="1"/>
  <c r="T6" i="14" s="1"/>
  <c r="U6" i="14" s="1"/>
  <c r="E41" i="2"/>
  <c r="F41" i="2" s="1"/>
  <c r="G41" i="2" s="1"/>
  <c r="U44" i="2"/>
  <c r="V44" i="2" s="1"/>
  <c r="W44" i="2" s="1"/>
  <c r="U41" i="2"/>
  <c r="V41" i="2" s="1"/>
  <c r="W41" i="2" s="1"/>
  <c r="O16" i="2" s="1"/>
  <c r="P16" i="2" s="1"/>
  <c r="S16" i="2" s="1"/>
  <c r="V16" i="2" s="1"/>
  <c r="W16" i="2" s="1"/>
  <c r="X16" i="2" s="1"/>
  <c r="U42" i="2"/>
  <c r="V42" i="2" s="1"/>
  <c r="W42" i="2" s="1"/>
  <c r="O20" i="2" s="1"/>
  <c r="P20" i="2" s="1"/>
  <c r="S20" i="2" s="1"/>
  <c r="V20" i="2" s="1"/>
  <c r="W20" i="2" s="1"/>
  <c r="X20" i="2" s="1"/>
  <c r="U43" i="2"/>
  <c r="V43" i="2" s="1"/>
  <c r="W43" i="2" s="1"/>
  <c r="U45" i="2"/>
  <c r="V45" i="2" s="1"/>
  <c r="W45" i="2" s="1"/>
  <c r="J9" i="14"/>
  <c r="K9" i="14" s="1"/>
  <c r="N9" i="14" s="1"/>
  <c r="J17" i="14"/>
  <c r="K17" i="14" s="1"/>
  <c r="N17" i="14" s="1"/>
  <c r="S17" i="14" s="1"/>
  <c r="T17" i="14" s="1"/>
  <c r="U17" i="14" s="1"/>
  <c r="J10" i="11"/>
  <c r="K10" i="11" s="1"/>
  <c r="N10" i="11" s="1"/>
  <c r="J11" i="16"/>
  <c r="P11" i="16" s="1"/>
  <c r="J17" i="16"/>
  <c r="L17" i="16" s="1"/>
  <c r="M17" i="16" s="1"/>
  <c r="O17" i="16" s="1"/>
  <c r="Q17" i="16" s="1"/>
  <c r="J19" i="16"/>
  <c r="L19" i="16" s="1"/>
  <c r="M19" i="16" s="1"/>
  <c r="O19" i="16" s="1"/>
  <c r="Q19" i="16" s="1"/>
  <c r="J20" i="16"/>
  <c r="L20" i="16" s="1"/>
  <c r="M20" i="16" s="1"/>
  <c r="O20" i="16" s="1"/>
  <c r="Q20" i="16" s="1"/>
  <c r="J13" i="16"/>
  <c r="P13" i="16" s="1"/>
  <c r="J3" i="16"/>
  <c r="L3" i="16" s="1"/>
  <c r="M3" i="16" s="1"/>
  <c r="O3" i="16" s="1"/>
  <c r="Q3" i="16" s="1"/>
  <c r="J4" i="16"/>
  <c r="L4" i="16" s="1"/>
  <c r="M4" i="16" s="1"/>
  <c r="O4" i="16" s="1"/>
  <c r="Q4" i="16" s="1"/>
  <c r="J14" i="16"/>
  <c r="L14" i="16" s="1"/>
  <c r="M14" i="16" s="1"/>
  <c r="O14" i="16" s="1"/>
  <c r="Q14" i="16" s="1"/>
  <c r="J8" i="16"/>
  <c r="L8" i="16" s="1"/>
  <c r="M8" i="16" s="1"/>
  <c r="O8" i="16" s="1"/>
  <c r="Q8" i="16" s="1"/>
  <c r="J5" i="16"/>
  <c r="L5" i="16" s="1"/>
  <c r="M5" i="16" s="1"/>
  <c r="O5" i="16" s="1"/>
  <c r="Q5" i="16" s="1"/>
  <c r="J9" i="16"/>
  <c r="L9" i="16" s="1"/>
  <c r="M9" i="16" s="1"/>
  <c r="O9" i="16" s="1"/>
  <c r="Q9" i="16" s="1"/>
  <c r="J12" i="16"/>
  <c r="L12" i="16" s="1"/>
  <c r="M12" i="16" s="1"/>
  <c r="O12" i="16" s="1"/>
  <c r="Q12" i="16" s="1"/>
  <c r="J16" i="16"/>
  <c r="P16" i="16" s="1"/>
  <c r="J6" i="16"/>
  <c r="P6" i="16" s="1"/>
  <c r="J18" i="16"/>
  <c r="J15" i="16"/>
  <c r="L15" i="16" s="1"/>
  <c r="M15" i="16" s="1"/>
  <c r="O15" i="16" s="1"/>
  <c r="Q15" i="16" s="1"/>
  <c r="P10" i="16"/>
  <c r="L10" i="16"/>
  <c r="M10" i="16" s="1"/>
  <c r="O10" i="16" s="1"/>
  <c r="Q10" i="16" s="1"/>
  <c r="P18" i="16"/>
  <c r="L18" i="16"/>
  <c r="M18" i="16" s="1"/>
  <c r="O18" i="16" s="1"/>
  <c r="Q18" i="16" s="1"/>
  <c r="P7" i="16"/>
  <c r="L7" i="16"/>
  <c r="M7" i="16" s="1"/>
  <c r="O7" i="16" s="1"/>
  <c r="Q7" i="16" s="1"/>
  <c r="P15" i="16"/>
  <c r="L11" i="16"/>
  <c r="M11" i="16" s="1"/>
  <c r="O11" i="16" s="1"/>
  <c r="Q11" i="16" s="1"/>
  <c r="J9" i="15"/>
  <c r="K9" i="15" s="1"/>
  <c r="O9" i="15" s="1"/>
  <c r="J6" i="15"/>
  <c r="K6" i="15" s="1"/>
  <c r="O6" i="15" s="1"/>
  <c r="T6" i="15" s="1"/>
  <c r="U6" i="15" s="1"/>
  <c r="Z14" i="14"/>
  <c r="E44" i="2"/>
  <c r="F44" i="2" s="1"/>
  <c r="G44" i="2" s="1"/>
  <c r="E45" i="2"/>
  <c r="F45" i="2" s="1"/>
  <c r="G45" i="2" s="1"/>
  <c r="J3" i="3"/>
  <c r="K3" i="3" s="1"/>
  <c r="N3" i="3" s="1"/>
  <c r="X3" i="3" s="1"/>
  <c r="J7" i="3"/>
  <c r="K7" i="3" s="1"/>
  <c r="N7" i="3" s="1"/>
  <c r="Q7" i="3" s="1"/>
  <c r="T7" i="3" s="1"/>
  <c r="J6" i="11"/>
  <c r="K6" i="11" s="1"/>
  <c r="N6" i="11" s="1"/>
  <c r="J12" i="11"/>
  <c r="K12" i="11" s="1"/>
  <c r="N12" i="11" s="1"/>
  <c r="S12" i="11" s="1"/>
  <c r="T12" i="11" s="1"/>
  <c r="U12" i="11" s="1"/>
  <c r="J3" i="11"/>
  <c r="K3" i="11" s="1"/>
  <c r="N3" i="11" s="1"/>
  <c r="M10" i="10"/>
  <c r="H10" i="10"/>
  <c r="F10" i="10"/>
  <c r="G10" i="10" s="1"/>
  <c r="M6" i="10"/>
  <c r="H6" i="10"/>
  <c r="G6" i="10"/>
  <c r="F6" i="10"/>
  <c r="M10" i="4"/>
  <c r="H10" i="4"/>
  <c r="F10" i="4"/>
  <c r="G10" i="4" s="1"/>
  <c r="M6" i="4"/>
  <c r="H6" i="4"/>
  <c r="G6" i="4"/>
  <c r="F6" i="4"/>
  <c r="M7" i="8"/>
  <c r="H7" i="8"/>
  <c r="F7" i="8"/>
  <c r="G7" i="8" s="1"/>
  <c r="M3" i="8"/>
  <c r="H3" i="8"/>
  <c r="G3" i="8"/>
  <c r="F3" i="8"/>
  <c r="M12" i="1"/>
  <c r="M13" i="1"/>
  <c r="M14" i="1"/>
  <c r="M15" i="1"/>
  <c r="H12" i="1"/>
  <c r="H13" i="1"/>
  <c r="H14" i="1"/>
  <c r="H15" i="1"/>
  <c r="F12" i="1"/>
  <c r="G12" i="1" s="1"/>
  <c r="F13" i="1"/>
  <c r="G13" i="1" s="1"/>
  <c r="F14" i="1"/>
  <c r="G14" i="1" s="1"/>
  <c r="F15" i="1"/>
  <c r="G15" i="1" s="1"/>
  <c r="M4" i="1"/>
  <c r="M5" i="1"/>
  <c r="M6" i="1"/>
  <c r="M7" i="1"/>
  <c r="H4" i="1"/>
  <c r="H5" i="1"/>
  <c r="H6" i="1"/>
  <c r="H7" i="1"/>
  <c r="G4" i="1"/>
  <c r="G5" i="1"/>
  <c r="G6" i="1"/>
  <c r="G7" i="1"/>
  <c r="F4" i="1"/>
  <c r="F5" i="1"/>
  <c r="F6" i="1"/>
  <c r="F7" i="1"/>
  <c r="M11" i="1"/>
  <c r="M3" i="1"/>
  <c r="G3" i="1"/>
  <c r="F3" i="1"/>
  <c r="O8" i="2" l="1"/>
  <c r="P8" i="2" s="1"/>
  <c r="S8" i="2" s="1"/>
  <c r="V8" i="2" s="1"/>
  <c r="W8" i="2" s="1"/>
  <c r="X8" i="2" s="1"/>
  <c r="O4" i="2"/>
  <c r="P4" i="2" s="1"/>
  <c r="S4" i="2" s="1"/>
  <c r="V4" i="2" s="1"/>
  <c r="W4" i="2" s="1"/>
  <c r="X4" i="2" s="1"/>
  <c r="X23" i="9"/>
  <c r="AC23" i="9"/>
  <c r="S9" i="14"/>
  <c r="T9" i="14" s="1"/>
  <c r="X30" i="14"/>
  <c r="AA18" i="15"/>
  <c r="Z3" i="11"/>
  <c r="S3" i="11"/>
  <c r="T3" i="11" s="1"/>
  <c r="U3" i="11" s="1"/>
  <c r="V3" i="11" s="1"/>
  <c r="W3" i="11" s="1"/>
  <c r="P19" i="16"/>
  <c r="P20" i="16"/>
  <c r="L13" i="16"/>
  <c r="M13" i="16" s="1"/>
  <c r="O13" i="16" s="1"/>
  <c r="Q13" i="16" s="1"/>
  <c r="P14" i="16"/>
  <c r="AA9" i="15"/>
  <c r="T9" i="15"/>
  <c r="U9" i="15" s="1"/>
  <c r="V9" i="15" s="1"/>
  <c r="W9" i="15" s="1"/>
  <c r="X9" i="15" s="1"/>
  <c r="AA15" i="15"/>
  <c r="Z6" i="14"/>
  <c r="Z10" i="11"/>
  <c r="S10" i="11"/>
  <c r="T10" i="11" s="1"/>
  <c r="U10" i="11" s="1"/>
  <c r="V10" i="11" s="1"/>
  <c r="W10" i="11" s="1"/>
  <c r="Z9" i="14"/>
  <c r="Z17" i="14"/>
  <c r="P4" i="16"/>
  <c r="P17" i="16"/>
  <c r="L16" i="16"/>
  <c r="M16" i="16" s="1"/>
  <c r="O16" i="16" s="1"/>
  <c r="Q16" i="16" s="1"/>
  <c r="P3" i="16"/>
  <c r="P12" i="16"/>
  <c r="P9" i="16"/>
  <c r="P5" i="16"/>
  <c r="N10" i="16"/>
  <c r="N5" i="16"/>
  <c r="L6" i="16"/>
  <c r="M6" i="16" s="1"/>
  <c r="O6" i="16" s="1"/>
  <c r="Q6" i="16" s="1"/>
  <c r="P8" i="16"/>
  <c r="J15" i="1"/>
  <c r="K15" i="1" s="1"/>
  <c r="N15" i="1" s="1"/>
  <c r="N9" i="16"/>
  <c r="N8" i="16"/>
  <c r="N7" i="16"/>
  <c r="N18" i="16"/>
  <c r="N13" i="16"/>
  <c r="N14" i="16"/>
  <c r="N3" i="16"/>
  <c r="N19" i="16"/>
  <c r="N17" i="16"/>
  <c r="N15" i="16"/>
  <c r="N12" i="16"/>
  <c r="N20" i="16"/>
  <c r="N4" i="16"/>
  <c r="N11" i="16"/>
  <c r="V6" i="15"/>
  <c r="W6" i="15" s="1"/>
  <c r="X6" i="15" s="1"/>
  <c r="AA6" i="15"/>
  <c r="W18" i="15"/>
  <c r="X18" i="15" s="1"/>
  <c r="W15" i="15"/>
  <c r="X15" i="15" s="1"/>
  <c r="V14" i="14"/>
  <c r="W14" i="14" s="1"/>
  <c r="V17" i="14"/>
  <c r="W17" i="14" s="1"/>
  <c r="V6" i="14"/>
  <c r="W6" i="14" s="1"/>
  <c r="X7" i="3"/>
  <c r="Q3" i="3"/>
  <c r="T3" i="3" s="1"/>
  <c r="U3" i="3" s="1"/>
  <c r="V3" i="3" s="1"/>
  <c r="U7" i="3"/>
  <c r="V7" i="3" s="1"/>
  <c r="V6" i="11"/>
  <c r="W6" i="11" s="1"/>
  <c r="Z6" i="11"/>
  <c r="V12" i="11"/>
  <c r="W12" i="11" s="1"/>
  <c r="Z12" i="11"/>
  <c r="J6" i="10"/>
  <c r="K6" i="10" s="1"/>
  <c r="N6" i="10" s="1"/>
  <c r="Q22" i="10" s="1"/>
  <c r="J10" i="10"/>
  <c r="K10" i="10" s="1"/>
  <c r="N10" i="10" s="1"/>
  <c r="Y22" i="10" s="1"/>
  <c r="J6" i="4"/>
  <c r="K6" i="4" s="1"/>
  <c r="N6" i="4" s="1"/>
  <c r="J10" i="4"/>
  <c r="K10" i="4" s="1"/>
  <c r="N10" i="4" s="1"/>
  <c r="J7" i="8"/>
  <c r="K7" i="8" s="1"/>
  <c r="N7" i="8" s="1"/>
  <c r="J3" i="8"/>
  <c r="K3" i="8" s="1"/>
  <c r="N3" i="8" s="1"/>
  <c r="J13" i="1"/>
  <c r="K13" i="1" s="1"/>
  <c r="N13" i="1" s="1"/>
  <c r="J12" i="1"/>
  <c r="K12" i="1" s="1"/>
  <c r="N12" i="1" s="1"/>
  <c r="J6" i="1"/>
  <c r="K6" i="1" s="1"/>
  <c r="N6" i="1" s="1"/>
  <c r="J14" i="1"/>
  <c r="K14" i="1" s="1"/>
  <c r="N14" i="1" s="1"/>
  <c r="J7" i="1"/>
  <c r="K7" i="1" s="1"/>
  <c r="N7" i="1" s="1"/>
  <c r="J4" i="1"/>
  <c r="K4" i="1" s="1"/>
  <c r="N4" i="1" s="1"/>
  <c r="J5" i="1"/>
  <c r="K5" i="1" s="1"/>
  <c r="N5" i="1" s="1"/>
  <c r="H11" i="1"/>
  <c r="Q6" i="4" l="1"/>
  <c r="R6" i="4" s="1"/>
  <c r="U17" i="4" s="1"/>
  <c r="U15" i="4"/>
  <c r="Q6" i="10"/>
  <c r="U9" i="14"/>
  <c r="V9" i="14" s="1"/>
  <c r="X32" i="14"/>
  <c r="Q10" i="4"/>
  <c r="R10" i="4" s="1"/>
  <c r="U26" i="4" s="1"/>
  <c r="U24" i="4"/>
  <c r="R10" i="10"/>
  <c r="U10" i="10" s="1"/>
  <c r="Y24" i="10" s="1"/>
  <c r="Q10" i="10"/>
  <c r="Y6" i="4"/>
  <c r="Q3" i="8"/>
  <c r="R3" i="8" s="1"/>
  <c r="U3" i="8" s="1"/>
  <c r="X13" i="8"/>
  <c r="Y7" i="8"/>
  <c r="R7" i="8"/>
  <c r="U7" i="8" s="1"/>
  <c r="V7" i="8" s="1"/>
  <c r="W7" i="8" s="1"/>
  <c r="Q7" i="8"/>
  <c r="Y6" i="10"/>
  <c r="R6" i="10"/>
  <c r="Q24" i="10" s="1"/>
  <c r="Q21" i="16"/>
  <c r="Q22" i="16" s="1"/>
  <c r="N6" i="16"/>
  <c r="N16" i="16"/>
  <c r="Q7" i="1"/>
  <c r="T7" i="1" s="1"/>
  <c r="U7" i="1" s="1"/>
  <c r="V7" i="1" s="1"/>
  <c r="X7" i="1"/>
  <c r="Q15" i="1"/>
  <c r="T15" i="1" s="1"/>
  <c r="U15" i="1" s="1"/>
  <c r="V15" i="1" s="1"/>
  <c r="X15" i="1"/>
  <c r="Q6" i="1"/>
  <c r="T6" i="1" s="1"/>
  <c r="U6" i="1" s="1"/>
  <c r="V6" i="1" s="1"/>
  <c r="X6" i="1"/>
  <c r="Q14" i="1"/>
  <c r="T14" i="1" s="1"/>
  <c r="U14" i="1" s="1"/>
  <c r="V14" i="1" s="1"/>
  <c r="X14" i="1"/>
  <c r="Q13" i="1"/>
  <c r="T13" i="1" s="1"/>
  <c r="U13" i="1" s="1"/>
  <c r="V13" i="1" s="1"/>
  <c r="X13" i="1"/>
  <c r="Q5" i="1"/>
  <c r="T5" i="1" s="1"/>
  <c r="U5" i="1" s="1"/>
  <c r="V5" i="1" s="1"/>
  <c r="X5" i="1"/>
  <c r="Q12" i="1"/>
  <c r="T12" i="1" s="1"/>
  <c r="U12" i="1" s="1"/>
  <c r="V12" i="1" s="1"/>
  <c r="X12" i="1"/>
  <c r="X4" i="1"/>
  <c r="Q4" i="1"/>
  <c r="T4" i="1" s="1"/>
  <c r="U4" i="1" s="1"/>
  <c r="V4" i="1" s="1"/>
  <c r="Y10" i="10"/>
  <c r="Y10" i="4"/>
  <c r="Y3" i="8"/>
  <c r="F11" i="1"/>
  <c r="U6" i="4" l="1"/>
  <c r="V6" i="4" s="1"/>
  <c r="W6" i="4" s="1"/>
  <c r="U20" i="4" s="1"/>
  <c r="W9" i="14"/>
  <c r="X35" i="14" s="1"/>
  <c r="X33" i="14"/>
  <c r="U10" i="4"/>
  <c r="V10" i="4" s="1"/>
  <c r="U6" i="10"/>
  <c r="V3" i="8"/>
  <c r="X15" i="8"/>
  <c r="V10" i="10"/>
  <c r="H3" i="1"/>
  <c r="U18" i="4" l="1"/>
  <c r="V6" i="10"/>
  <c r="Q25" i="10" s="1"/>
  <c r="W10" i="10"/>
  <c r="Y27" i="10" s="1"/>
  <c r="Y25" i="10"/>
  <c r="W10" i="4"/>
  <c r="U29" i="4" s="1"/>
  <c r="U27" i="4"/>
  <c r="W3" i="8"/>
  <c r="X17" i="8" s="1"/>
  <c r="X16" i="8"/>
  <c r="G11" i="1"/>
  <c r="W6" i="10" l="1"/>
  <c r="Q27" i="10" s="1"/>
  <c r="J11" i="1"/>
  <c r="K11" i="1" s="1"/>
  <c r="N11" i="1" s="1"/>
  <c r="Q11" i="1" l="1"/>
  <c r="T11" i="1" s="1"/>
  <c r="U11" i="1" s="1"/>
  <c r="V11" i="1" s="1"/>
  <c r="X11" i="1"/>
  <c r="J3" i="1"/>
  <c r="K3" i="1" l="1"/>
  <c r="N3" i="1" s="1"/>
  <c r="Q3" i="1" l="1"/>
  <c r="T3" i="1" s="1"/>
  <c r="X3" i="1"/>
  <c r="U3" i="1" l="1"/>
  <c r="V3" i="1" s="1"/>
  <c r="Y3" i="12"/>
  <c r="Z3" i="12" s="1"/>
  <c r="AA3" i="12" s="1"/>
  <c r="W21" i="23"/>
  <c r="X21" i="23" s="1"/>
  <c r="Y21" i="23" l="1"/>
  <c r="AB18" i="4" l="1"/>
  <c r="AG18" i="4"/>
  <c r="AG13" i="4"/>
  <c r="AB19" i="4" l="1"/>
  <c r="AG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656A1723-6E2C-4585-AD61-E8536035887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A6C0A28F-880C-45A1-8A2C-78B5A750C14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370EBF64-25AF-482F-910B-17E98B23815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B646421D-AA61-4E52-ABC6-B329E7DF6C4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12F0C221-47C1-4BF5-9FF6-111A9A8C675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9" authorId="0" shapeId="0" xr:uid="{5402BE03-473B-4989-A916-7F8BBCE3807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0" authorId="0" shapeId="0" xr:uid="{4E3D3E2B-4A96-444D-9BE8-C1D6A06C42E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0" authorId="0" shapeId="0" xr:uid="{440DF943-A4D4-42A6-A946-82C8AA411B9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0" authorId="0" shapeId="0" xr:uid="{EA7BD920-FCD0-486E-A0C7-A5820EF07D2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O32" authorId="0" shapeId="0" xr:uid="{4BCC5B50-CA61-428E-9958-E8B1E6BBAA0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8E992E87-671C-4F67-9834-BEAA6F23642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A2" authorId="0" shapeId="0" xr:uid="{5B772988-9BC6-456C-B7F9-37E286FC810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B2" authorId="0" shapeId="0" xr:uid="{C4C24C4F-D878-47DD-891F-C708174373D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M2" authorId="0" shapeId="0" xr:uid="{2295C9BC-397F-4F76-A2C8-938E62C7C9F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3" authorId="0" shapeId="0" xr:uid="{54569F1E-B6AB-4413-A085-7D20486D874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4" authorId="0" shapeId="0" xr:uid="{68DE9D83-67F4-49FA-BC26-79E856F0FFF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4" authorId="0" shapeId="0" xr:uid="{52980491-6E3F-4A71-A3A6-75F30F5A360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4" authorId="0" shapeId="0" xr:uid="{46397DDE-5C65-42D5-A32B-122BD9C8C9B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4" authorId="0" shapeId="0" xr:uid="{85D91DF4-6917-4F31-8294-3361A81F47F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O4" authorId="0" shapeId="0" xr:uid="{4B42671F-C11F-42F5-BF72-7F6AC581987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6" authorId="0" shapeId="0" xr:uid="{3A00A235-6175-4102-8E67-248E602CAF8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7" authorId="0" shapeId="0" xr:uid="{E1887792-9EDF-4DF0-A6AB-B1C5C62A333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7" authorId="0" shapeId="0" xr:uid="{29FD1379-2A3A-44AB-B799-338BD0402E8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7" authorId="0" shapeId="0" xr:uid="{BE3F4E11-2A4F-4D13-B269-33ECC6CACD4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O7" authorId="0" shapeId="0" xr:uid="{C4FBA7A9-29CD-430D-BC4B-A0F0434ADDA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2" authorId="0" shapeId="0" xr:uid="{3A1ACAB1-EFE0-406E-9BFF-219FA546AB6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4742480D-2DBB-40BC-A59E-0AB3F5E17F1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FB74AFF6-CCD9-439F-AE8A-E70A41D0EB8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609D1080-9AC2-421B-80EB-7D4277A5D3E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08BD4E7C-D565-4B18-B3FA-249E24FFF34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U2" authorId="0" shapeId="0" xr:uid="{B16CF118-B3AF-4A65-8F01-9918703A4E8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3" authorId="0" shapeId="0" xr:uid="{606D1EE7-0937-456D-BF83-A464F4FEC69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4" authorId="0" shapeId="0" xr:uid="{26A03DB5-517C-41CE-91B9-19F6E293EDB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4" authorId="0" shapeId="0" xr:uid="{0B01DA11-6F25-453A-B39F-9C043EDD402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4" authorId="0" shapeId="0" xr:uid="{39B5360C-702A-40CF-A296-9ECEFBA7194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U14" authorId="0" shapeId="0" xr:uid="{5C49EC8D-849A-48E0-BBB9-4BAE7AB32C6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7567C973-7B9A-4F2B-9207-6E7DAC22EE3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A2" authorId="0" shapeId="0" xr:uid="{71A5F994-8FAF-4EDD-B993-66827E2BD67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B2" authorId="0" shapeId="0" xr:uid="{EDBDFB17-1777-4F82-97EE-CB487EB7111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M2" authorId="0" shapeId="0" xr:uid="{9C851889-D18D-458A-9638-1A533FFAADA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6" authorId="0" shapeId="0" xr:uid="{3E12DA0F-290B-4851-910E-83A55DBCE32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7" authorId="0" shapeId="0" xr:uid="{8F33026C-EC69-4B47-89DF-7D2165E9A58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7" authorId="0" shapeId="0" xr:uid="{6E5ED764-1AAB-49E4-A8B5-DDCE3AD1399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7" authorId="0" shapeId="0" xr:uid="{C6FBF871-FE42-48E1-B093-F88BDCC1AA8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7" authorId="0" shapeId="0" xr:uid="{1E121138-3A6C-4741-A112-9812328150D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P7" authorId="0" shapeId="0" xr:uid="{1270A080-646B-4637-B1EC-77557BDF64B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90841797-28DE-439C-A0FB-EBABCFB6911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5503E40F-C12C-4A43-9816-E3190D5F6AE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822E86A9-6839-4479-9769-FE231E97347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A2BA55D4-7A6B-4F25-8C13-6074645A918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F8B5C373-1721-4E37-A46B-27E2B9BF050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O2" authorId="0" shapeId="0" xr:uid="{BF9096F2-83C6-4740-B4E9-7DCA538E94C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BFCAEB4C-0B33-4142-AA10-D62B63D52AD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4DC5AA19-42BF-42D6-B4B3-CA9C473C7F8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C27F7804-818A-4B3F-8491-9DDBA5783AF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143AB5B5-3CDD-40A7-83FE-D041A0DFEE0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O5" authorId="0" shapeId="0" xr:uid="{39BB0E12-7935-42DE-83C5-3D1F9AFBE78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9" authorId="0" shapeId="0" xr:uid="{D2C0E664-50A5-4C8E-BEF0-A1F4632DB1E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343C7104-82F6-4114-AD58-6ADB1F5D557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3E544D40-8D8E-4B8E-8645-C6C09E6E54C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1F18F41A-95CE-4591-A9B6-7EAACDBAB82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15D82D2B-F5CF-4DB6-B2DC-13BDDFCD96A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O10" authorId="0" shapeId="0" xr:uid="{BF8BBC83-4960-42D5-84AF-AEB31024831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526BD8CF-1EFB-41F8-80FF-88CBB0B47C5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05D6C594-9041-4172-9854-48CC4BF28CC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97B80298-B304-4E15-BBC4-ABC67B7B4D9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6C69A0DF-49C6-44A5-8E73-92CEF3BD863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O13" authorId="0" shapeId="0" xr:uid="{26468E6C-6ADF-4AF7-AE2F-2AFEB67FC9C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49302555-3BA4-411A-8F7F-D052753B244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59FC1343-DE33-459F-A8D9-1DDCCF223B3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FCE1392C-2EA9-4CB7-B860-EEBDA45484F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C21AA1E7-4183-4FF2-A929-9FBD8E498DE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8A67A992-F74C-430B-B624-0E50B8F36BD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3448D54B-E2AB-4957-ADDB-749C1AFEB26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B99D8772-5B8F-4333-B566-8F238C860CA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E1C8441E-AD4B-4B9D-B201-D809B2EC96A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FD40167E-17FB-4F14-8F1C-2711B7F2129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9" authorId="0" shapeId="0" xr:uid="{38C6C832-4865-4456-AB2E-DF6399B4F4B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56895486-A066-46A9-BABA-7DB97FDAC3C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721EF995-8B2D-48E4-A22E-390F2D7D300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A82C9CA9-F44F-4228-BE77-C55D25E0684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019E6250-627D-485F-98D9-C6462F2753B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C9A60EA3-2E2D-452F-86F2-F71CA69EC55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D1C3D007-E73F-4947-BFDF-4158B95454F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A927544B-66BF-4E8F-AB92-1980741C216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D0BCE61B-F062-444B-9DF6-B657FDE073B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EB2114FE-7A30-47FB-B773-247CB9AF42C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B8883A1C-1519-4409-8CF7-D6C5C05FEBE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0806F48A-06B7-46E3-8E0C-2359BB26CAE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74B093CF-57D0-47F9-9487-D9D8FD4E21E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4F684ADD-F2F9-4218-920C-E57CDBE32C0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CAFCFF3D-D155-4599-AE77-6354E812959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3E61CEE3-0EE1-4C79-AC84-600CFC052D0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8D22DE3A-DC8D-4317-A58F-19C44EF9F7F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37EF730E-D328-4233-A280-D73A4FF99EE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D93EC742-34FA-4426-A671-CBA436F4269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860EFBC5-8A09-446A-919A-6D864424992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02A6FFA7-5DBC-4BA3-8C46-16FC4B46130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636D73CE-E9A9-4F97-AB1C-897A0A507E9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3DD43A9B-B5FB-43A8-A11E-FFE763874BD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BA3448CF-ABAC-49FF-8A16-B0CBBB08158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F866D5E8-3C6B-47FB-B326-6E0B797E649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B45676F7-6DD5-4E12-9B62-026AAF7A5E2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C97413D2-4122-4117-BEA6-5624AEF21E3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0D0B4A2C-4621-4EDE-A686-A3BF0790B1D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A5109A2C-E7D8-4C41-A679-3F2AEC3905A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C577B68D-A82F-4551-B597-1D7C1B0B468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96ACB756-25DD-49A2-96D2-2D639B77F58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69A911B6-D8C9-4987-A6A0-5DF5FFF6FD8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30" authorId="0" shapeId="0" xr:uid="{0E3B992D-54EC-4C8F-A055-57D8BDE2B7E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55666F14-EFDA-486F-9DB7-1D75D1AA2EA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E532F847-F226-445A-B035-EC762163929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33F45A0B-E45B-4B42-B110-242CF9D577D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62A159A9-DC9E-47D9-85F2-8EBE2BD385E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U2" authorId="0" shapeId="0" xr:uid="{FCA904D0-B286-4202-B77B-68341D04526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89E4CAFB-C7FF-447D-857C-E4D3D5C7041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4FBA5840-0F51-4B7C-B4F4-85FA2369922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79A24306-D423-4CB6-A221-682A3F83626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13E58A1A-EDD9-438E-A1C7-1C89911063A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97A730E5-8514-4A43-8567-186B79279EC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5" authorId="0" shapeId="0" xr:uid="{721A0461-680F-4049-949D-692E4A100FA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6" authorId="0" shapeId="0" xr:uid="{14BD9080-FB10-408F-B3BA-F7CD758F621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6" authorId="0" shapeId="0" xr:uid="{6DC111AE-B8E7-45E4-93D4-402DC343978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6" authorId="0" shapeId="0" xr:uid="{8AC0AD2B-6252-4B80-837B-D4A5C59B6CA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8D00BDAF-CF50-421D-A101-670EA127E6D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B755D65E-F3D4-4534-BA1E-DD623CF9DA4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FD2AB289-DE88-4C54-8B87-39A87C94179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2C68C302-A9B1-4B1B-BE6A-285AC34FFEA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85EE001D-59A7-4F19-B702-5BF7B7DE781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1AA9DA08-409A-4642-873F-36CBDAEBC8A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A99404D1-DFFE-4769-8C66-10EE19E4D3E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342466CB-4912-4950-91FB-FB0024CC706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8D770C59-4721-4E68-9041-24EBE7F340B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37AFDF01-ED72-4597-9BD5-4D44FA47F4C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0E5A13E2-F9C1-412F-87C0-628A7F67D30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11ACDD85-FE8C-4F45-A8A1-1F3E8266400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33D23DBB-6C1A-45F2-8E0C-7A8014AF267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5FDE2620-FE67-425E-8900-4224203F037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1808B3A3-44F7-4849-ADDB-EB9F866D452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8D6C168A-3D8A-4712-A5AB-21B52FE6B38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A2CFCBCD-977B-4855-94B0-A42E4C8ECE2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FE7C7A01-593C-4E79-A2FB-B8A802A0022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1E3C18EF-04F9-4427-B59B-83B4E75229F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8F65F628-5F89-4BEF-B1D0-4DF95CAA802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654F9F69-7A0C-4C32-AD0A-D54758AC503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B22CFB2E-01CD-449B-9AD1-AB066EF2E38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CA7B11A1-7E42-4171-842A-5617A8D4EA4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85A03428-45E1-4494-93EE-008F21EF280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A2" authorId="0" shapeId="0" xr:uid="{AA76E002-A98D-490B-B951-E1CA4833F5E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B2" authorId="0" shapeId="0" xr:uid="{E4109C9F-0B6C-4973-85C5-46EB80BD7DC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M2" authorId="0" shapeId="0" xr:uid="{60D8AB96-546B-411E-B96D-12F2FF26278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6" authorId="0" shapeId="0" xr:uid="{0E0AC6AD-BA0E-4B76-881D-F2F78B25C6B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7" authorId="0" shapeId="0" xr:uid="{97962676-38B7-414F-AA79-66A460A4AE8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7" authorId="0" shapeId="0" xr:uid="{85916E6B-2E7D-40BE-A2E0-295C786D87B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7" authorId="0" shapeId="0" xr:uid="{0F10D920-F6D0-4F04-907F-151E4BE4DE2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7" authorId="0" shapeId="0" xr:uid="{9A147341-20C1-4791-A302-26282559B06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P7" authorId="0" shapeId="0" xr:uid="{671EDDAE-A725-49AC-91C8-5A869E61AEA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2" authorId="0" shapeId="0" xr:uid="{DF4ABA7C-EAD1-4C6D-85C8-408C9EDC298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3" authorId="0" shapeId="0" xr:uid="{1084AEEC-8CA0-4A7E-BFF2-A13EFF5BACD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3" authorId="0" shapeId="0" xr:uid="{27EB5269-253E-4134-A2F7-A340BE00D45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3" authorId="0" shapeId="0" xr:uid="{09636576-B4D8-42F6-A1A1-22A27B76774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3" authorId="0" shapeId="0" xr:uid="{D478F6A1-D161-498B-8DD7-0575045B245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6" authorId="0" shapeId="0" xr:uid="{76417511-7EB2-4392-AB27-F6035D9860B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7" authorId="0" shapeId="0" xr:uid="{93D3AFBB-8630-4F5D-8934-2FE93D4A00E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7" authorId="0" shapeId="0" xr:uid="{C48BB487-CD76-45E8-B6E5-119079C9E87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7" authorId="0" shapeId="0" xr:uid="{AC19B63A-F75D-42D0-8511-D38F4E2BC9F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7" authorId="0" shapeId="0" xr:uid="{FFDD76B2-3C9C-4578-9BD1-1F46F063034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0" authorId="0" shapeId="0" xr:uid="{DE239928-2FF6-47CA-AC1C-1DB0E1F2073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1" authorId="0" shapeId="0" xr:uid="{4D3FB778-61E7-4E0C-B8C8-517CA3B8AB9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1" authorId="0" shapeId="0" xr:uid="{4423B8E7-B060-4E0A-8EBA-C1DA7F073A5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1" authorId="0" shapeId="0" xr:uid="{F275D84E-44CD-49B7-A815-AAD914988DA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P11" authorId="0" shapeId="0" xr:uid="{65F9B344-D4F0-44C8-827C-CE51CEB7CB7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Q11" authorId="0" shapeId="0" xr:uid="{22898708-96BA-4531-96B4-8E1158A92BE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4" authorId="0" shapeId="0" xr:uid="{DC98EF4B-8363-406D-A0C5-3947B8A33AD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5" authorId="0" shapeId="0" xr:uid="{6411D921-0A84-4E3D-A9FA-B2D70ABCD9A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5" authorId="0" shapeId="0" xr:uid="{8E4BA2F5-BF84-4E64-9B4C-FF5980F9262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5" authorId="0" shapeId="0" xr:uid="{0B9C1445-C56C-494D-9F01-81BE02C4CD7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5" authorId="0" shapeId="0" xr:uid="{9FB1226B-D3D0-408C-B58B-B51B2FEF7CD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8" authorId="0" shapeId="0" xr:uid="{19C51657-30D6-40BE-9E5B-2EFBA17D772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9" authorId="0" shapeId="0" xr:uid="{6BDCD4D6-1886-4A84-9BFE-1A29DF6AA70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9" authorId="0" shapeId="0" xr:uid="{A561D18E-7703-4221-9DB3-A84E9AB8496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9" authorId="0" shapeId="0" xr:uid="{9B11C458-F434-4127-A708-61C1371865E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9" authorId="0" shapeId="0" xr:uid="{BA1B8E64-BAD9-49AF-8B48-1154C8D6FDB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28" authorId="0" shapeId="0" xr:uid="{F3217957-EF41-4852-BDEE-152E006F636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A29" authorId="0" shapeId="0" xr:uid="{2516063E-38AA-41E2-A768-A2BCA1EB070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B29" authorId="0" shapeId="0" xr:uid="{DEE2E1BF-1781-4720-9AE8-BC838459701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P29" authorId="0" shapeId="0" xr:uid="{58F96DD2-FABF-49F3-AB3E-0491C8F4E5E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397DB4AA-7BD0-489F-9AF3-F9FD1D8F8E1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076E5862-C39F-4693-9F8A-4D916699909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24454535-8DA3-4E84-95F8-2B4FAEE6FF6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A3FBF374-F12A-4D66-AD4F-EB24D2E3292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54F83353-12E4-4443-B50B-0C4FBA0B9AD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5" authorId="0" shapeId="0" xr:uid="{B48DFFE2-C124-4B76-A4C4-E4B7FBB9241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6" authorId="0" shapeId="0" xr:uid="{E1C4A0CB-5229-4D49-9AB9-9516E46EF2A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6" authorId="0" shapeId="0" xr:uid="{1FECB95F-7B46-4B19-B697-8D2926AD27C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6" authorId="0" shapeId="0" xr:uid="{45EA8CA6-5EB6-4E4F-929A-03FC6093EC6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6" authorId="0" shapeId="0" xr:uid="{EFDF3041-B8AC-4EBA-8022-FB1892161E9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0" authorId="0" shapeId="0" xr:uid="{E0049E24-1489-46B7-A14E-08534DC2704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1" authorId="0" shapeId="0" xr:uid="{5256F90B-7CB9-49F1-ACEB-8B08E132948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1" authorId="0" shapeId="0" xr:uid="{89D2FB12-E684-4DAC-86B8-831F3C7EA61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1" authorId="0" shapeId="0" xr:uid="{8A07D266-D6C5-4A45-B098-5971AEEF8C2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1" authorId="0" shapeId="0" xr:uid="{E41E1E60-71F8-4CDD-B807-464F1A1F363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4" authorId="0" shapeId="0" xr:uid="{0E5126AD-5738-465A-A6A7-48FCFF56E51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5" authorId="0" shapeId="0" xr:uid="{50AE16A0-3CEB-4968-BC65-83EE8D71561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5" authorId="0" shapeId="0" xr:uid="{C414ABED-2223-4A39-AF70-CC9578B10E3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5" authorId="0" shapeId="0" xr:uid="{6A81BCA2-594F-4F2E-A402-347E3E0F2A4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5" authorId="0" shapeId="0" xr:uid="{96637738-B925-4713-816B-BD54E9C0839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9" authorId="0" shapeId="0" xr:uid="{416A5ECC-BBBD-4C96-8B96-B8DC9F82DD9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A20" authorId="0" shapeId="0" xr:uid="{1D21AE19-8AE2-4CC3-91B1-09E76A31419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B20" authorId="0" shapeId="0" xr:uid="{EDDF95ED-875C-444D-8D5B-BD75999FFBD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20" authorId="0" shapeId="0" xr:uid="{167ACE23-A9CD-4AFE-BFD5-292AC5F55BD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N44" authorId="0" shapeId="0" xr:uid="{85DB8DC3-AB0C-4BD9-81BA-AC25999E036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AECF5682-DE79-425B-9440-78F82D04930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7AE2668A-0FE1-4604-B0DD-DFC7C301A72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61BE9461-A60A-4300-B1A2-D29B80B5627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C556F9AD-DAB5-4729-8A13-02CAE603D5F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AE2023FF-3158-4C33-B031-98111D5979E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B5DCE23A-0F6C-44F1-B43C-00B98F5049E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673A89DA-D1F1-4B09-B9A4-D50E65AB732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9D101097-FA5E-4C3D-B25E-E79F316A2D6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977CC2E0-8F30-4305-AF66-0E9D1C10FE0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C91D227C-91BF-4180-867F-95FBFF0B7DD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8" authorId="0" shapeId="0" xr:uid="{4EB12E3B-5276-4D97-B085-6F781BDE3E9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9" authorId="0" shapeId="0" xr:uid="{F2493BBA-9BF3-4F60-830A-8A408056DD0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9" authorId="0" shapeId="0" xr:uid="{194943BF-7399-4885-A9DF-FD0C7BA04D3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9" authorId="0" shapeId="0" xr:uid="{93DD1BCF-D199-48D7-BB66-7A0C266B194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H4" authorId="0" shapeId="0" xr:uid="{39806BA6-06A0-4925-B2A7-5BC7FC1471B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C7A74D73-3F72-4919-A8B2-F6020FDB398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3A9182E5-2C08-4881-83D6-9FEB116BCB8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49FABDAA-5CEC-49FC-A2B5-44BF1D355B0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C8CD8EAB-05F9-4B81-A208-EDA44B1D762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DC9B7708-0B00-4DFF-B3E8-6596D3D09C5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7B60BEB3-0EC5-4F88-A0AA-6CABB319EDA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A0A2A38D-E550-4366-8E07-2C68A623491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E32E3B36-FE21-4E18-A3C4-8BFCB298DF6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61D87B6C-EA21-451F-A872-30400178351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9" authorId="0" shapeId="0" xr:uid="{87923EF0-B4A0-4324-8F96-9712DDB30F7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2B047427-9EDB-42EE-9017-FEAEDD066E6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18D60832-06B0-4C89-89AC-7B14D94D58E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3872DAB0-0426-4EF8-BBBE-359A0BE544E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A648BEE5-BE17-40E8-9DB6-B135F051F46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3CC3CD0E-6A1F-4EAC-99B1-DA600889235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70C4CBDE-78C7-449F-BA24-B30CD36958C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B4F0B69D-843B-44A1-A25A-B94529E3ABF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F6114CFA-DEDA-48E2-9770-893E7E50067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5BEDF079-E264-4CE4-BC66-CF391E6B6DF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F924D488-C25A-4549-A65E-E1D585E1B69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B56D0DD5-8017-4917-874B-B6F03281B38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88AA6A41-5815-4F61-BB42-12A22E337BF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F62BDA67-6F92-4C79-9924-ACF61A2BD39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089E021C-BA0E-4E07-825F-EE08399DDDE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110FAD9C-8394-45B8-B0B5-48037CE3C23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08CF6B11-4B60-4399-938D-EA1F995ABCB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01EDAA79-3E9F-4AE9-8682-0F01CAEB266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A02C23B5-C54B-4E03-89CA-3CEAFB451C4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40A63476-F25B-4658-9422-7BA78F5D53A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A549A567-EDDB-40B4-97AF-B15855D8AF9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94660460-CBCA-45E5-9231-3A369C519ED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CAE35352-6BBB-4FCD-91B5-8601744421C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9A72EF19-015F-43AB-8FF2-3A0100CB4AF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82AE8735-7763-48D1-8B24-8CD85B5A93C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DEB12C7A-B275-4E0B-BBC5-1B519E11D53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9B9E9846-7C37-4D96-B675-C3F71AA4ECD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A6EB5D9B-5B66-49B9-8D58-02B62D0647C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DCA5239D-A957-4760-B187-6F700561955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9C0EB11E-29DC-48F7-BF3F-2F7F370356A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2E517D1B-C4E0-455B-9739-AEBF76B194A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AC9EF970-5DA2-4A63-A922-9D27A20648D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30" authorId="0" shapeId="0" xr:uid="{80681AE2-52A5-445A-830D-08929541F2C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5D2D1181-EE00-4AF0-A6A2-25D00F81DD3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C02B2311-A1F4-49FE-8B42-1C6134D6F78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3B88F7E7-EC96-4C25-B2A7-75CC8165BDF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765A8802-DB7B-41D1-A051-15043129EE0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ABDB33EA-7DB3-40BD-A7AC-4851C4BC950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D14" authorId="0" shapeId="0" xr:uid="{E12C6B30-C177-406C-85F0-F380550F8ED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422EDB43-1B3D-415B-A892-DFF506E6933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1EFC3A52-9A57-4C2F-89E2-F6AC06EE355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B18D1A46-BAF3-4123-A904-3C309F773FB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35681BAA-ADDB-47E0-BA2B-72DC75909E1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9F39644E-CDD3-4815-9243-6976591BC41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9A87B582-0B5D-431B-9E73-8780AD40F9F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D63A5FA2-E863-4945-9890-C0D4B8E1BEC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161D0B4D-4660-4629-B49A-704E61C9F98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2B5DCF26-B7AB-4EB1-A869-2298E8E1D81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4DC0CAEC-01D2-47CE-9371-E6B645459CF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C6AABB1E-9574-4038-9616-C04450A46A3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3043A11C-4CDE-452A-A79C-A3631E6035E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00F6A266-67A7-44BB-A28D-10EE6C9B044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1229E998-62E6-499F-BDF4-C89EF5F5C96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DD567B74-5E9A-4826-B28A-DEEB31CADB5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FA850AB7-49C7-4E6E-ACC0-A0381B23EB0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03E3B9AB-09FD-4980-BC57-6FAFFE31873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861A03C2-F117-4DF3-8CF6-7FD64C2EFCD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ECFA91F7-3527-4BC9-9AAF-19B9C045A3C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7030E57A-7877-4377-AFCA-9CF81051315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5C1F2F8D-6274-414E-8E45-F8DBA70DE50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8B8A6C07-00A8-4D28-A742-1A7C8E69C43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FD6A00B9-9C04-4796-9891-30A12DF163E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7EB218BC-34FC-4997-BA81-E6ABCC61F9C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498EA901-07AA-4A1D-B321-F89A0FBD665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72B1C7C2-28D1-450B-B90C-BE96A0408D6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8FA26238-904D-4A31-A223-52A73947C97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B640E375-3E52-472E-859D-719E4F81065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C4387A07-9EDD-48C4-819D-58AC21775DE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F8D2C520-9D62-4830-B134-1D5353BB511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11498D3D-AF81-4309-9489-34642B77A37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DB98A91B-9B43-4220-A5E9-3809B6FB9A6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461C6C90-0E47-4C03-8C2C-5CEDF5FECE2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A590E392-0C80-48CD-A954-E01BFAFFE81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659BD90D-6F00-46F9-8A84-20A116B3889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2B0636A4-CCDE-403F-9C26-B4FBDAA4097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2626C914-70D0-4B7F-9BBD-8A71A6A1850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1" authorId="0" shapeId="0" xr:uid="{236167AC-7CEB-42E9-BE7B-BF695049767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2" authorId="0" shapeId="0" xr:uid="{E894656E-26F3-4E44-8FFF-463D015961A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2" authorId="0" shapeId="0" xr:uid="{8765460E-239A-475B-BEC0-37BA31AE866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2" authorId="0" shapeId="0" xr:uid="{07D112EE-D7C1-4B44-9C3C-089EA7A7385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2" authorId="0" shapeId="0" xr:uid="{35643BF1-5065-4824-A50E-06AF4AEB580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4" authorId="0" shapeId="0" xr:uid="{6CC9E193-6C11-4D9E-B49F-6B33E768256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5" authorId="0" shapeId="0" xr:uid="{E1299AD3-2209-4DDC-9F20-EEC298C604C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5" authorId="0" shapeId="0" xr:uid="{7CB9F43A-EF93-472A-9EFA-D9975A5CDC0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5" authorId="0" shapeId="0" xr:uid="{7FB3B74C-08CF-49D8-AE16-C002006381F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5" authorId="0" shapeId="0" xr:uid="{9719338C-BC8D-4A90-AFD3-8FB6EB2E564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7" authorId="0" shapeId="0" xr:uid="{A3DBC571-2758-4C65-9897-D4C59D187A8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8" authorId="0" shapeId="0" xr:uid="{A438F292-FD2C-40CA-B159-F99032D6191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8" authorId="0" shapeId="0" xr:uid="{46ACD2A6-3735-4F16-90F1-66A67CB081E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8" authorId="0" shapeId="0" xr:uid="{3AE1BEAB-B0C7-4383-8C92-2B9FF63603B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2DC7FD31-343D-4BFC-AEA3-1A4C1B56B27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57F2C204-26F0-478E-85D9-64CD97CB6D9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A1277C67-26A6-48F0-8498-97329AEFFC9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A43B6BCB-9FCD-423F-8501-E28C6BB02B9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B33B8D33-A3F2-456D-A95A-E20BBDFB920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823B2FDB-5E5F-4E0F-BAB7-7411B36E634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633800CD-133C-481D-ADEC-744A437630B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5AD548CD-2A8D-4368-A3DE-7996D276F3A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8B684092-19C8-4044-9D28-CC714AC9273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73783643-03B9-4D4B-96DA-5D77F7FE2C7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CCA9345E-B420-4EF9-A538-72DEE4538F6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72BD0CCB-1F07-4844-B227-56D418FFA02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2C732908-A670-4189-BCF8-6AE01561DC0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C6900CF4-A25A-4D2C-9F5D-839FF7CE768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D6C3A553-F176-45FE-997A-83DD531C471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58F40287-A4C5-4878-971B-6FA49B00D5C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0372AF75-8CEA-4E3A-A742-C5A02882375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057F573F-C457-4B94-AD78-3619265C3D1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71E3C9BF-5C71-4545-9C71-BA4DBAD3610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8FC2E265-A280-4329-9555-B5189F11486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3DE55B2D-266E-4600-8676-672ACB3BE2B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10842319-DE26-4B46-9885-8171A3C3599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E62F622D-2523-4BD5-864A-99D80F3A5AB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30" authorId="0" shapeId="0" xr:uid="{3EF9D0B8-E12B-450F-865A-D1478EC9710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527E5269-6A10-41FB-A177-D238B2F632A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4F24E0BA-B626-4B03-943E-22CEAE5B18A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65BE5447-33E7-44F5-A4C9-44D58411F51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DCC92194-2BD5-4A29-AB10-6A9C6CFB99B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434B8CC5-99DE-4B4D-B88A-21FFA2E0749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9B093EB0-D2F4-41E9-A2B1-D6B3C8C6491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99861894-A2AE-4D99-8538-8CEE532019E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A7065276-BF84-4A05-97ED-80D85B2D4F8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1A21A082-B6EE-461C-9ABB-06D453867BE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6B7A7778-FFD4-4684-B630-0EE2F6398CC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EB450A9C-8055-4E00-872D-F215BE5552F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A480037A-67B0-4B40-A291-8F9164CA155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322AB90D-6472-4EE9-B259-82942A388BA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5C933B92-3781-4FDE-8A1C-7A3D5E55B53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AC279821-31D8-4D65-B83B-F1B0206D996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8392E3E7-221D-4883-8EA4-020B569EE3E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53179767-06C1-49C0-9CE1-40A28A34959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BACC4E04-6355-4127-B5DB-94D20784DF3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D28467FC-EEDC-46A3-882A-FC47A683038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1127FACD-A7AC-4200-AA6E-10312256F41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2843A4F2-182B-4101-AB4A-7D6340D2FF2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2457A58C-95F4-45D5-8A8D-F657C3A374C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0F216C2B-08B5-4CA8-9D33-B04CBDFC232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59A50AA8-615A-4EB5-88DA-FC2EF7BCDEC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9211611F-461A-46B1-BF38-703BB8E9286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9E3B26AE-8129-4224-8633-0C672B80A8E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1A674288-04B3-4FEB-A912-F3A9A822046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78609B79-2484-4435-A0BF-8874411B2A4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105656C4-4F2B-4CAA-9B86-9D44F96FA21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9BBACECB-684F-4484-B629-2CCEE2D0CEA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6F2ECC5E-99D4-484E-85FC-5C534A023D5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6163510F-0F29-4F92-ADB7-7E4C5DD0CC3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1A6ABA4E-3C6E-40C9-9706-152C76575A5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520CBA33-33AB-4C96-8A24-7230DC42797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64BC3249-EAD8-438E-B659-59828BF1F8D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6DAB0769-FC26-487E-9D1B-AF023B89AA2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5FAA3BEE-9EB8-447A-A23A-07562D7CB75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E6D201C4-F948-46FA-A016-D383111166D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A907E531-603A-45F4-9104-CF60A4F5EC4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C692FD87-152A-4477-BC73-EF9713AD704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D3F95D24-C44A-4508-96B6-3146CDB3588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4C5F0AD9-D43F-48BC-9319-99B149FCD7E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366448C9-8B95-4559-BF56-E40EB9D79CD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40A10518-199A-4186-903B-ACB971D7EE9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92B2BCD0-8308-4BB0-851E-15EDCF861EA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888340FC-B9EE-46FC-A733-7F94A45D619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66A4A977-DAF6-485E-8EAF-848A1D66D36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DC7613C4-D983-40C2-9C2D-62228BDE423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85719EED-1385-4160-8592-3F6431BA7C0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D11AB90E-A6E6-4972-8A94-05B70227291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EA4E3036-000D-4653-A2B3-C70D8AF3269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5D8D8B25-D00D-432B-B564-DAB598C19CF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6776C20E-E26F-448D-BD2C-53DACCF2D7F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E92F902B-6EA2-404C-8F20-AEDC963EE92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B28A8075-4FBC-4ACD-BF87-7AC3233990A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C481D368-6DE7-41C8-A68F-1CE2997EA35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5C6948E9-932A-4486-A5FA-BFC71142AA0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5126EE7B-501D-47F6-9B3A-B06BECE69E7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7713848C-1F38-4E18-A689-4E3B5D7C64E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650BDFE6-FE33-4A96-ACBF-A8D17E1B137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927AC114-CFB1-4378-B289-9245716FD38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D2C171D0-1673-4A15-A741-ED97396290C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10FD007E-4E89-427B-AB14-2BD61F56C15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4C623E2A-7B9B-40A4-9EA4-C105BD36335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CC69286F-13F3-4861-A730-2CC897C372E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C58E0E6D-3007-4528-8070-C4A8A27764A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988EFF3A-7288-44C5-BBB3-B93597E2959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3AE0C6ED-BB6B-492F-B5E6-D126142C3E9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2877CAB3-06E7-4A1C-9447-478D0C7FFD1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6E04EE02-BE86-4778-8EEC-B5DD244ACD0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13035A6F-A553-4A87-910A-A1E1EF35E3E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AF7C2535-C76F-47A5-9503-40029225E2D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D44E6CB5-9046-47F1-B6C7-9359F85E91C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Z2" authorId="0" shapeId="0" xr:uid="{8EC6F5F9-8E06-4557-AAD5-9FA0B0DAB5C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5" authorId="0" shapeId="0" xr:uid="{11561E97-F8C5-41F1-ABE2-24E84671F30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6" authorId="0" shapeId="0" xr:uid="{A30D17BA-C2E8-43C3-B6E7-C37F4682E0E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6" authorId="0" shapeId="0" xr:uid="{0F654CA6-8810-4D79-9251-7AC7540F5D6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6" authorId="0" shapeId="0" xr:uid="{0ACA2589-B00B-4292-8947-7140DBC631B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5F9510CF-78D4-4319-A4A6-0B87998C58F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EE1F53F1-AE78-4DBB-875E-F461EC30C80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846A8040-248A-426C-AA1E-50BAF239A20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080F5B23-F78B-4B75-B6F1-937310DCC7E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7FC3BC2B-3B77-4156-AB72-ABF6EAFEDD8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5" authorId="0" shapeId="0" xr:uid="{8985D474-B913-42F2-993B-57381A6D584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6" authorId="0" shapeId="0" xr:uid="{722C844F-CC85-48A3-A663-5F5A7A5D4A6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6" authorId="0" shapeId="0" xr:uid="{2AB4FCEB-787B-4E96-B7C0-272116E88B8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6" authorId="0" shapeId="0" xr:uid="{9ED0D8DF-95F6-470A-B12D-6C82878959F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6" authorId="0" shapeId="0" xr:uid="{0BBE46C4-8C52-42E6-983C-D064F42B7DF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8" authorId="0" shapeId="0" xr:uid="{0BD77E92-9080-4FEF-A326-6D72D6C89EA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9" authorId="0" shapeId="0" xr:uid="{B7FA7801-7A59-41C3-8C56-D5312F5267E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9" authorId="0" shapeId="0" xr:uid="{5C3FD185-5B74-4CF1-8EE1-66AAC10B958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9" authorId="0" shapeId="0" xr:uid="{A5C8151B-583F-4588-A04F-AB07BCFF970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3" authorId="0" shapeId="0" xr:uid="{B395EC4D-2BEF-4DAB-A35D-B0D86611FD8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4" authorId="0" shapeId="0" xr:uid="{A19F5572-B618-4846-8AB3-7D9652FB73F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4" authorId="0" shapeId="0" xr:uid="{47F880CA-711C-4948-A132-6FC9200D41A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4" authorId="0" shapeId="0" xr:uid="{8B775484-F73A-4D6C-BAF3-B5CE8DF860C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4" authorId="0" shapeId="0" xr:uid="{1D61B13A-E723-4E93-BA13-EB012EBE28C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6" authorId="0" shapeId="0" xr:uid="{C5D0F273-5D8C-4965-96E9-133737E4FE5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7" authorId="0" shapeId="0" xr:uid="{1C7DB2EE-42DB-4953-8591-12B3FA15687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7" authorId="0" shapeId="0" xr:uid="{03D5BCDD-E2A8-4526-8E8A-ADBD525332A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7" authorId="0" shapeId="0" xr:uid="{E5649D38-9F3B-4D4C-AFC0-117C9301F41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5C7CCB91-F3C9-4A88-809E-B45A68B2310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63B26E17-A216-4526-99CB-CC24039A676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00AEA5DF-4DC5-45CE-89ED-07A96CCBF0C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0F474852-4EDC-4DB3-A9B7-AEF5CE178DA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E68E92C6-4398-4446-8D3D-3DBE8A450C7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5" authorId="0" shapeId="0" xr:uid="{27DB4A53-E7D2-4E1B-826A-E87579377CA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6" authorId="0" shapeId="0" xr:uid="{16BFDC9E-DD8D-4B8F-AEFE-70926D79C81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6" authorId="0" shapeId="0" xr:uid="{650994E8-E915-43A7-BC43-BBD0DB20D49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6" authorId="0" shapeId="0" xr:uid="{712079A7-2361-49F1-913E-CB760FAE6A5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6" authorId="0" shapeId="0" xr:uid="{DA66E477-BBF1-4B50-BAF7-B49935D220E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0" authorId="0" shapeId="0" xr:uid="{57C81470-88A6-4EE3-8A23-D617AC56E8A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1" authorId="0" shapeId="0" xr:uid="{14ECE147-0170-4DBF-AC30-26B0BA88EA2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1" authorId="0" shapeId="0" xr:uid="{332808C3-6FD7-42FD-BEA5-430BBA11D2B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1" authorId="0" shapeId="0" xr:uid="{7781F686-98D1-43AD-8080-311A331952A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1" authorId="0" shapeId="0" xr:uid="{B4A4BB66-93E6-42D6-9BAD-00C81BD158C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4" authorId="0" shapeId="0" xr:uid="{975F34F3-B651-4C62-9390-9F2648372DE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5" authorId="0" shapeId="0" xr:uid="{1F9A903F-B2CD-46D4-944C-1DA190BDD5F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5" authorId="0" shapeId="0" xr:uid="{69A1D02A-ED47-4C82-8318-D85B3336FF3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5" authorId="0" shapeId="0" xr:uid="{8D94AB2D-8752-441D-B216-0F8D39727A9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5" authorId="0" shapeId="0" xr:uid="{BC2EDCDA-8D1D-43B7-9561-B1AD351D244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8" authorId="0" shapeId="0" xr:uid="{FF05CAE2-D5A9-401C-9CBD-F29751F3A81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9" authorId="0" shapeId="0" xr:uid="{A0462952-D8EF-4E84-A019-F9C6CD950A7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9" authorId="0" shapeId="0" xr:uid="{D39F225B-B6F6-41B7-974C-5F31A3F2866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9" authorId="0" shapeId="0" xr:uid="{27C2B695-CB81-42B7-BE53-AEE50400B29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9" authorId="0" shapeId="0" xr:uid="{C821F536-7759-4B9D-859A-AE13F4A818B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22" authorId="0" shapeId="0" xr:uid="{FF6FC17B-F151-4330-B598-58504EFBD5E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3" authorId="0" shapeId="0" xr:uid="{99A3CC36-1FA1-43E0-99ED-1653F512E0F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3" authorId="0" shapeId="0" xr:uid="{AA141AC7-8DC6-46A8-B4BE-3E81212C820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3" authorId="0" shapeId="0" xr:uid="{74827D45-FC99-4384-BE70-EB2D57C2473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3" authorId="0" shapeId="0" xr:uid="{69442CFE-F0CC-4C6F-8F2A-E351B4F54B3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25" authorId="0" shapeId="0" xr:uid="{9D07EF5E-A569-4F3D-9760-07F05A15489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B25" authorId="0" shapeId="0" xr:uid="{42D121FF-E2AB-4F30-8C69-116A0A09935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M25" authorId="0" shapeId="0" xr:uid="{1C81B955-4902-4175-B48F-46FA75AE09D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B89447A6-DA98-47A2-A531-A202C30C200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395BAFC9-374C-4AFE-B3A2-365ECF0BA52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CB67B8C4-9521-4E25-8448-B4CF2071EDF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4EA3A7F2-1C14-4C1D-A53C-857AE43401C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33F9D1AC-907E-4CFE-A1F1-80FB0770A42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AC159851-ADE7-423E-B09F-499B5B61E3B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AEE0809E-CD6C-4BC7-BCAF-CC7A0752A69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812E9899-33A2-49F6-922B-CAD2CD97669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9C333515-C5FD-4968-8832-0523AC04C3C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7" authorId="0" shapeId="0" xr:uid="{FE828913-D109-4601-9045-FF85D572803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8" authorId="0" shapeId="0" xr:uid="{545F7461-1566-4395-BCB6-AB2CF54D405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8" authorId="0" shapeId="0" xr:uid="{2D0352FF-3624-46D4-8F40-BC7759454FF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8" authorId="0" shapeId="0" xr:uid="{946B5420-F939-4A51-BC98-552096B19DC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8" authorId="0" shapeId="0" xr:uid="{8CD489AA-2671-4EF1-88F9-0CA9E8B0116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0" authorId="0" shapeId="0" xr:uid="{A2F1A39E-D862-4930-91B4-0D894D0995E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1" authorId="0" shapeId="0" xr:uid="{8710888A-48E3-4606-8087-64CDE872439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1" authorId="0" shapeId="0" xr:uid="{2B094019-7552-4078-9A98-6EE9CCF2DE4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1" authorId="0" shapeId="0" xr:uid="{312A1A56-7F1A-467C-BD6A-135688EA32D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5" authorId="0" shapeId="0" xr:uid="{BB62353B-35FC-4ABA-8951-AB459BE9C1C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6" authorId="0" shapeId="0" xr:uid="{4DDF5197-7B80-40A9-98FF-6BBF28F2410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6" authorId="0" shapeId="0" xr:uid="{6C87C575-2238-4A38-9BE4-71C118A6CBA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6" authorId="0" shapeId="0" xr:uid="{AEFB7A8A-2969-4D81-B7D5-AE96B316BED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6" authorId="0" shapeId="0" xr:uid="{A366518B-7C78-415D-8BA1-402879B22DE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8" authorId="0" shapeId="0" xr:uid="{126FD15A-1A92-485A-87D1-EFC8EC02478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9" authorId="0" shapeId="0" xr:uid="{D87B31F1-9633-4BCA-87A8-6CD5D067213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9" authorId="0" shapeId="0" xr:uid="{3970FBF1-EA9A-444A-A5AE-0841966070F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9" authorId="0" shapeId="0" xr:uid="{DB502EC3-0461-4CB3-85B4-CD574F4742A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0794479F-E08F-4EB7-90A6-488D8CE8EFA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165AC0C8-1250-4680-8C65-91BB9AE0101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48A869CE-71FD-4415-BE35-6FD5BBFC2B4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E98BD265-F6FF-4D38-813C-64F801AD66E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5E71A05D-6932-4A84-ACDB-397FD5FF8E1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458FFEBD-DD82-4E23-B5F6-36575F8FB03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ABFA79FE-3597-4438-BBB7-C39F83FC941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96AC6FF6-F696-498A-96A7-E876FB513E9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BCEA0A5C-D358-48E7-95D7-A02805110CD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9" authorId="0" shapeId="0" xr:uid="{EB4ACC86-4D07-4CD3-99B2-3144E16504C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011298E7-DEB1-4F83-BF8E-EEB7BC83592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219CB62E-19FE-433A-8340-F4AE75E0DFA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FDF99D6E-7703-4C5E-BB98-B18B434B1CC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A3BB54EE-A188-4FBD-A458-FD7E62C10D7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9B742B0C-79CF-43F9-A6ED-C006C80A59D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4194977B-1D22-46F8-95D0-601AEBAF1AB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02BE51D9-A781-4232-B030-163922749F6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C1E9F11A-BA72-4A19-81C7-35291B1CFD8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54D05B87-37EA-4B71-AE0A-0F3872325A2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0824E37D-1AF6-4FF5-978A-3687CAD8C21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5B140E22-83AD-4164-86B7-979094190EE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38CBA340-A1D9-493A-B4CE-ADA410FCDA9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09552081-6BC7-4837-9A5B-C655DD07D07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877402F9-B282-4394-844F-11EE20C9783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35B738AC-4DB1-4D84-B9F1-C42375ECD1D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EF75A001-BAD0-4FEE-8A24-152FB1C1B21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56115C39-E4FE-4A6A-9D27-BFDA7683B74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E9AD5575-3897-4D23-AD9D-A9A28836EDA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3E23A346-A700-4645-8551-1A22BAF5E1B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A4CE03A3-5336-4580-BC22-CC11FE4D15E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FE5014E9-4A1C-4AB7-B060-DF0E2D0243F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64CE69CD-CEEE-4F23-9233-AD8D4704F82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DC26A56D-EEEA-4C09-AF6F-26887C1538F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9CE06780-88ED-4FBF-B3DB-A451A07C170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5C7B9F37-29FC-4A23-B39D-382C2F0DBDB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2442688E-0844-4D03-9916-5340750D322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F867BBA4-CD4E-48BD-8D61-475A53D8FC6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8C2CC63F-74DD-48A0-9AAF-AF3F37717C7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77E242C9-3094-40A4-A8F6-848FDC2FB2E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C8A3E145-BDF7-4C22-B036-7FD29B95110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64B5CD3C-B50E-4819-B447-C1F58631FDF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8D3B7081-9400-43C4-9863-54A2BEDCC96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B550C9FC-E0AC-45AA-B9E1-0E9F8F966B2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DB9AB210-34A5-4DCF-935B-656F940C89E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E760A8BB-9F40-46D2-B7B2-73DC789AE12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1B7897DD-5031-46A2-B8B6-15801AB2EF4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E9662623-8652-4D41-920A-BB60FBEC896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3F343350-A88E-4199-A276-FE0A260F19C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6E3F7E0F-8343-4AB2-B227-3D8AC33EF78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B4072AB2-AEC2-454F-8203-2CD46FD61E4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B66EF5A3-FC32-482D-B4B7-1D3C0CD2043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8" authorId="0" shapeId="0" xr:uid="{31B752E2-BAA1-4C9C-A720-02394D58DC1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9" authorId="0" shapeId="0" xr:uid="{01FF8E9B-B22B-420E-805D-EC2FC2511EE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9" authorId="0" shapeId="0" xr:uid="{23671F0A-898A-4865-A770-BC63856E579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9" authorId="0" shapeId="0" xr:uid="{17400DF2-5920-448C-95A8-B960016EBCE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Y12" authorId="0" shapeId="0" xr:uid="{DC3A8E59-4F13-4D45-B4C3-43EF1B3C99D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57BBBE99-9BF6-4FCB-BBA7-99F34D2818F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80B06757-7A37-4A5C-9F03-0FC09795530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317100FB-F14F-4AC4-B77A-6FB4D2BB6A0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DBADB3D1-09D9-4E14-8775-06540D1A448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59AB64E2-D014-426A-BEDC-CFA8130E953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8F034192-3FDC-4659-B530-083063107B2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4653013F-A1F8-45F7-9D46-DF729656EE7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8807CDF2-C9C3-4A76-9866-B0AB56D9856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D0B38BC4-A49E-47DB-B4FE-28902207494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8C0C5EDF-6C9A-460B-A3ED-4E7F07B9F60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8" authorId="0" shapeId="0" xr:uid="{2D0330FE-589F-4BA6-BF92-34107F28F5C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9" authorId="0" shapeId="0" xr:uid="{7C362F0D-4B4B-444C-9E6F-8FAB34E052C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9" authorId="0" shapeId="0" xr:uid="{E35724EE-1BB6-4E34-A87E-5D2BF57071C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9" authorId="0" shapeId="0" xr:uid="{CFB853DB-3EC7-44F3-AC65-2057D880AFE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7E09C369-6274-46A3-B751-7C44627EECB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8509AC96-E804-483A-9524-8F7C7E69AC6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E81D919E-B1AD-48AA-8679-B7793845C3C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CDB3B24E-2513-4E96-9DE8-5218A3FEF01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11C45DB0-7C79-4337-9093-B8D8873AA64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B10348A2-CDA8-47CA-A6CE-6E933871064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0617564E-E538-449A-9C7C-5FCA9E7EF78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31A82182-6275-4A96-8CD7-BB747040BA9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58BEC594-9A60-4C96-AC45-DB4DA929B84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AFEC17EF-D4A0-4DE0-BD72-3FDCF8A0CB3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E41AED29-5B04-405B-8FEA-643236E82E9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329192DB-2C8D-49F5-966C-ADE3D9EDA19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86379691-5DE7-4025-A569-586138EA5A7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6E9B5FF9-D473-41AF-8207-AE8704B2634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1" authorId="0" shapeId="0" xr:uid="{2AD75548-D248-41F6-8D3E-11F8D0C55A7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2" authorId="0" shapeId="0" xr:uid="{525E0620-86A9-4503-96C4-253BF9CBB9B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2" authorId="0" shapeId="0" xr:uid="{EC9DD48D-8B30-4494-B56C-8590EF7FA86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2" authorId="0" shapeId="0" xr:uid="{D5B11C0F-8A45-4CDD-A75C-5BCD77133A8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2" authorId="0" shapeId="0" xr:uid="{1365B02F-9114-4B14-9F7E-3F5A7E066FF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4" authorId="0" shapeId="0" xr:uid="{9B66CABA-0957-49C2-B8F0-1782110B55E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5" authorId="0" shapeId="0" xr:uid="{A0FBD6E2-DC45-4764-A068-F8C9CE7CA53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5" authorId="0" shapeId="0" xr:uid="{26A2279A-A773-4138-8FD3-FA606F02379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5" authorId="0" shapeId="0" xr:uid="{FA7DC0B2-E25E-47EF-8F5C-7B2CEBB5D3B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F1" authorId="0" shapeId="0" xr:uid="{198B025D-CBA8-4EEE-8203-20A0AD2F842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F2" authorId="0" shapeId="0" xr:uid="{1012EE5A-E085-4CA6-9854-D63DC338794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G2" authorId="0" shapeId="0" xr:uid="{A8652807-21B6-4378-92B5-9E2893360A5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R2" authorId="0" shapeId="0" xr:uid="{2279353B-7AB5-4FEC-88B1-456CF56DDD3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BDB0DC78-1421-41FA-8B1B-970C3A2B21E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A75BDD62-DFDB-43A6-B7A5-19CCDB6E518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23EC312E-7D44-40D7-AA91-0239595B09F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EA5B2A51-59EB-4BD7-83AA-17BFABBC087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232CECBD-A2EB-4508-A251-02202E36DAC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2DEC1441-7DC0-4C02-9C4E-DB239F7FE33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8180C542-2360-4785-BC49-63838AE049F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150BD0C4-582D-404F-8130-A5AAFF9DAD3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00B864BA-7FE9-4C70-B599-21BE6C867FB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C8B323F8-7317-4BB9-861B-C0D3F7C626D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6" authorId="0" shapeId="0" xr:uid="{6FCD7D6A-D0B5-4D95-A707-1698084FE6B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005BECFD-577C-44E8-B788-3AE4AC1AA9D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57AFDE88-6577-4FE9-9D9D-541E4DCFECA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D984B3FA-3892-4F9F-AF94-1B807FB3FE5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7165B681-3387-41BE-A6D4-D5D854F38EA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DA9D6474-03DB-407A-A4D8-221C000548B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40BD8C01-D53C-4A9E-AD49-317E20DD328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925BE8E9-46E1-426C-A1A7-E326E1ED57E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DC086819-9CE2-4E26-A25F-A2F6270C4FF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F70257F4-F09F-4F1C-BC96-C74A9D13611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C97CD821-4241-49CD-B9A7-6BFBD4231FE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D1E1BE60-1E1D-4231-8D48-FFE48645D44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35C2B5A7-F250-44B9-A6C9-6FDD4B8433E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237192F1-7CA8-48CA-9276-31687A2C8B2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962B24B6-BAFE-47A3-9B37-C61C2ED7079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A36DA8DF-4FE3-4C59-8353-2BEBB802C9E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45C7FBF4-FBCB-485B-BA20-3F3514E8519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19587AB9-F977-4DD0-A1C8-49B7A7DC8AF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22135B51-262A-46B8-B6B1-47240FBF7E8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BF43D8BA-1AF5-4D8F-8853-FD4CAA0CA95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AE1D6C65-DB33-47C4-A4A2-C79358150DB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BB3C2F1B-5B77-4C54-A9BC-B7B88891DE7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1D65478B-1832-47DA-BD9C-A40505DAB16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E5379AF1-A5F6-48CC-BD13-AA797949CF5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008D11AA-F235-4066-B5D0-29BBFC6A1F1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795D4705-F9A6-4257-AD6B-67767561A2E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83C6E743-0C13-44AA-B108-1C8FDDA95B9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0778538D-A77A-4A54-9097-C0033B55CC2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7C6553AF-84E3-4260-9E4B-C5A5B897CB8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5" authorId="0" shapeId="0" xr:uid="{A30E7CA8-EE2D-443C-8BF7-D87CF99DFA1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8095B530-21BA-491B-9A99-0E31CDF804F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4C1ABACD-F0C0-40D6-B193-2A523DAFFBF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03EB13B2-1BBE-4FEF-82F4-1BD117ABE00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8" authorId="0" shapeId="0" xr:uid="{DCBEFE3A-F028-4C76-946B-09F7067428C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9" authorId="0" shapeId="0" xr:uid="{A79449AA-1E93-499A-9F60-F019B38F1C8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9" authorId="0" shapeId="0" xr:uid="{96DC5CBD-DC4A-4306-BEBE-5B0CC3ADA0E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9" authorId="0" shapeId="0" xr:uid="{5CE1BC2C-ABCC-4870-BC21-639C0B05638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B11" authorId="0" shapeId="0" xr:uid="{64E9AF91-3997-4182-A0E1-9E59A2CA130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47F064AA-A712-41EF-9F21-1C38FE6F3FA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550EC45F-DE80-4060-8C11-98AEDF1396D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061D048B-1A18-4DFE-BAA8-CD8B2E127FA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CC9EADC8-5829-4BE8-B006-EDD4FF531A9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1A1214BA-C9A9-40E6-B29F-7D9EBC5BBCD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3DEA7BDF-119F-4A8B-BA94-A76C15EBED1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8821ABF1-9D2A-491D-A90C-A2A9503795E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529CC264-9074-4E67-A11B-34FB5EE5E2C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BDC359FE-82C6-4B6A-BBBD-685CE2E3FE2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9" authorId="0" shapeId="0" xr:uid="{594025D7-0AD6-4D89-9CB6-C7454BA5732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70674CF9-AF69-4704-909F-08130D08891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5270E668-EB37-46AE-A706-FFCB055B54D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99D2E908-B747-46BB-905B-DAC988EC218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5E07962D-5CFD-4868-885C-A814D59C071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5C231D7A-9BCF-4F0C-917D-A98A2ABD9DB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CFF89408-A821-4B0E-B1F4-F37ACFB97D8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EB595385-5E3E-4816-908F-1838D6AF68D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A1A5E430-B127-4909-B74F-EFFDC6671E3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47507A3D-A203-4D88-A05C-F519ADC8A93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A30AED0C-208F-4754-B142-9F0A2B34EF5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43526DF5-C6F2-4791-BC07-DA7E3C65C09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358A9AD5-7C95-4DD6-9811-53AA995B487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2C85F50D-D59D-4BC1-8F68-EC1B948E844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5" authorId="0" shapeId="0" xr:uid="{AA0FD198-2EFC-4759-89E4-418C9184963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6" authorId="0" shapeId="0" xr:uid="{DB0F508B-D404-477D-9396-4BCB3677DD8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6" authorId="0" shapeId="0" xr:uid="{2998E92E-2334-4D07-98FB-CC32407C861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6" authorId="0" shapeId="0" xr:uid="{A9A109F0-15B5-42E5-9B35-88E83583F4F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6" authorId="0" shapeId="0" xr:uid="{C7FF85A2-B92F-4927-9EA9-AD4E50FBC48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8" authorId="0" shapeId="0" xr:uid="{1B34CF87-5807-4EB4-AA59-E841B7AD031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9" authorId="0" shapeId="0" xr:uid="{93CE71E8-9C7B-47CB-809F-B7144F3EF32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9" authorId="0" shapeId="0" xr:uid="{6CAA4A23-21C0-414B-A604-17D9955B1E2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9" authorId="0" shapeId="0" xr:uid="{67D5F0BB-36BC-40B1-AD98-40AED19F959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3" authorId="0" shapeId="0" xr:uid="{D8996AB6-4740-4A68-93D5-AEB3FF6AECA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4" authorId="0" shapeId="0" xr:uid="{CE98819A-0B1D-4AFA-B75F-576101D9425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4" authorId="0" shapeId="0" xr:uid="{5D871527-ECCE-4933-8E87-982F2E148C0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4" authorId="0" shapeId="0" xr:uid="{A28479B6-AE56-431D-93CB-F559CCAA0F3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4" authorId="0" shapeId="0" xr:uid="{FFB5C1A9-FB9F-4E3F-933F-BEA01C3F219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6" authorId="0" shapeId="0" xr:uid="{B01B5445-188A-4034-AEC7-B910F8974E0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7" authorId="0" shapeId="0" xr:uid="{051A1561-F70F-41B3-BBA8-218253872C2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7" authorId="0" shapeId="0" xr:uid="{C2F14310-FC2A-409A-A398-DF0EC9E3F64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7" authorId="0" shapeId="0" xr:uid="{35A442A0-0234-4D4C-8191-B464ABA6D0E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AD1B4FB0-9FCC-4FAE-9090-9BE3CA3DDCD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7B9F1219-6E9E-4B46-B384-9BBCFD5BB8B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5D5244BB-8D60-4537-BA13-D5E8BE9F464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F14C380B-61CD-4425-BA53-67D1F6B8B45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A85A2EBF-43E7-414B-8FF6-5D2CA8B6D0D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5" authorId="0" shapeId="0" xr:uid="{1ED4C17D-3E53-4626-8F30-3D887A88547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6" authorId="0" shapeId="0" xr:uid="{EF441932-0BA4-4C29-BC34-130B0D718CC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6" authorId="0" shapeId="0" xr:uid="{C84A9B4A-F8ED-497A-ADC4-A773DC6D1A7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6" authorId="0" shapeId="0" xr:uid="{5CCE30F7-9305-4317-AA9B-D4FB59EEA87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6" authorId="0" shapeId="0" xr:uid="{7EBE5392-A0ED-42D0-BE2B-E01AE51AF1F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8" authorId="0" shapeId="0" xr:uid="{DADC8DB2-5F68-4723-A133-590AE1F29B6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9" authorId="0" shapeId="0" xr:uid="{6870C42A-3625-4D36-AADC-3ED4B9AAD46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9" authorId="0" shapeId="0" xr:uid="{B3F7612E-3B33-4D86-8981-D64457878E9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9" authorId="0" shapeId="0" xr:uid="{82FC6680-DA30-496A-AF44-2001A0DF43A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3" authorId="0" shapeId="0" xr:uid="{D3529E34-9F60-4B39-8913-D89C22A9D43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4" authorId="0" shapeId="0" xr:uid="{67748D0E-1841-47C8-BFEB-8A1A8E6372C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4" authorId="0" shapeId="0" xr:uid="{50C9AC6D-A773-4E95-803A-7C41D2EAA2F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4" authorId="0" shapeId="0" xr:uid="{9366250A-C620-4121-80D5-BFBCB4EBAC9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4" authorId="0" shapeId="0" xr:uid="{1C640906-FF8C-44CA-B182-81DB5ABF083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6" authorId="0" shapeId="0" xr:uid="{88FFC566-601F-42DF-B21E-077DDC7B9EC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7" authorId="0" shapeId="0" xr:uid="{03FA1AED-5A5D-416E-86F1-F961391FAD3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7" authorId="0" shapeId="0" xr:uid="{77B49C5C-3A49-4F20-8564-A6F3A398869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7" authorId="0" shapeId="0" xr:uid="{2C85D05E-075B-461B-8780-403D44DA3E3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C73118A3-435A-4269-A2FD-5011A1F8FF5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1BC6FAD3-E11B-4B75-B937-17CDAF9A03D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F3F78E47-E5EC-4977-949B-E5695924B8A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4A0A2628-DEA2-488D-BF59-6C75CFB9C94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8B5602C5-DFC6-4DA1-9B2C-6A3A62970BD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5" authorId="0" shapeId="0" xr:uid="{5D59B56D-E8B6-4C45-80F3-5803FF7366A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6" authorId="0" shapeId="0" xr:uid="{E422962D-2A55-41E2-BDDB-9EC3F5E22A6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6" authorId="0" shapeId="0" xr:uid="{7D47EA7C-8432-41E4-BDBA-C27FF00A00E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6" authorId="0" shapeId="0" xr:uid="{C0220FED-27F6-4AC6-AB9D-D21120FBEEE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6" authorId="0" shapeId="0" xr:uid="{5BF2F00B-3C55-4B66-BB97-290B3311780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8" authorId="0" shapeId="0" xr:uid="{57EA9C1E-30D1-4A59-BABE-CB1E655B614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9" authorId="0" shapeId="0" xr:uid="{69B40772-89E3-460E-A67F-5A5530358A7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9" authorId="0" shapeId="0" xr:uid="{E6B8A96A-9F9B-4250-B2C4-15DA3CF19EA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9" authorId="0" shapeId="0" xr:uid="{56B5445D-6301-4046-AB04-7A0E4E197DA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3" authorId="0" shapeId="0" xr:uid="{37A131F7-5DFF-45D6-982D-7E62B192986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4" authorId="0" shapeId="0" xr:uid="{9D886962-0FD1-4826-9819-438491A4AFB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4" authorId="0" shapeId="0" xr:uid="{1EAD0AE1-743F-4D82-B06A-779E0CFA17F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4" authorId="0" shapeId="0" xr:uid="{3CE26F3A-41B4-4BDF-8CE7-B8720BAEAAA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4" authorId="0" shapeId="0" xr:uid="{A4085EB8-1522-4F8C-BBD0-345333D4B6E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6" authorId="0" shapeId="0" xr:uid="{94EC506E-C562-4583-BE76-A8CD5654F59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7" authorId="0" shapeId="0" xr:uid="{747C832A-D85B-4905-BD4D-235CF852689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7" authorId="0" shapeId="0" xr:uid="{A113CB5C-FC71-499A-A940-59267485C7D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7" authorId="0" shapeId="0" xr:uid="{3A99F4C1-160E-4A62-9C4A-0B0179D5389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D5237141-7899-45A4-AF1C-23D421BC221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8B419E1F-55E3-4484-9E27-F912B4B56B0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63ECBE9A-8B1C-4E27-A6B6-07298F4DB04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AB4A7904-16D2-4209-93B0-AFFE958FC16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B9FA3F63-D806-4438-90C9-FAD9B744C81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1BAB761F-D13A-449F-840E-8519CDF6330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B4DB8405-A3C0-43A7-BF75-C2BFFB25431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54AD2921-8E5B-4C72-9C46-CC5037DB598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A71C039A-EC7F-411C-BC9B-64A6344F564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9" authorId="0" shapeId="0" xr:uid="{5BEA0698-6225-41B5-B9A9-8EF0F6E7722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7F1A1775-6B4B-446F-B2CC-7FA20FC609B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4A960FFF-9D16-4D15-B6C0-673923C5040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91FC42EF-FC8A-45F3-964D-501170020E0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BDC07C01-7408-4342-AE7F-9460F997ED5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CDF3E43B-DB3C-4250-8360-A45026F2A34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E111654F-2399-43F1-9226-457D26DA539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235E36EA-763A-4AC8-8B20-1DE0786B845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8656D62F-1DAA-4B09-B6F8-9A74EC8B32B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421CA04F-D036-49FA-A7FD-CF1968B1633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DFA3DE44-031C-4E2D-987E-FDD04C00ACA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CE363493-7996-45AA-B9CB-495DB31EA3B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8B3D4212-23FA-4ECE-8C14-327EC631A74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8AD95CB8-466D-4CF6-B892-915EBD531D6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5" authorId="0" shapeId="0" xr:uid="{F87CED70-4B34-42FD-A811-633B9B19922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6" authorId="0" shapeId="0" xr:uid="{6697E3C8-0936-4854-924D-9276003D43B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6" authorId="0" shapeId="0" xr:uid="{5DF70D16-DB3A-4402-A1BE-390309E4E8B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6" authorId="0" shapeId="0" xr:uid="{8ED50ECE-9106-4C8D-890A-F4D0332D211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6" authorId="0" shapeId="0" xr:uid="{DA0C6961-7264-4D2B-9813-39E9816C32C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0" authorId="0" shapeId="0" xr:uid="{C0450F92-9777-4109-A4E6-173794769FD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1" authorId="0" shapeId="0" xr:uid="{BA443C1A-53C0-4648-AD70-5C2FB4DC79E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1" authorId="0" shapeId="0" xr:uid="{18AC9AC9-2420-46AB-9CE5-04707E4DB05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1" authorId="0" shapeId="0" xr:uid="{7770DD25-CF22-40B5-BAA9-A8F2F9BEDF4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1" authorId="0" shapeId="0" xr:uid="{3FA090AD-6A7F-47B2-B9EF-95A562994FF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4" authorId="0" shapeId="0" xr:uid="{6D826C7C-6EE8-45E1-95FE-A7003D6E7D5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5" authorId="0" shapeId="0" xr:uid="{5F6F80F8-9211-4FDA-8565-34C765A7E1A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5" authorId="0" shapeId="0" xr:uid="{A9E466B5-3D34-4256-BE2C-B375173DD67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5" authorId="0" shapeId="0" xr:uid="{165E89D9-5419-4B68-A5CF-B3D6FF7F439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5" authorId="0" shapeId="0" xr:uid="{0E907A44-99F0-445F-8481-0F5976D75D8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24" authorId="0" shapeId="0" xr:uid="{CA53D695-6CC1-49F4-BF27-D95FF4F6247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A25" authorId="0" shapeId="0" xr:uid="{85BF8C1C-3DC9-46D1-8692-7A1B3E2CF02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B25" authorId="0" shapeId="0" xr:uid="{6A5A1A88-6A11-4106-9A5D-8BC874E7D25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M25" authorId="0" shapeId="0" xr:uid="{9DEC6C1E-9BF8-47C6-9C10-C1B8937BBE0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E83CE746-C4BC-4D87-82A3-EB4D875AAFA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3BBF3282-F0E7-474B-BF03-06C2A138FD1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6F612CCC-00A9-4936-B573-7212B23291F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19AEE081-E570-467E-81D0-3CB4C7C5CA7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225B5658-4C62-4F12-B673-17F83D025DD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989F9423-DA7D-4784-AAE3-901199FC476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CB9B10F7-6E69-4B48-BC00-87636D195B6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42B888DA-087A-4EE1-A5B9-1DE0A8E19D9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75E7FD75-D67E-48AA-87E8-11E8BF64111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37F1E186-A73F-419B-8685-46FDBEE9679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968B49C6-5E4C-4159-BB6F-9231BE67B3C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7FA287F3-B93F-4FE0-8D77-72C7C46DA32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5F069E33-32E3-49B1-A412-59EC03F55FD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013C7CBE-491D-4D00-A325-6347C71617E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1C0C0396-CAD3-4410-AB08-74CEF56DB37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FE3CBBD6-BEC4-49CE-A909-8804F0A6688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2EFCCBC1-984C-444D-9B21-224BB12A7C9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7E9DBE6C-FE6A-4446-8250-0731D9DA011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63B799ED-D06C-4857-A96A-5A04E8905CB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19273A91-20EE-43E6-9419-EE3D1F588B8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352200FC-33AE-45FB-B607-355CAC63D0B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1D9D36FC-5947-4EFE-9BFF-BC684A252E6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B2834AD5-4C13-44D6-9D4F-A38AD034E18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74DD950D-1C68-4F7D-A9DC-78E8BBFB307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F649FA60-7181-4E75-B469-9A209DDBD8E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D3AB1074-B117-434E-934A-63A37EF9873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16D1F3F9-8130-4E23-A256-63B8DA34F17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6E56841D-B6DD-4495-9D7C-32F9FC50CDD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02C7E669-924C-43DE-90FF-752570A3D3A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5849E026-B217-4DA2-ABA6-E29E6B05354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36D726A0-8324-438F-BC18-6CF0BA7F5B6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8220C3F0-DC47-447B-9715-CCDF3C9C069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A59C7ACA-8433-4C3A-8176-7905003B9E3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FC9E8F19-D26B-4B4E-BA20-E1EAF0B0635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8112087D-BBF5-4484-8453-07CB3A5BEC2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0D8D96E1-22B7-4C46-8449-4B6EEC0C70E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315E33AD-D91B-4060-807E-ECCEF493640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F8E2269B-7767-4C41-A9CA-0E3AB2C791A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C538D387-8A59-4B75-94FC-D0598EFA769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A3ACD3E9-9340-4823-8537-7D6E94BE89C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3D0E5019-1182-414F-A7F8-037B645A7B3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10987A55-2561-4B9C-B0B6-D487F62E352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DC9B3302-ADB5-4801-9CD1-356330E009D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D53FD9D0-20E7-4630-A8A6-1635E131C91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1448764C-B5AA-47F3-990C-16957751E21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9C208E06-72CE-4573-A9A4-DA554A1A468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0E478E95-008F-403D-B140-295BDA18B56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702AD8DC-82A4-47E9-BAD7-EFBC77E052D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8D3E9E1F-A010-488D-A883-6A22963B7B8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D84661C0-9315-4BA2-8F67-0D09634A095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C377CFFA-5F18-41C5-A5DF-04BEA6BD6DE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4A0F3C05-1037-445F-AF15-CB3C56ED826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71E6C39E-8096-49ED-868E-D6DFC64D016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6E006A83-4398-4493-AE8A-7FF583EA68F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2E1C2793-B5AC-4A05-8007-AE5967E7CF0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9" authorId="0" shapeId="0" xr:uid="{2C0F362C-0CFE-42ED-93A9-0B286B1487D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747AA0DE-4952-4A11-94A9-2C6C2D2ABBA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786DD9A2-99FE-4385-8F95-5CD95934262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B37CAC2C-54ED-4422-8315-D7E0064000E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5D91961B-0FF5-4AEC-A966-C8C8C07291B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57BCEADA-443E-4E85-8199-6CF03C2910B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1BEDB248-26D0-4E02-83B1-44316D85674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829EF6B3-B97C-4BAB-8D31-8C210DB67A7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7436006B-5DED-4234-9E81-5D6CE5AFDDC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A1EF3189-7385-4F3B-8B6A-806A8694284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3D7D2542-C623-468E-B193-D8E8EDAEB44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14779AB2-477D-43F3-B0E5-C68EABF712F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A450A524-72A9-4E2A-9CCB-DDE9409AFCA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274CCA6C-806A-4DDC-AAB2-A50FB9B0F5F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1B83CCF3-0706-4DA6-9F09-A581E74F4F0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6626FF92-3380-4E25-AEF6-B2CEA0D51DB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F866A3D7-2372-47D1-A299-98FDDBDE564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75C655F4-43DF-46C3-BE07-47D6D411D0B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E702B94A-5FBD-404D-A6EB-F7A07CE6528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280E09D6-F2D2-4373-8740-8C399DC9EDE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4323F0FB-9127-4D8D-843C-B7691115000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BF47EA81-239F-4919-B9E9-46FE95C6A0E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38C29312-2BEF-4B8E-9C20-8819E471905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344B8354-5CBC-4DA0-81F6-63C32602A5B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4FD1D1F7-340E-4B89-B590-40327873EE5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BCF82755-4969-4133-972E-01E2215066D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A4A23C5C-EDBF-402B-BA8C-9AD07457521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8F3EB3B7-93E0-4879-BFC4-70214A9782E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EBFD50E7-E3F0-4A9B-8406-F1261FEDB8A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25F8F24F-580F-4B9D-80FB-90D32928579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2B9AA968-B2E4-4A40-9507-A9E2AD5C2C9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4B834009-998A-4077-A746-4D3B8659364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A4C28FED-27BF-43FD-8B85-9EBBB951B93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6F22BC5C-875D-42AE-AC49-992A8C28779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DF70BFA3-8810-40A1-84D0-1BFCC8D5A74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EB4E3285-35DE-4B48-88A5-C2F431D5658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62F39816-8F3A-4A7F-BA0C-F15536FF62F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BDEDF679-8882-4F55-9C45-1C126BFD236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5FE6AC54-DAEA-4A2A-B768-E1A69698D11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D5CA6CA6-6869-4A00-A027-BC8AF4B56F4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4CF59E32-CCBF-4877-891D-3CCD6B3B32E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306B35DB-EE59-4135-A580-CCE2B2CE98F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9E0E707D-C801-4C63-9228-6D08E6592B4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E9E119F9-9ABB-430D-A74C-8DE55D3E92C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AE439A6E-83CF-4DE9-807E-ECD5627C924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27E14E8F-6C11-4901-9517-CDE9C96CA0C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95300AD5-8E31-437D-93D4-D4224E1FA4A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F8E6F169-A654-447B-B8AA-5430717E502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72606618-139E-4526-B6A4-147773B4110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7944E4EE-2DDE-44C4-B57E-F028458830E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CAFC58ED-D527-43ED-ADFA-646F84B6273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24B6C9BE-6584-43E4-BB82-75E2F22C088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79E97616-DD90-4A8C-A971-679365FAE53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E7A65EAF-C55C-49F4-A3E3-712D66D07C1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441B1250-FA50-4E84-9859-1133D9CA785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3AE439BD-CB4E-4D22-90CD-236CCD727F6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9E3D60CC-1F74-44E4-961E-C09A950EBA4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CBBFCBDD-2AC7-4316-9F9C-D6BA0113A12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B2AC519D-95E5-4E2A-B29F-173DEA15703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251AA4AD-8E6E-41B1-9508-79D33EB73A9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97368572-66EC-4BC2-8A4D-4C939E1D607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7CC205AA-F1D3-40F7-9ECF-A99ACA60FEA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DCE09655-B180-4331-8B17-2A41F944C50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A1193001-E8FD-431F-9FF0-E6F771358C2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F58B1497-A08E-444A-883C-4894337D746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8" authorId="0" shapeId="0" xr:uid="{745DA7FD-2810-40D9-9C24-07C5F0836E7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9" authorId="0" shapeId="0" xr:uid="{0DA44B53-50FF-40C9-82FF-0D9C534B424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9" authorId="0" shapeId="0" xr:uid="{64657DF2-64FD-4C02-BED4-F3598C13EA1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9" authorId="0" shapeId="0" xr:uid="{212BC600-E4F3-447B-B775-896AFCEE8E6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Y12" authorId="0" shapeId="0" xr:uid="{08639C7A-7893-470A-B5DF-390050E752E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B1" authorId="0" shapeId="0" xr:uid="{69469AE1-F984-416F-8133-DAA1EB09440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2" authorId="0" shapeId="0" xr:uid="{C5E7901C-25FA-43EE-8578-FEA6B5B80D4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2" authorId="0" shapeId="0" xr:uid="{35F80960-DFB8-4A8F-9B4E-48E99A43678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2" authorId="0" shapeId="0" xr:uid="{491BDEB2-B5BC-4820-8353-1EB38B5FA59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6" authorId="0" shapeId="0" xr:uid="{93FC58D9-C5B0-47AD-A5E9-12F7DA064B1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7" authorId="0" shapeId="0" xr:uid="{D803FE05-444B-4960-8E43-A7521C031C2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7" authorId="0" shapeId="0" xr:uid="{10C89521-37FC-4EB6-9414-509AC86DEAF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7" authorId="0" shapeId="0" xr:uid="{404A936A-C609-40E5-A1DF-3FD8D8290C8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7" authorId="0" shapeId="0" xr:uid="{61F5B55A-70EC-4155-9D4D-343C7D153A8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9" authorId="0" shapeId="0" xr:uid="{E81C6B17-FB24-4B40-924D-B7BA01B6BE9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0" authorId="0" shapeId="0" xr:uid="{2B3887A1-CC26-4544-9D6B-624D5A9E1EB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0" authorId="0" shapeId="0" xr:uid="{A11F052F-E732-4778-A94E-B87402BC659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0" authorId="0" shapeId="0" xr:uid="{12B0C325-E3BE-4450-99E5-410D318B63F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16C5C01D-9704-4B56-85F3-31EF70D5794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2C22FA93-CE16-4134-B4C8-2E3386AFB88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E53669D5-5F39-4F9C-818D-487C97BCA21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81ABA85A-EA54-455B-927E-744D4357BDE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471BF358-231D-46AD-BA03-1447268D562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5" authorId="0" shapeId="0" xr:uid="{153EBDD6-D638-4D39-A7B6-57084578707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6" authorId="0" shapeId="0" xr:uid="{3EC310A1-1922-4B21-8A75-CFA493B3581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6" authorId="0" shapeId="0" xr:uid="{0F2D697A-B5EB-4D7A-9540-AE47F3985BE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6" authorId="0" shapeId="0" xr:uid="{3C8A1E6A-3AD1-4A2A-A683-14728052E44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6" authorId="0" shapeId="0" xr:uid="{CE2C8FCC-60EF-4956-A98D-F8F3B0BF596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8" authorId="0" shapeId="0" xr:uid="{933E6A9C-0B69-4282-9812-E4FF5E898E3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9" authorId="0" shapeId="0" xr:uid="{517569D4-50DB-4F97-8BBA-971631F9827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9" authorId="0" shapeId="0" xr:uid="{2E93E10A-A22E-4810-B11B-DAE4F2DF8D6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9" authorId="0" shapeId="0" xr:uid="{D96B0999-D4E5-44D7-A420-DDF93B42C75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3" authorId="0" shapeId="0" xr:uid="{C560D66C-DD60-416F-B44E-4B80C030F37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4" authorId="0" shapeId="0" xr:uid="{449D55E0-3F6D-45F1-9BAA-5010C84FC8B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4" authorId="0" shapeId="0" xr:uid="{9F5119C6-D1E0-4A14-87A3-09980CD3B16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4" authorId="0" shapeId="0" xr:uid="{C61D07D5-D89A-4731-996D-21FB4FBF2C7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4" authorId="0" shapeId="0" xr:uid="{B0F3F414-ABDD-4F23-B703-69CD38D0E30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6" authorId="0" shapeId="0" xr:uid="{CEFCB2D7-A881-40C7-AC61-35872DA8F60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7" authorId="0" shapeId="0" xr:uid="{9C384DD4-DF2F-4E11-9217-84467B1E1AC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7" authorId="0" shapeId="0" xr:uid="{858E6DF1-1CC1-4548-877C-A398880F180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7" authorId="0" shapeId="0" xr:uid="{9C1E9F72-03A0-42A3-BDFC-3073BFC623E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20" authorId="0" shapeId="0" xr:uid="{9EC8DC54-6AAA-4401-BAB5-5D1710754A4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1" authorId="0" shapeId="0" xr:uid="{40643763-3CFB-4846-8B4A-E1B1213A9D0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1" authorId="0" shapeId="0" xr:uid="{CAD01DA4-C82F-47E5-86E1-A730E51A5DE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1" authorId="0" shapeId="0" xr:uid="{7371ECF2-5D9D-4A91-ADF1-9464CA5EEC3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1" authorId="0" shapeId="0" xr:uid="{3BD0E7DF-FE44-4AB1-AC2A-DF7C4A68701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1863DC97-8893-4711-AAEE-209508C6382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0A18B00A-54F7-471F-83D4-C16E256489F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CB3ACE1E-06E2-4E99-AF9A-A3B423EAFE3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E1D9E79B-65E0-4C2B-8480-886452FFB44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37D5C1BA-A219-497E-B5E3-A7D60163BA4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B44DB6D8-6FA1-4C0C-BC26-24F13B2C8C8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B639E836-F974-4212-BF94-B68E94E0895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111EDECC-202B-4C31-BF26-8AA61EDAB16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2AC80940-5595-44F8-8FCD-718A573B746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7A0792CB-375A-47DD-8FCA-2D6B2A7F96E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5ADF46B5-C958-46EA-8218-66DD421005A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5DA5C89B-C728-4719-8F9A-C222165DE4C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1D994D55-E623-4900-9F1F-BB66157DBFC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176CA65E-3F33-4082-B621-2A9D5331175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117D24C0-1516-4853-9A9A-C904A926A33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E1EB5F4C-E0B1-4901-B843-426F0DBD664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3193FCE5-19E8-418F-BF0E-3C874597D0D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49AE00AB-3542-40F6-8405-B6C5E2CE97F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89D3013C-2297-40FC-A2FC-84254EDA3E6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6275F126-D4BE-4285-99CE-339528A710F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52C4AE48-E06A-4E9A-9E7D-DB94CA3EBE1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C52B20D5-725A-41AA-9E27-BC845326D92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49BA0DC0-CD05-4075-B27D-477F6FF5534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EA8164FF-FA44-4F84-8DFB-7A75BA1502D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4AA7B165-919E-4938-932B-CAF918F7FDE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4805B33F-A5BF-4018-B253-E106D3C36A2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E826E5E6-20A4-4BF1-AC21-EB45E6EA8B4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A5B9902A-5941-4E51-B391-D3C30040BD1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5" authorId="0" shapeId="0" xr:uid="{A475D16F-E102-4D06-9CDC-C0DA590F6E9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6" authorId="0" shapeId="0" xr:uid="{17B81FC0-E65F-4090-9840-4D349AEA227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6" authorId="0" shapeId="0" xr:uid="{E72B4130-A8CE-4634-ABD5-17ABE43D591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6" authorId="0" shapeId="0" xr:uid="{D612B754-470C-4888-8816-5A131CCC8E9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17454B89-900C-4FD5-9281-78A658AD9BF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D025FF03-839A-41FB-B7F0-8E4492B7C57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12D78DAA-CCA8-4158-87EF-7610D134D0C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64E06762-CC52-4199-B3BC-DA694718C21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A3552ACF-393C-4706-A2A0-D54D9B28D04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51C2A23A-09AC-4D1B-85F0-8396B0EC267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9250A117-D8C7-4E53-99D7-5B098B7D8ED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6C2B3C0A-D754-4DFB-845D-4B57B163F86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7E27AE6C-0DED-4704-B353-91F3C162C9F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F5B34515-0DB1-46D4-A548-5B5598DDE6A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8" authorId="0" shapeId="0" xr:uid="{443563D7-94E4-4B09-92D6-279A6385895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9" authorId="0" shapeId="0" xr:uid="{F37BF1AF-5CD6-4D43-B45C-B1998ECB6EC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9" authorId="0" shapeId="0" xr:uid="{9E5542AA-1FF7-4070-B014-AE29560C43E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9" authorId="0" shapeId="0" xr:uid="{F1BD92A5-87B5-4524-B9D3-3453AA54590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G11" authorId="0" shapeId="0" xr:uid="{66C99927-25DC-4DF0-A556-E9272E9CAFE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5A6817BF-DEFF-4193-80EB-F51DC5DF7E7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B49DE820-8AEC-4F54-942F-301DBC0CD95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26448731-9731-46B1-944B-4071326C8AD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8F72BE05-6EC2-427C-8564-632E916F6EB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28A18946-ADC8-4CED-9A02-99B601C4C11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C0B441BF-3D55-4BD5-8384-548BAD25DE8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0DF55511-8D4D-401C-8914-0DAB0E3036E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B3DEC030-81BA-4D0E-90C2-0BE56992698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ED0F179A-DC30-43A0-8E1D-95102672861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9" authorId="0" shapeId="0" xr:uid="{51A4C12C-DF46-4D0B-AE70-13393434DEE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E9EFF2DE-2E7B-46FF-B561-EA1466030FD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FC9D06CC-D7DE-4F7A-84F8-6505E8365A4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B9E88FA7-4354-49AC-8D53-3727C36ECE8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809FE392-260D-4E7F-997B-F844C0F3877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70A2BA60-E2EC-49A0-B8A8-894870CD696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A88D3F12-9E52-4EEA-83B1-61656430A3C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E306B0E1-E760-4272-8930-9AAD115F23F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17D84886-89BB-4FD7-AAE6-3519B21D9D2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18C51614-6B3F-4BEA-8DA7-F0E0F537ADB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F402EF85-68B6-4770-AA8B-C4FFD982496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DDF1424D-4FCC-4607-9222-D81BC6F2E3A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E5A12A24-2F0C-492C-8A71-5367869E842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9E4F281F-7FBA-450F-9A63-D2E1412662E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62894C42-6D7E-408B-88B9-6C1B4DA6869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1D7E0EC7-78B3-4E46-A7BD-145825E2184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DE05FA33-BEF7-4FEE-B766-3F562750C49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AF7B5427-378B-42EE-B870-9D08CD9D16E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9" authorId="0" shapeId="0" xr:uid="{4F7972D1-1DB4-4E1D-8DA8-DE0038C6810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ECFD54F0-D9AC-4EE7-B9F1-09E1C7463C6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59144E67-CFE5-40B3-A31D-29010E63540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65551C8D-B4F1-456E-86DC-D412E17915C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3537FA02-A366-4B85-B41C-BED1AD73810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6294F4A6-57E1-4EA5-8FAD-E642C7B09EB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AE2DF5AA-C9B3-44F5-95B3-4643CD43D98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1381F761-1E38-4E08-9EDB-C456E7A62DE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05EA0846-FEA8-4D40-AD3C-0CBD21FB23F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B90270D8-7A02-4680-A67E-E685BE2A7C0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C70C263C-7EBC-47BC-95AE-481FB6F8AE9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AF00CE27-93CA-4083-BF7C-3C6BFE4ACA0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E7D64C7B-284E-43CD-A713-1ABA5784A9D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95C67D02-046E-4545-B303-10F50130DE8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B1B22996-392F-476B-8480-DD9D6AF1A31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8853D9DB-97CA-4E76-AA92-8453264A121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814F38A5-1772-4B13-BBAE-CCF90AA6FFA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D492EE2C-0FD2-4D53-AEBB-A1D2DE65914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9" authorId="0" shapeId="0" xr:uid="{C36C29BA-5E50-41B5-920D-E6B151723B0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955AB8F3-16F2-4997-A59C-DB641D396DA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5E6C03DE-4632-4811-BAFA-DBE84559785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E9DF564E-1665-4F76-9A60-5A133C17D5A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1C9E4816-3EA7-4778-9E84-42C0FBC8299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98905BF2-8DA5-4BBF-B72F-1A250FEBE36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1D533DE4-0870-42D9-9AD0-9BCCC0ADBFC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60E561BC-28A5-4269-BA06-71D08486C6F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3EB1B54E-208E-4C50-835D-35E86428F3A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35" authorId="0" shapeId="0" xr:uid="{F1AD27DE-0F84-4253-8BD5-6AA1C61EDC7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F7642C6B-ADDA-4154-9F77-34EC547E89E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EF7FEB1A-7C0B-4CD8-82F3-E9E108C3E39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4226D864-8A33-4D38-A506-7F2731B5FCB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ACA0ACA4-259C-49DB-9CAA-BEAA43E4EA5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EB7C5925-ABCC-4BD1-960C-5ED4F1E04CA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B766801A-6075-4304-9893-EC9B5030839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05364DAE-4F49-49B8-A768-2760A50FF7C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15A8E741-FC98-4032-90FB-173CDAEE66E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3E9987EE-9932-4BDB-8E39-5349DCE911C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9" authorId="0" shapeId="0" xr:uid="{5605EBD4-BEF9-46B3-939C-8C9EF0E56BE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4F74D80E-50E3-4A9E-B1AD-2B63078BC8B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2CDA556D-4B3F-4798-A17D-AC1811F489D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E19BBBE2-8D81-48A3-A784-19471962CB2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ACD86372-E011-4040-8FD6-88C9D60B32A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9D964FDC-99DA-4EB6-9C15-C8C9EB5268B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E00980D6-112E-48B6-B234-6AD151ED917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3D70ABA0-48A1-44F1-8FDB-DC5E0CFE3B6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3B2172CC-926D-4EF7-9736-20A285D0FA6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A7D86F5D-897F-4979-9CBE-70386D2F178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5A1879EB-F9DD-47AA-A0A5-62A70E4C02B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3E05E95D-BB75-4D4C-996B-3978D302AD7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9735240C-8DF7-4065-9958-A3C3C600AEF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FD363F10-9DB0-4674-8910-F1ED7398C1A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E4A7849B-9174-4781-85AD-42DA31FACE5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7D61DC02-4D2C-4AB4-97B7-6B224A81CE2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ACC6835C-6B55-4927-BBA1-CB0BECDAD50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AD8E88DA-D4A3-4630-9485-54401E25B85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9" authorId="0" shapeId="0" xr:uid="{209BD18B-A82E-4976-AB48-7E79A3BF239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C52A2FAA-C68E-4E69-A539-6A5F71925A7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3B573616-6245-420F-86AE-01548385F29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5C26EE14-3866-4DEC-97E5-8EB6D95367D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95803F64-5070-42C0-92E3-5DDA3228D79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D161562B-332D-47FD-B385-7F8E358BD1E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E595E419-90DA-4DC8-8DCD-707C8366529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BB964443-9AAA-4077-962E-1E9C1EDB4B4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5B442305-2E79-4C57-80AF-408E4555D63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2" authorId="0" shapeId="0" xr:uid="{EE7A723B-B1F5-4B74-8825-DCF00D13087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3" authorId="0" shapeId="0" xr:uid="{BC7DBDF1-543F-4057-A26B-781530A8B45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3" authorId="0" shapeId="0" xr:uid="{C2477AFB-54E7-40C9-95DE-7A99ABB088A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3" authorId="0" shapeId="0" xr:uid="{7546918B-B6D0-4CB1-83A5-B59F3240031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3" authorId="0" shapeId="0" xr:uid="{68120E72-2671-4406-BB9E-3819E4F5D8B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6" authorId="0" shapeId="0" xr:uid="{3AFB8932-282C-4756-9D3D-75F8EE4310F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7" authorId="0" shapeId="0" xr:uid="{7B452B44-CB58-46BD-9100-27E3FB3F99E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7" authorId="0" shapeId="0" xr:uid="{323F8895-CB68-40A7-8B7C-068C848849C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7" authorId="0" shapeId="0" xr:uid="{24059E47-28BB-4460-82F6-11368718C3F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7" authorId="0" shapeId="0" xr:uid="{93A70ADE-8699-430A-8B21-9BD24A17F08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1" authorId="0" shapeId="0" xr:uid="{83FC5B5C-36C3-4AE5-AEE8-15C944FE023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2" authorId="0" shapeId="0" xr:uid="{A7E38B27-81DD-4F5A-8475-DEE2C8429F7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2" authorId="0" shapeId="0" xr:uid="{CD15F2B9-4436-4166-9AC3-D2B49B0435C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2" authorId="0" shapeId="0" xr:uid="{2FCD8EC8-9B53-4401-9D7D-D93D157E04E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2" authorId="0" shapeId="0" xr:uid="{4A5186DB-7CF3-42D5-9F18-C859FC025E4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5" authorId="0" shapeId="0" xr:uid="{D975A7F2-74C2-4A4C-8053-CF0CF117B26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6" authorId="0" shapeId="0" xr:uid="{3AB98861-AF28-4198-ABB0-43E0126BFDA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6" authorId="0" shapeId="0" xr:uid="{0253E688-3A50-4210-AD75-C908BBF13B8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6" authorId="0" shapeId="0" xr:uid="{C4CE2D1B-7D48-4B32-978A-9EC341E2103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6" authorId="0" shapeId="0" xr:uid="{E0B91F23-E17A-404C-88E9-597E4003A4C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25" authorId="0" shapeId="0" xr:uid="{F9E79C2E-F28B-4D32-95E6-A27A3DC4E71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A26" authorId="0" shapeId="0" xr:uid="{BDE60CC9-4EBB-489D-A7ED-16F00F13DEC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B26" authorId="0" shapeId="0" xr:uid="{48F7AFEF-BB14-4F40-BDE6-16BFB4A8574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M26" authorId="0" shapeId="0" xr:uid="{CE44950C-7B0F-4F40-8AD4-A656205169C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FD9D94E8-D9F9-4682-A65B-F77529A9D11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4A8D92DA-3BFA-45FF-A5C4-D080E44B50E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02A28D78-F726-4258-B99F-CE918324802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5C0120A3-0E33-4319-B7AD-6839AE6842E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46CE6EBA-62AD-4082-97E1-C69545EC931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5" authorId="0" shapeId="0" xr:uid="{7DB9A6AC-A2B9-4A83-A431-D201B0BCD78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6" authorId="0" shapeId="0" xr:uid="{24C78447-D627-4FF8-BDF7-393CAF252FA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6" authorId="0" shapeId="0" xr:uid="{E822F0E3-C2BB-4918-A1C7-F68651C20D4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6" authorId="0" shapeId="0" xr:uid="{0B5F6762-9FD7-405D-B670-AAF499AE9D1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6" authorId="0" shapeId="0" xr:uid="{DAC9BB02-5749-4614-BB32-CD2C81B4938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0" authorId="0" shapeId="0" xr:uid="{8561F3EB-F368-4234-8A8E-63CA2E7DF6E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1" authorId="0" shapeId="0" xr:uid="{72E81ED7-A9A9-49C8-9E6C-406D08A2E93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1" authorId="0" shapeId="0" xr:uid="{E335AC68-D474-4E76-854C-2167CAAF961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1" authorId="0" shapeId="0" xr:uid="{678BAF6B-3195-4E96-AAFF-55EC90982AE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1" authorId="0" shapeId="0" xr:uid="{2F0EA9BF-377B-475C-A2FB-8421AA6F602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4" authorId="0" shapeId="0" xr:uid="{831BB742-61BC-45B6-8C15-D2DFCFFB57D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5" authorId="0" shapeId="0" xr:uid="{783728DF-02C8-4664-9A18-FC3EB39A8C8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5" authorId="0" shapeId="0" xr:uid="{3948B568-B63E-4964-9DF8-5AAFB8F7B7D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5" authorId="0" shapeId="0" xr:uid="{22BA26E5-44A2-460D-B749-A9BFA0A0545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5" authorId="0" shapeId="0" xr:uid="{85568ABE-1F6C-493B-8B20-791D6694629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9" authorId="0" shapeId="0" xr:uid="{A35D6BE0-B0DF-4C98-AF13-19CD35D2CDB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A20" authorId="0" shapeId="0" xr:uid="{FFD65FF3-9826-42FA-A8FF-A53675DEDB5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B20" authorId="0" shapeId="0" xr:uid="{B152ECD7-A1AB-4E04-A3E6-FD0765969FD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M20" authorId="0" shapeId="0" xr:uid="{47501D89-9F0A-4DE1-B77F-6ABABC44D94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22ABCFFD-ADEB-4A30-87BA-49ACA91D825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00A18D4B-6752-4D14-9631-183787C09D2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BD62CF56-2BFC-47DB-B772-2424D1CEA27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26FDEFA5-8F41-44C8-B082-461056AC1CA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0363648E-A380-484F-9CDA-8B23AC0A3C5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DF245953-0F32-4D36-B557-D52951D6F99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03C2A56E-207E-4BE2-A769-AB763F8B761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3423E4D6-6655-4C6A-99BE-274CF497696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0328C2F1-7DE8-4117-BC5B-F89B9965348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9" authorId="0" shapeId="0" xr:uid="{B1939829-2ABC-4A05-97F0-9433AAC3427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211DF9D8-3842-45D4-8DEA-00A62A4E9DC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03149D23-283C-4E13-89CD-9FCE90DBCDF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23D72B9C-A068-4086-9315-C0294FE3B9B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A2337586-A043-406F-B265-171A05DB7A1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99E0B856-CA62-4DFB-B7CA-F23BF6B2601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23CDFA0B-8315-4AF5-B0A2-BE230D4B879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8FEF638B-3D2F-413C-9DF6-D4BBE1B4838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B437D464-9845-42BE-9712-DA63F26D51A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30B058AF-C9A7-4DEB-82F9-7BF49E432FD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26AAE41A-26EE-4B81-B24D-6040A251DDC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DBCFDBEA-DC54-4953-A07D-B0F85DD5BE5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7C1A1734-0594-48F8-A5D7-EAA7A226F70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6096C840-56EA-42AB-9C1F-12F7F751B27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5" authorId="0" shapeId="0" xr:uid="{CBA9DE3E-E471-44DC-82AD-F965147D525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6" authorId="0" shapeId="0" xr:uid="{E026E6B5-ECB4-4434-9A92-8B90F9B77EB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6" authorId="0" shapeId="0" xr:uid="{DE9D6FBD-06A4-4DE3-95A8-E542C3E1EC3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6" authorId="0" shapeId="0" xr:uid="{FA1FC9DF-0E29-4E8D-8EE5-3EE42F6CA93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6" authorId="0" shapeId="0" xr:uid="{DD870AF1-5CAC-4589-A694-746F6AAE321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0" authorId="0" shapeId="0" xr:uid="{532225E5-CC70-433B-825B-03CCF24AD61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1" authorId="0" shapeId="0" xr:uid="{DE8F3F57-6EDB-42FF-9666-6DE6B09D112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1" authorId="0" shapeId="0" xr:uid="{974F8C5D-04D8-40A2-A19C-65B4C89C7C3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1" authorId="0" shapeId="0" xr:uid="{EAE3FE62-EF13-45E7-9121-975E67A3B59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1" authorId="0" shapeId="0" xr:uid="{9A21CDA5-47B2-437E-945D-C7464F89830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4" authorId="0" shapeId="0" xr:uid="{EE2581AC-6658-4C41-9E62-DAFBFEF0445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5" authorId="0" shapeId="0" xr:uid="{354CFB8B-0A06-41EA-9012-51199F16DA6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5" authorId="0" shapeId="0" xr:uid="{12A52211-054A-4CFF-BBEE-9B81979044D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5" authorId="0" shapeId="0" xr:uid="{4BD98900-EBDC-4780-B372-E75B9E2FC31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5" authorId="0" shapeId="0" xr:uid="{9C373DFB-A94F-4051-90C5-D4286A1FAB9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24" authorId="0" shapeId="0" xr:uid="{A336F0AC-42C1-472F-A8DC-9AD8CA1D1F8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A25" authorId="0" shapeId="0" xr:uid="{433E5BB8-10B5-491F-AE97-CA0DF2E9259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B25" authorId="0" shapeId="0" xr:uid="{26174507-0C4D-4233-AE44-C14776AD24D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M25" authorId="0" shapeId="0" xr:uid="{26F0CD4E-6FDD-4076-AB24-A22CDEA0162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DAF87D82-8C77-45C7-A2C7-45AD23605D9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BDEE9BF1-698F-495D-AC6D-B8020945271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204D87EF-41B2-4FF8-A463-2EA0DCED2BD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D4912FC4-FFA4-4056-9CED-FA6F4250474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0FDA5DA6-7F1A-4244-B219-7FF6442642C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9B4EC2D1-A3D8-47EF-A286-6E82AA4D118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18B1ABFD-B0EF-40D7-87A1-31CEF109103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D863B53B-EDDB-45D8-970B-E68C0CFBDD4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572028D6-3753-4534-B5B0-66758BFF571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77FFFBD6-426D-4C76-9448-7A89F53AB1C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FF937CC4-3C8E-4AC7-ADDD-46276D5839D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DDF91056-00CC-4D09-B62D-AB9F1BA913E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280BDE67-9670-49C7-91FF-63256E98BF5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F7BD38EA-93F2-4C17-8C20-8D8F383D4D2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29851B02-0A15-48AF-A356-21A9B5650A0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F796401A-788D-45C3-996B-3A130936704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65B08C0F-1D4B-4A5B-BA71-45BC445EC0E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BC696F12-B513-4C17-966B-AF31AD2C76E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E77D9BCC-930F-4918-AD25-2876AF64AFD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6C517190-D3FA-4F3C-A4B3-5C8E965D559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BAD97A9E-F047-4A18-9989-D351811F28D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7D99AAA8-05CB-4A7A-817E-9276F4440A4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2B4268E3-017B-4174-B506-A4DD4295647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1B6E2BA2-FB38-48DC-ACDA-E1DA0B0B2AB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1DD95860-B2A0-4CCC-B7BC-498EC9443EB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E1DA0AA7-F8B0-47E9-99D2-841A729ECAC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EA4D8191-ED0C-42EF-8976-32C2F488E20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EB1478B2-2CC1-4D0E-AAA3-760A6098114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D5514B44-9EF2-42B5-835A-F7EFF7CE75B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3F42C324-9E9F-4B7A-A1FA-1C1BB4F594E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0A42F3DF-DB9E-43DF-86B2-C4CB2B89D31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F5C54BF3-026E-4ED6-8D84-4E44DDBC351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06EDB1C6-A107-4FAA-923F-A829B49071A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F1B729B4-01EC-4B96-9B52-CF6C5569D3A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EA878362-A271-44CC-B2E2-72CA1734099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F1ACF638-DA40-4819-972B-AC647FE113F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B377FDA0-33D0-4FE6-80EF-EAA01028BA0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32A6DC22-6EFB-4464-9B56-147ECA86947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1CD9B11B-1E33-4FE4-9BCF-47BED24B93D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A12C10D5-C710-4FCE-9718-959E8E94E54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B0390457-58B5-455E-882E-9C5D9219156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867628B2-32F9-4ABB-B3A0-032C536C215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66053F3C-089B-4A35-9553-A181A751185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27A5BD9F-5C6C-466A-8244-7F25E9320E0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6E2736E2-5C65-4B44-AD6B-F503AF607AF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212DE1F5-DA75-48C3-BA4A-C0C44C8C53C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84FDD0DA-6C69-4FC4-9E52-6E62DA0D218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B3BD101E-2DD2-4A1A-AF87-6BAFDCBC69F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0CDAC8E6-0907-4CC4-9F9D-CE4B43E3228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E8CAFDB9-9702-45C7-B888-3751FDDF4BB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1151B836-5E1F-43C5-BC2A-DF03B5DD8D3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07636ACF-4D09-4FCB-B950-15DEB3A2024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90118E2F-DA5F-49C4-BD56-3321749E515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C5153204-E207-4C8E-A7E2-FD0192C4E67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32B4BFEC-319A-4F4B-9959-DA2904963FB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2B30D90B-C8F3-4F9B-8769-746070DB6D3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8" authorId="0" shapeId="0" xr:uid="{F2BC58EA-8450-494C-BC02-388953714F7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9" authorId="0" shapeId="0" xr:uid="{0CA54020-D6E2-456A-BFE6-68532900326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9" authorId="0" shapeId="0" xr:uid="{319DED5F-C01D-4FAF-8E3F-294E092FE3F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9" authorId="0" shapeId="0" xr:uid="{D652F421-FA39-4EF9-9AA6-B83306469A8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A12" authorId="0" shapeId="0" xr:uid="{1E1AF260-722C-42DD-B186-3231CD49656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2" authorId="0" shapeId="0" xr:uid="{EDF96FEA-A958-4B68-9DE1-221DB1FC1EC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3" authorId="0" shapeId="0" xr:uid="{42357D87-B412-4F28-8337-CFF666160B8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3" authorId="0" shapeId="0" xr:uid="{1ED0742D-0DCC-4107-AB03-02760C070E4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3" authorId="0" shapeId="0" xr:uid="{01C3174B-5D6A-4406-AE9F-A6B5886F0AF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3" authorId="0" shapeId="0" xr:uid="{6EDCC4BA-E881-4443-9A6B-0904F0D75C8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6" authorId="0" shapeId="0" xr:uid="{D01B00A0-D1D4-4997-80E1-5E530E039DD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7" authorId="0" shapeId="0" xr:uid="{F275645C-C7C0-49D8-9B64-032B1477DDF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7" authorId="0" shapeId="0" xr:uid="{180B4ADF-0D9D-4236-B530-5B9AAD5680F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7" authorId="0" shapeId="0" xr:uid="{ABB78212-3A53-4BAF-802E-BE0B3C20ED0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7" authorId="0" shapeId="0" xr:uid="{769668C9-7E29-4FAE-B4D3-8CBFCB1F805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0" authorId="0" shapeId="0" xr:uid="{30FCD68D-869C-4B35-B527-A5F09EF107B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1" authorId="0" shapeId="0" xr:uid="{EADB6FB7-6458-44AD-9160-9EE30D29188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1" authorId="0" shapeId="0" xr:uid="{3CB2CE29-C11E-42AB-B440-7B271898DD8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1" authorId="0" shapeId="0" xr:uid="{135D69A7-2EF4-4922-ADBC-964C8717EFF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P11" authorId="0" shapeId="0" xr:uid="{E5A56B04-2B67-4334-A22C-D313798DA58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Q11" authorId="0" shapeId="0" xr:uid="{FF6A724A-CCE8-460F-A391-F096B429DDF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4" authorId="0" shapeId="0" xr:uid="{FBF62737-671B-40A2-8D43-09C084CE003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5" authorId="0" shapeId="0" xr:uid="{BC8A97C1-11BD-4C59-AEAB-A379CE36D8B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5" authorId="0" shapeId="0" xr:uid="{E6F16457-F0D2-4D54-970F-97696D45758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5" authorId="0" shapeId="0" xr:uid="{01FDB5B4-EA78-4F79-87F2-46C50E4AA05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5" authorId="0" shapeId="0" xr:uid="{C5DF696D-5DA4-4DC6-9F5E-4414A4D0E58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8" authorId="0" shapeId="0" xr:uid="{A0D640DE-859D-40B0-9540-886CD40795B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9" authorId="0" shapeId="0" xr:uid="{5A7447A6-F068-408A-B50B-B334665FFDF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9" authorId="0" shapeId="0" xr:uid="{E62EA046-28A6-4A27-A3DD-8F95C5628DE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9" authorId="0" shapeId="0" xr:uid="{B965A635-3D2B-42C8-93A3-5FBF71188B6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9" authorId="0" shapeId="0" xr:uid="{C87AB5DD-E0DF-4874-86D6-B932FC9149C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28" authorId="0" shapeId="0" xr:uid="{0E4F9773-1348-4D87-9152-052FC1B33AA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A29" authorId="0" shapeId="0" xr:uid="{CF1060EE-CB4D-47C0-9BE0-33FF6F4E68D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B29" authorId="0" shapeId="0" xr:uid="{172A5E17-859C-4116-A562-E5B8093AB57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P29" authorId="0" shapeId="0" xr:uid="{D372E707-B92D-4AC9-950F-D2C6DDB2E38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4FD25696-4A0A-498D-BA7F-181EC699102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975A49F8-6BA7-405D-8F40-40A50C15CC1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6DED7EE0-813D-457C-AE72-419F2B4AAAB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5EA3F1CA-983D-4B4E-BF93-8A78711925D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BF6C05F1-5962-4C39-9FC6-7E48E808A75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5" authorId="0" shapeId="0" xr:uid="{D71B4334-CF8C-4513-8C53-5E42A5BDE0F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6" authorId="0" shapeId="0" xr:uid="{A88FF987-9E62-4A40-9182-542CD3A8668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6" authorId="0" shapeId="0" xr:uid="{E829B78F-9CD6-4D52-8ABA-331A5B63CE5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6" authorId="0" shapeId="0" xr:uid="{4494FB4E-540D-419C-AE75-31FFF07F40D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B8" authorId="0" shapeId="0" xr:uid="{B4C739E5-6F1B-4020-9F7B-CA7768C9AC5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9" authorId="0" shapeId="0" xr:uid="{A5B4C0DD-B7D3-48C7-B020-3DC25B8E3C9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9" authorId="0" shapeId="0" xr:uid="{485BD9F6-C34D-491B-A453-23F093BC120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9" authorId="0" shapeId="0" xr:uid="{71206B90-A36F-48EC-AE25-28677C597EE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10CFC797-463C-4836-9581-2387C28A8BB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F98225A0-7A9A-4D6A-AB82-0E234B739E7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C964F51F-A75D-4513-9766-9790E46B357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57D10BBA-6DA3-41E7-B810-B1FAB30A174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U13" authorId="0" shapeId="0" xr:uid="{A8546E80-1F34-482F-AF37-DC4C3CA86FD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239B7C17-EA81-48CA-9999-E92B83AE1CC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2A6DF3B5-A665-482A-96A0-2CE37C0EC8D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81F89349-5EFD-45AC-AFD2-B991EC719FD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77DEF8B8-0B15-49F2-AD25-346CE38A967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2AC4FD9B-0EB7-421B-A7ED-7E40426003F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1CEFFAF2-B787-4CF2-83B1-F913E6A7FEE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EDFF9C50-1915-4F24-B83A-024893805AF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5C0161FF-B0C6-472D-800F-27F48B9C439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C1B574F6-252B-47A1-BA1E-7CD26F00748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E55CAE4C-C520-4E86-A8DD-94FE6E73FE5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B06281A6-65B5-43F7-93F6-82FF3AF4F8C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70F0ED31-5E1A-426C-8E07-7B1D45859D1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E9F6AFD6-C3C2-4080-8F7E-116D16E1463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23D1EF0C-FD14-4853-8C3F-47E514E7EC3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882ABCB1-80EF-4A9C-87D6-0B9AD5151A2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24727474-C6C0-4ACB-9D37-8F6748B89F9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5FA7BCAC-58B0-45C7-B4A4-082943AF966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D1D6E0D4-1A91-46F0-A9E4-1E2F81E0658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D94FE842-1B59-4BF0-9C93-B4CBBBF3E29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B73D4EF2-F627-46A3-95C7-628F703E2F5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DF805350-65F9-41BE-9494-1B6B8CFDCF5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42FD8EA5-5DD3-462F-81D8-B52E43E17D4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766C6C54-A0BC-4C79-9518-829A16882EA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CD95E73D-22A5-4C00-BA7B-B730BB4EA46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71F73457-6C86-4A3C-AC15-C733F26DC5E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9C5B8EE2-239C-496B-8F3B-09548469030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173D98BF-21F2-4466-9B17-627014405AA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4A0C397E-E91B-441E-93CC-C193F53AB0E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F4A0E314-F8E8-400C-AAF4-135FB2FD6E1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C0B110B9-3A32-46EB-99C4-81BF734004B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902AD7DE-0E2E-44ED-ACED-238FCD7B245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F6B9E015-89AD-4914-B0F4-046AF3919F6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64173372-8547-4B17-8DB8-A081F1BAFAF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9DBECA89-E5B3-4C22-BCCC-DE86933FA90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64DC297B-C59A-4C0A-8028-785B69553CE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4A5AFD7C-7655-49DB-BC4D-D996D20D7C4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20A103D0-1D2D-43AD-B7D6-AD73371A406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DDED9D66-B82E-4AEC-9BB5-75F188FF769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29567AF5-AC59-45DE-AA56-3D4F72A952E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D1090B4D-CB2D-4EB4-8CB7-9FFB68D96C9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680CA9E3-B96E-4548-B3E8-FCA8DCD1B45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42C5323F-5002-4F78-9C8B-D3CDCD7D4EC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000BFD28-B190-470E-94DC-916FDE08EC7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0E8D2698-D0BF-45C6-94D2-CE6F02599A4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553F15C2-23F3-4F3F-8336-314BCEC78C2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B91F22B5-D438-4FAF-9BD4-CECF2D7B3DC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74867752-A09B-4E8F-A9C3-9E20075CE38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6E833A8F-699A-4989-ADDE-FCF89878090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14224A6E-CD21-49D2-94C2-482E58231FC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6EDEDAC6-A282-4455-AC89-C3D952E0BB6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185D6B50-A7D9-4CB1-91DE-77CB68B0439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0071B52A-265B-48D4-81AB-217704AE275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78B04121-7F4C-4C4E-B950-6656DEF7408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70512909-3523-43B4-BED4-D0B4CF306A5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504EC9DF-6499-4D9F-8520-E4DFEE5E60E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9" authorId="0" shapeId="0" xr:uid="{394FB25C-3164-4AF9-8378-3616B08D1A0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0" authorId="0" shapeId="0" xr:uid="{56653D92-F331-41A8-8EFF-26DC82CA667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0" authorId="0" shapeId="0" xr:uid="{D9070FCD-DCB9-445E-A81D-A38702DDC4C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0" authorId="0" shapeId="0" xr:uid="{DFF6B269-8D10-4834-999F-3A9FAFE614F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0" authorId="0" shapeId="0" xr:uid="{4B387917-E479-498B-B400-C5A6522B808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2" authorId="0" shapeId="0" xr:uid="{85A52DB4-B3AF-4BE7-9522-1C6BE4D76FE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3" authorId="0" shapeId="0" xr:uid="{9661198C-90C6-4B07-8846-BFDAB26914E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3" authorId="0" shapeId="0" xr:uid="{45975199-7EE5-4B46-AB3B-89CA283A5F4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3" authorId="0" shapeId="0" xr:uid="{E048358E-A5BF-4319-8DE6-5504D4CAE20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787526FF-C071-47CB-B12D-AF00EDFD148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86F997DF-1863-4516-97B2-B2CCA816BFA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9348000A-AC79-4B0E-8EC1-9BFCF1268BD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9926A35B-B926-4BD3-B097-025B9FB78AF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C4FFD3F4-8411-4240-8E58-864F085684D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E4D36DEA-CA38-4E3E-B385-3A3038DCC76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260B7AB7-BAF1-4CFE-8C34-6FC3C5C8CC2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D34729DC-F737-484C-AC46-BA5C7F12E2B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1AD98213-BB9E-4CA0-BE9E-92479003B17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F9635297-7B4E-459B-9652-6EAADDDDC84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E9338814-0D52-493D-93D9-6DDC8153533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F82B1962-DB7F-4FEF-B069-917F4D7F4B6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FB7EA5F0-CA9F-4307-89D7-4E3ABB604C3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8003BCDA-4419-4545-8DFF-C1310304C54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ACC493BA-7559-4140-A639-607A15C09D4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81058855-16A9-4A65-88D9-32D644F4D20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CCC6E434-31CE-48EC-9C12-8FEB49E1C21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7015F213-557A-4DE1-81C2-72192323E29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EED09A0A-1C1B-4B77-88C3-CD1B5F16360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BC9B0BE8-01A1-4C4B-821C-1EDDD30088D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D1389993-AF64-47E8-8C62-F5E9E991702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AEDE0856-00E9-4CD7-B3D9-4B4A5E82D5D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35911E33-1CFB-47F5-AB36-EB759EA03DD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76BBA66A-09FF-49C7-A961-D4694583D9E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81C89FCE-E126-4EAD-87AF-328456ED73A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B272D90B-6457-4C31-A259-57B363D3112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C41A29E0-0CB5-4CA0-9416-5DC1140AF3E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8568C58D-86F1-471A-BD52-B3309833C12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FE698393-35C5-47D9-A3E7-477F69DC930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FE62EBFD-B2C5-4184-963F-8EF18DCDA1C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151914D0-A261-49F7-9FE8-48B07BB0D59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391BFEF3-C3DF-4BC6-9A77-70C3FA80481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18986140-8089-4F9A-892C-74656E30F75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25D17C0C-2B15-4F51-B342-4EBFBC0B4FB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3F106135-57BD-42E2-B4CA-2CA6A99AF95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4099AA2D-F1BD-44D3-BAF1-B837D1051CD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489EB920-E757-48E9-A954-4336E5A38E7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77C3B33A-DD55-4825-AA47-40505BAA4AA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BBF4565C-7408-4E28-B315-94ACAF12CED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E30014A8-5047-49BD-AE82-8A394AE0307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6EDADA69-0E6E-4C10-9F9F-3E6B8C64BD5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1C57974E-F4E5-4983-A643-039829CA1B0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29697B5F-7277-417F-84A7-FD74EEF8761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9751C71E-3417-4E7B-9C20-94188F140A9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E2C601AD-F935-4565-BEC0-76CFE856BDC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3F7CDB7D-44D0-411D-A798-D5FF294D4B8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EABDA579-A4AA-4460-93A4-E396ADD7C57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8FAE3743-675C-4872-90D8-0502204C590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3196ED11-A606-4381-9DC0-F7ED54D2DAE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2290CE23-7C71-4D97-80A8-59373062B6A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O2" authorId="0" shapeId="0" xr:uid="{3694FC47-8A83-4818-A05A-FE2F27268D8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7E304BDC-1C1F-404C-B0E4-0B735648CE9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CAB35C99-C73C-4047-ACE0-862D568E363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62184EA2-72CD-416F-9A0A-A431EFA15F1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7604A17B-9721-4559-9035-4FA238D4FED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O5" authorId="0" shapeId="0" xr:uid="{A327735C-414F-40F2-9EA9-54D4A7CA004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7D4BDC6D-78FE-4E4A-A64C-69A1C531465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36CECB9D-712F-4EE3-8E56-543FC279757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6E69C1D2-8168-42C5-8CE6-4505537E7B6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O8" authorId="0" shapeId="0" xr:uid="{CCE7C401-6EAE-471D-9610-EB87614F0B0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0" authorId="0" shapeId="0" xr:uid="{392F276C-38F0-4800-825C-DF7F42A666C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1" authorId="0" shapeId="0" xr:uid="{054B0B74-749F-4AB9-AB4E-FB8A242C472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1" authorId="0" shapeId="0" xr:uid="{B60DEED6-2EF6-4286-81F5-62828FBE855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1" authorId="0" shapeId="0" xr:uid="{44660933-8E65-4686-878E-10D9D20A7DB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O11" authorId="0" shapeId="0" xr:uid="{04D13E41-BA2F-4B36-8BC8-C87629E2293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3" authorId="0" shapeId="0" xr:uid="{9E6CBDC0-8EED-450C-8BBF-1D67221D094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4" authorId="0" shapeId="0" xr:uid="{61838098-D86F-41A3-9ED8-0C2219CD805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4" authorId="0" shapeId="0" xr:uid="{98D0ECBF-FD31-4880-8541-0D3FA383FA2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4" authorId="0" shapeId="0" xr:uid="{EDD8461B-312F-43A1-886F-BC33DC12EEF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O14" authorId="0" shapeId="0" xr:uid="{5FF16DF5-C88A-4CF3-A2AC-865D97078A7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6" authorId="0" shapeId="0" xr:uid="{2054EC4F-2CE9-4708-B0B7-87A64FCB4C4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7" authorId="0" shapeId="0" xr:uid="{9686AC92-8783-4906-A4BD-FB0E76F45F4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7" authorId="0" shapeId="0" xr:uid="{31A648A3-4725-4B9F-8840-F05B3263A00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O17" authorId="0" shapeId="0" xr:uid="{D4F2E3FC-04B9-4DA0-AAB5-CE09733BF79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EB53EA56-61FF-4BC6-A709-B6A9A6446C7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9DF9C1CE-4DCE-4699-9296-D1A37D0D05A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A8AB2CBF-09CF-4CD8-8B22-6588909C955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7E18B772-DCB8-412E-98DF-5BA7945D43E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32511F52-AE8C-4BAB-AEE1-39AA869D24A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5" authorId="0" shapeId="0" xr:uid="{1382A9E5-D3D5-4871-8389-0DC8F109452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6" authorId="0" shapeId="0" xr:uid="{D5EFBD06-20E5-4068-8B39-EA6FB176411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6" authorId="0" shapeId="0" xr:uid="{9F208C96-8BAD-4449-A6F0-741922B616A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6" authorId="0" shapeId="0" xr:uid="{3FD1D98E-39CD-46FC-BDEE-6EAF4E03A58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3DE18D3F-CB6F-4906-BD0A-E08FADEDE3A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4665B9A4-43F2-4AB7-97FC-BC1695D36C9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C56A1BB0-3289-4A4A-ACB1-EE3FD4ABDEC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90EA28E6-53BA-4305-B21F-5B993DB410B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C334321C-E200-43B7-9E39-AE5BF204C45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4" authorId="0" shapeId="0" xr:uid="{7072634F-2BD2-4FB5-9204-446172B5839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5" authorId="0" shapeId="0" xr:uid="{E98B49A9-81AC-4F1A-B631-D86F8595086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5" authorId="0" shapeId="0" xr:uid="{9E3B5241-3D0E-4C81-8B17-B8C7700E2FD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5" authorId="0" shapeId="0" xr:uid="{687708A0-0C33-4423-B79E-FE2309FF735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5" authorId="0" shapeId="0" xr:uid="{CD7C3D66-F04D-408E-A1FA-074C42BBD3F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7" authorId="0" shapeId="0" xr:uid="{E4B6FECD-CC99-4C3D-A70C-10DB9A5B006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8" authorId="0" shapeId="0" xr:uid="{1D965580-7C9A-4CA4-9C84-8428CD38D52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8" authorId="0" shapeId="0" xr:uid="{163E7202-F63E-4C36-BE11-C8761DEAB1C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8" authorId="0" shapeId="0" xr:uid="{279AAE7A-D182-4F74-A494-702E8AB9565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  <comment ref="A12" authorId="0" shapeId="0" xr:uid="{B0F52D34-2300-438F-95A3-9837273A171D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3" authorId="0" shapeId="0" xr:uid="{19863769-E0DC-42CD-8EBD-83598ECF8C8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3" authorId="0" shapeId="0" xr:uid="{EF7F514A-F269-44BD-B3D3-40348DBC848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3" authorId="0" shapeId="0" xr:uid="{6B558561-BEA8-4013-B2B7-6DC6CEF82AC3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3" authorId="0" shapeId="0" xr:uid="{5FCD04AF-5480-4ABC-B4CC-FD292D3449C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15" authorId="0" shapeId="0" xr:uid="{2BAA9A32-CB46-446F-B4A2-58920E3046C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16" authorId="0" shapeId="0" xr:uid="{9D477CD9-F917-40FC-9857-BD37168344D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16" authorId="0" shapeId="0" xr:uid="{89628C30-A850-47B8-AAE4-0B3BA495C6B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16" authorId="0" shapeId="0" xr:uid="{CE40A44C-AA16-4294-A7AA-0A77DCBF7C0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224D72DE-44AF-4F45-921A-95868B82057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F9681379-93DB-4F9E-9A83-0CD208518ACC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C808584E-CCDC-4864-8027-5D5E5A5E247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71D00069-5F46-4949-966A-A6DBFAB5FA3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3096F8DA-68AD-4D12-AE87-28ABE2C0894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5" authorId="0" shapeId="0" xr:uid="{AF3C83D4-E4EE-4B2C-8CF5-23B496722F0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6" authorId="0" shapeId="0" xr:uid="{B9D1D63B-8192-4947-9E18-8F93427965B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6" authorId="0" shapeId="0" xr:uid="{FF002A74-23AC-4088-ABCC-AEE3E2308A25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6" authorId="0" shapeId="0" xr:uid="{AAFF6832-D224-47D6-836F-4DA21F4B660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6" authorId="0" shapeId="0" xr:uid="{2AB14360-DAFC-4BE5-B62C-08CDE445D3F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0" authorId="0" shapeId="0" xr:uid="{156A3308-ADC5-4A32-AD91-0D68A40930C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1" authorId="0" shapeId="0" xr:uid="{A77493AA-5B92-4985-A686-80E5185F84C8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1" authorId="0" shapeId="0" xr:uid="{2C0C1D90-8E4B-4623-BEA6-2EA983FA7BA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1" authorId="0" shapeId="0" xr:uid="{CD2EFEA2-4307-4CDC-A4BB-52A2AEDE851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1" authorId="0" shapeId="0" xr:uid="{23BE9286-AFF6-42D4-9859-B8CBACAE2EE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14" authorId="0" shapeId="0" xr:uid="{69B24A2C-932D-441E-BB19-7D5760AC389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15" authorId="0" shapeId="0" xr:uid="{DFB34A81-C182-412A-A80B-B8430E71864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15" authorId="0" shapeId="0" xr:uid="{4DC5CC33-0563-4BAB-8B7D-9E23C365932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15" authorId="0" shapeId="0" xr:uid="{6E755485-C397-4844-8B97-B00D1757AB84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15" authorId="0" shapeId="0" xr:uid="{44C4A130-477B-449F-9B7F-77F62E68E631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A24" authorId="0" shapeId="0" xr:uid="{FA78E51A-06C3-458E-8647-25FEBA62A6E2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A25" authorId="0" shapeId="0" xr:uid="{2476266F-875F-4872-9860-F4A55B7EC78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B25" authorId="0" shapeId="0" xr:uid="{50B77F40-C5B9-4F2F-86BF-7E8D186A1A47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M25" authorId="0" shapeId="0" xr:uid="{9FBE8E6E-3907-4959-A443-02C5FBD36C8F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Ortiz</author>
  </authors>
  <commentList>
    <comment ref="A1" authorId="0" shapeId="0" xr:uid="{F8FF2326-C78C-4B25-BDC2-698797F65F9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FLATE PLATE, RECTANGLE BAR, SQUARE BAR.</t>
        </r>
      </text>
    </comment>
    <comment ref="A2" authorId="0" shapeId="0" xr:uid="{875423C1-8C18-4EAD-AA53-BAE5B668598B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Thickness Here.</t>
        </r>
      </text>
    </comment>
    <comment ref="B2" authorId="0" shapeId="0" xr:uid="{DE831779-9440-4FE6-8A89-E556A85F35F6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Width here.</t>
        </r>
      </text>
    </comment>
    <comment ref="C2" authorId="0" shapeId="0" xr:uid="{9A94A2F9-BAE5-42FF-B68B-8FB3A9B7117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Insert Material Length here.</t>
        </r>
      </text>
    </comment>
    <comment ref="N2" authorId="0" shapeId="0" xr:uid="{2E4724E5-9DCB-41CE-A62D-C5F2144BB64A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Price Per Part.</t>
        </r>
      </text>
    </comment>
    <comment ref="B4" authorId="0" shapeId="0" xr:uid="{54C29299-4F02-4627-825E-E6B64D1CBC59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USE THIS FORMULA FOR ROUND BAR ONLY</t>
        </r>
      </text>
    </comment>
    <comment ref="B5" authorId="0" shapeId="0" xr:uid="{90C16C89-15A5-4C5C-B170-D78B164655E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DIAMETER HERE</t>
        </r>
      </text>
    </comment>
    <comment ref="C5" authorId="0" shapeId="0" xr:uid="{7D6369BB-E886-4903-BD82-42891F43F1DE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ENTER MATERIAL LENGTH HERE</t>
        </r>
      </text>
    </comment>
    <comment ref="N5" authorId="0" shapeId="0" xr:uid="{9C96F078-983E-4FD1-B7AB-0079340D6CE0}">
      <text>
        <r>
          <rPr>
            <b/>
            <sz val="11"/>
            <color indexed="81"/>
            <rFont val="Tahoma"/>
            <family val="2"/>
          </rPr>
          <t>Jonathan Ortiz:</t>
        </r>
        <r>
          <rPr>
            <sz val="11"/>
            <color indexed="81"/>
            <rFont val="Tahoma"/>
            <family val="2"/>
          </rPr>
          <t xml:space="preserve">
QUOTED PER PIECE PRICE</t>
        </r>
      </text>
    </comment>
  </commentList>
</comments>
</file>

<file path=xl/sharedStrings.xml><?xml version="1.0" encoding="utf-8"?>
<sst xmlns="http://schemas.openxmlformats.org/spreadsheetml/2006/main" count="11868" uniqueCount="469">
  <si>
    <t>.250"</t>
  </si>
  <si>
    <t>Index</t>
  </si>
  <si>
    <t>Resolution</t>
  </si>
  <si>
    <t xml:space="preserve">Number of indexes </t>
  </si>
  <si>
    <t>Time/ min</t>
  </si>
  <si>
    <t>Price per part</t>
  </si>
  <si>
    <t>Area/in</t>
  </si>
  <si>
    <t>Length/in</t>
  </si>
  <si>
    <t>Width/in</t>
  </si>
  <si>
    <t>Load time</t>
  </si>
  <si>
    <t>Total time</t>
  </si>
  <si>
    <t>Flat Bar and Plate Price Calculator</t>
  </si>
  <si>
    <t>Round Bar  Price Calculator</t>
  </si>
  <si>
    <t>Diameter</t>
  </si>
  <si>
    <t>No. Indexes</t>
  </si>
  <si>
    <t>Sec per scanline</t>
  </si>
  <si>
    <t>Time / min</t>
  </si>
  <si>
    <t>Load Time</t>
  </si>
  <si>
    <t>Total Time</t>
  </si>
  <si>
    <t>Price per bar</t>
  </si>
  <si>
    <t>Circumference</t>
  </si>
  <si>
    <t>Sec/scanline</t>
  </si>
  <si>
    <t>PREMCO PRICING</t>
  </si>
  <si>
    <t>Thick/in</t>
  </si>
  <si>
    <t>Hrly Rate</t>
  </si>
  <si>
    <t>Minute Rate</t>
  </si>
  <si>
    <t>HIGH RESOLUTION SCANNING</t>
  </si>
  <si>
    <t>TECHNIQUE FEE</t>
  </si>
  <si>
    <t>ENVIRONMENTAL FEE</t>
  </si>
  <si>
    <t>QUANTITY OF PARTS</t>
  </si>
  <si>
    <t>SUB TOTAL</t>
  </si>
  <si>
    <t>GRAND TOTAL</t>
  </si>
  <si>
    <t>MIN CHARGE</t>
  </si>
  <si>
    <t>MIN LOT QTY</t>
  </si>
  <si>
    <t>LOT CHARGE</t>
  </si>
  <si>
    <t>QUANTITY</t>
  </si>
  <si>
    <t>ENV. FEE</t>
  </si>
  <si>
    <t>TOTAL</t>
  </si>
  <si>
    <t>ENV FEE</t>
  </si>
  <si>
    <t>ENV. FEE RATE</t>
  </si>
  <si>
    <t>OLYMPIC AVIATION</t>
  </si>
  <si>
    <t>AVIATION METALS</t>
  </si>
  <si>
    <t xml:space="preserve">JR MACHINE </t>
  </si>
  <si>
    <t>C-SCAN PRICING</t>
  </si>
  <si>
    <t>PART NO</t>
  </si>
  <si>
    <t>PRICE</t>
  </si>
  <si>
    <t>METHOD</t>
  </si>
  <si>
    <t>6.00DIA. X 69.00</t>
  </si>
  <si>
    <t>6.25OD X 72.00</t>
  </si>
  <si>
    <t>5.00OD X 19.00LG</t>
  </si>
  <si>
    <t>2.125" DIA X 36.00"</t>
  </si>
  <si>
    <t>3.50" DIA.X 72.0"</t>
  </si>
  <si>
    <t>3.115/3.135 X 36.00"</t>
  </si>
  <si>
    <t>3.25" DIA X 72.00"</t>
  </si>
  <si>
    <t>145H6602-F3</t>
  </si>
  <si>
    <t>145H6702-F3</t>
  </si>
  <si>
    <t>02-2401 rev. D</t>
  </si>
  <si>
    <t>02-2501-2</t>
  </si>
  <si>
    <t>02-2501-02</t>
  </si>
  <si>
    <t>1.74/1.76 X 36</t>
  </si>
  <si>
    <t>5.00" DIA X 72.00</t>
  </si>
  <si>
    <t>5.50" DIA X 69.00</t>
  </si>
  <si>
    <t>6.50" DIA X 72.00</t>
  </si>
  <si>
    <t>F0249376-3</t>
  </si>
  <si>
    <t>986350-284-001</t>
  </si>
  <si>
    <t>5.25 x 11.00 x 36.00</t>
  </si>
  <si>
    <t>2.25 X 6.75 X 16.25</t>
  </si>
  <si>
    <t>6.00" DIA, X 9.55" LG</t>
  </si>
  <si>
    <t>2.75 X 3.75 X 36.00</t>
  </si>
  <si>
    <t>6.00" Dia. X 6.63" lg</t>
  </si>
  <si>
    <t>6.00" Dia. X 8.63" lg</t>
  </si>
  <si>
    <t>2.50" X 7.25" X 7.25</t>
  </si>
  <si>
    <t>1.50 X 4.50 X 9.50</t>
  </si>
  <si>
    <t>2.25 X 5.00 X 12.25</t>
  </si>
  <si>
    <t>1.25 X 5.50 X 10.236</t>
  </si>
  <si>
    <t>6.00" OD X 4.63" LG</t>
  </si>
  <si>
    <t>6.00" OD X 10.63" LG</t>
  </si>
  <si>
    <t>6.00" OD X 9.63" LG</t>
  </si>
  <si>
    <t xml:space="preserve">2.375DIA X 36.00 </t>
  </si>
  <si>
    <t>SCRUB</t>
  </si>
  <si>
    <t>MACHINED</t>
  </si>
  <si>
    <t>UT</t>
  </si>
  <si>
    <t xml:space="preserve">QUOTED BY </t>
  </si>
  <si>
    <t>JO 2025</t>
  </si>
  <si>
    <t>C-Scan Flat Bar and Plate Price Calculator</t>
  </si>
  <si>
    <t xml:space="preserve">               Flat Bar and Plate Price Calculator</t>
  </si>
  <si>
    <t>C-Scan Round Bar  Price Calculator</t>
  </si>
  <si>
    <t>C-Scan Pricing</t>
  </si>
  <si>
    <t>JR Machine</t>
  </si>
  <si>
    <t>3.50 x 4.50 x 8.80</t>
  </si>
  <si>
    <t>MIN CHARGE = $225.00 +$5 ENV.</t>
  </si>
  <si>
    <t>TRUE STEEL</t>
  </si>
  <si>
    <t>Cubic inches</t>
  </si>
  <si>
    <t>in a cubic foot</t>
  </si>
  <si>
    <t>Water</t>
  </si>
  <si>
    <t>Product weight per cu/ft:</t>
  </si>
  <si>
    <t>Material</t>
  </si>
  <si>
    <t>Specification</t>
  </si>
  <si>
    <t>Specific Gravity</t>
  </si>
  <si>
    <t>Weight</t>
  </si>
  <si>
    <t>Testing rate per pound:</t>
  </si>
  <si>
    <t>Al</t>
  </si>
  <si>
    <t>Width</t>
  </si>
  <si>
    <t>Depth</t>
  </si>
  <si>
    <t>Length</t>
  </si>
  <si>
    <t>Cubic Inches</t>
  </si>
  <si>
    <t>Cubic Feet</t>
  </si>
  <si>
    <t>Pounds</t>
  </si>
  <si>
    <t>Revenue</t>
  </si>
  <si>
    <t>SS</t>
  </si>
  <si>
    <t>s/b 488 or 490</t>
  </si>
  <si>
    <t>Ti</t>
  </si>
  <si>
    <t>/   307.5</t>
  </si>
  <si>
    <t>Mild Steel</t>
  </si>
  <si>
    <t>Tungsten</t>
  </si>
  <si>
    <t>Nickel</t>
  </si>
  <si>
    <t>C- SCAN Flat Bar and Plate Price Calculator</t>
  </si>
  <si>
    <t>C-SCAN Round Bar  Price Calculator</t>
  </si>
  <si>
    <t>LARGE PLATE</t>
  </si>
  <si>
    <t>NOTES</t>
  </si>
  <si>
    <t>TECH. FEE</t>
  </si>
  <si>
    <t>LEAD TIME</t>
  </si>
  <si>
    <t>YES</t>
  </si>
  <si>
    <t>4-5 DAYS</t>
  </si>
  <si>
    <t>DELIVERY FEE</t>
  </si>
  <si>
    <t>LOCATION DEPENDANT</t>
  </si>
  <si>
    <t>Diameter (in.)</t>
  </si>
  <si>
    <t>Length (in. R/L)</t>
  </si>
  <si>
    <t>Index Rate</t>
  </si>
  <si>
    <t>Scan Speed</t>
  </si>
  <si>
    <t>Rate / Minute</t>
  </si>
  <si>
    <t>Cycle Time in Minutes</t>
  </si>
  <si>
    <t>Rate / Hour</t>
  </si>
  <si>
    <t>Qty of Bars</t>
  </si>
  <si>
    <t>Price / Bar</t>
  </si>
  <si>
    <t>Env Fee</t>
  </si>
  <si>
    <t>Env Fee / Part</t>
  </si>
  <si>
    <t>Total Unit Price</t>
  </si>
  <si>
    <t>How many bars until Unit Price</t>
  </si>
  <si>
    <t>PO Price</t>
  </si>
  <si>
    <t xml:space="preserve">Min Lot Charge </t>
  </si>
  <si>
    <t>Price/bar</t>
  </si>
  <si>
    <t xml:space="preserve"> </t>
  </si>
  <si>
    <t>ALLOY METALS</t>
  </si>
  <si>
    <t>Price per part in Weight</t>
  </si>
  <si>
    <t>Price per part in Time</t>
  </si>
  <si>
    <t>Price per Part</t>
  </si>
  <si>
    <r>
      <rPr>
        <b/>
        <sz val="20"/>
        <color rgb="FF0070C0"/>
        <rFont val="Calibri"/>
        <family val="2"/>
        <scheme val="minor"/>
      </rPr>
      <t>C- SCAN</t>
    </r>
    <r>
      <rPr>
        <b/>
        <sz val="20"/>
        <color theme="1"/>
        <rFont val="Calibri"/>
        <family val="2"/>
        <scheme val="minor"/>
      </rPr>
      <t xml:space="preserve"> Flat Bar and Plate Price Calculator</t>
    </r>
  </si>
  <si>
    <r>
      <rPr>
        <b/>
        <sz val="20"/>
        <color rgb="FF0070C0"/>
        <rFont val="Calibri"/>
        <family val="2"/>
        <scheme val="minor"/>
      </rPr>
      <t>C-SCAN</t>
    </r>
    <r>
      <rPr>
        <b/>
        <sz val="20"/>
        <color theme="1"/>
        <rFont val="Calibri"/>
        <family val="2"/>
        <scheme val="minor"/>
      </rPr>
      <t xml:space="preserve"> Round Bar  Price Calculator</t>
    </r>
  </si>
  <si>
    <t>CAPACITIES</t>
  </si>
  <si>
    <t xml:space="preserve">PLATE SIZE: 68.5" WIDE X 240" LONG </t>
  </si>
  <si>
    <t>PLATE WEIGHT: 10K</t>
  </si>
  <si>
    <t>ROUND BAR CONVENIONAL SIZE: 36.00" DIA. X 15' LONG</t>
  </si>
  <si>
    <t>ROUND BAR CONVENIONAL WEIGHT: 6K</t>
  </si>
  <si>
    <t>ROUND BAR C-SCAN SIZE: 24.00" DIA. X 15' LONG</t>
  </si>
  <si>
    <t>ROUND BAR C-SCAN WEIGHT: 4K</t>
  </si>
  <si>
    <t>N/A</t>
  </si>
  <si>
    <t>5.50" OD x 20.00" LG</t>
  </si>
  <si>
    <t>ut</t>
  </si>
  <si>
    <t>JO 9/25</t>
  </si>
  <si>
    <t>NO</t>
  </si>
  <si>
    <t>Testing rate per pound CLASS A:</t>
  </si>
  <si>
    <t>Testing rate per pound CLASS AA:</t>
  </si>
  <si>
    <t>MATERIAL SPECIFICATIONS</t>
  </si>
  <si>
    <t>STAINLESS STEEL CLASS A Flat Bar and Plate Price Calculator</t>
  </si>
  <si>
    <t>STAINLESS STEEL CLASS AA Flat Bar and Plate Price Calculator</t>
  </si>
  <si>
    <t>CLASS A</t>
  </si>
  <si>
    <t>CLASS AA</t>
  </si>
  <si>
    <t>TITANIUM CLASS A Flat Bar and Plate Price Calculator</t>
  </si>
  <si>
    <t>TITANIUM CLASS AA Flat Bar and Plate Price Calculator</t>
  </si>
  <si>
    <t>RADIUS</t>
  </si>
  <si>
    <t>PI</t>
  </si>
  <si>
    <t>VOLUME</t>
  </si>
  <si>
    <t>LENGTH</t>
  </si>
  <si>
    <t>DENSITY</t>
  </si>
  <si>
    <t>AREA (CUBIC INCHES)</t>
  </si>
  <si>
    <t>ROUND BAR DIAMETER (INCHES)</t>
  </si>
  <si>
    <t>WEIGHT (LBS)</t>
  </si>
  <si>
    <t>ALLOY</t>
  </si>
  <si>
    <t>MILD STEEL</t>
  </si>
  <si>
    <t>STAINLESS STEEL</t>
  </si>
  <si>
    <t>ALUMINUM</t>
  </si>
  <si>
    <t>TITANIUM</t>
  </si>
  <si>
    <t>.</t>
  </si>
  <si>
    <t>CAPACITY</t>
  </si>
  <si>
    <t>PER POUND PRICE</t>
  </si>
  <si>
    <t>PER BAR PRICE</t>
  </si>
  <si>
    <t>NICKEL ALLOYS</t>
  </si>
  <si>
    <t>Thick</t>
  </si>
  <si>
    <t>NICKEL ALLOY CLASS A Flat Bar and Plate Price Calculator</t>
  </si>
  <si>
    <t>NICKEL ALLOY CLASS AA Flat Bar and Plate Price Calculator</t>
  </si>
  <si>
    <t>PROGRESSIVE</t>
  </si>
  <si>
    <t>Quoted by &amp; Date</t>
  </si>
  <si>
    <t>JO 9/9/2025</t>
  </si>
  <si>
    <t>JO 7/11/2025</t>
  </si>
  <si>
    <t>LOAD TIME</t>
  </si>
  <si>
    <t>UNIT Pricing</t>
  </si>
  <si>
    <t>RED LION</t>
  </si>
  <si>
    <t>VARIOUS</t>
  </si>
  <si>
    <t>***$0.13/LB over 6.00"st X 6.00"lt***</t>
  </si>
  <si>
    <t>(When Required)</t>
  </si>
  <si>
    <t>Q&amp;L</t>
  </si>
  <si>
    <r>
      <rPr>
        <b/>
        <sz val="20"/>
        <color rgb="FF0070C0"/>
        <rFont val="Calibri"/>
        <family val="2"/>
        <scheme val="minor"/>
      </rPr>
      <t>THIN SHEET</t>
    </r>
    <r>
      <rPr>
        <b/>
        <sz val="20"/>
        <color theme="1"/>
        <rFont val="Calibri"/>
        <family val="2"/>
        <scheme val="minor"/>
      </rPr>
      <t xml:space="preserve"> Price Calculator (DOUBLE SIDED INSPECTION)</t>
    </r>
  </si>
  <si>
    <t>EXTENDED PRICE</t>
  </si>
  <si>
    <t>EXT PRICE</t>
  </si>
  <si>
    <t>EXTEDNDED PRICE</t>
  </si>
  <si>
    <t>CERTIFIED STEEL:</t>
  </si>
  <si>
    <t>Each Listed Piece:</t>
  </si>
  <si>
    <t>Quantity of Parts:</t>
  </si>
  <si>
    <t>Sub-Total:</t>
  </si>
  <si>
    <t>Environmental Fee:</t>
  </si>
  <si>
    <t>Grand Total:</t>
  </si>
  <si>
    <t>Do not hesitate to contact us with any questions.</t>
  </si>
  <si>
    <t>Flat Bar and Plate Price Calculator Titanium Distrubution Services Only</t>
  </si>
  <si>
    <t>THICKNESS</t>
  </si>
  <si>
    <t>SUPERIOR</t>
  </si>
  <si>
    <t>Technique Development Fee:</t>
  </si>
  <si>
    <t>OD</t>
  </si>
  <si>
    <t>ID</t>
  </si>
  <si>
    <t>Wall Thickness</t>
  </si>
  <si>
    <t>Pi</t>
  </si>
  <si>
    <t>Area/in/OD</t>
  </si>
  <si>
    <t>Area/in/FACE</t>
  </si>
  <si>
    <t>Number of indexes OD</t>
  </si>
  <si>
    <t>Number of Indexes FACE</t>
  </si>
  <si>
    <t>Sec/scanline OD</t>
  </si>
  <si>
    <t>Sec/Scanline FACE</t>
  </si>
  <si>
    <t>Time/ Min FACE</t>
  </si>
  <si>
    <t>Time/ Min OD</t>
  </si>
  <si>
    <t>RING</t>
  </si>
  <si>
    <t>Price per RING</t>
  </si>
  <si>
    <t>3.00" DIA. X 144" LG</t>
  </si>
  <si>
    <t>JO 10/25</t>
  </si>
  <si>
    <t>Price per SCAN</t>
  </si>
  <si>
    <t>NUMBER OF SCANS</t>
  </si>
  <si>
    <t>PER PIECE PRICE</t>
  </si>
  <si>
    <t>TUBES</t>
  </si>
  <si>
    <t>RAM ALLOYS</t>
  </si>
  <si>
    <t>Pacific Metal Cutting:</t>
  </si>
  <si>
    <t>HUB</t>
  </si>
  <si>
    <t>RING Price Calculator</t>
  </si>
  <si>
    <t>Price Per Bar</t>
  </si>
  <si>
    <t>Under .250</t>
  </si>
  <si>
    <t>.250 - .374</t>
  </si>
  <si>
    <t>.375 - .499</t>
  </si>
  <si>
    <t>.500 - .624</t>
  </si>
  <si>
    <t>.625 - .749</t>
  </si>
  <si>
    <t>.750 - .999</t>
  </si>
  <si>
    <t>1.00 - 1.24</t>
  </si>
  <si>
    <t>1.25 - 1.49</t>
  </si>
  <si>
    <t>1.50 - 1.74</t>
  </si>
  <si>
    <t>1.75 - 1.99</t>
  </si>
  <si>
    <t>2.00 - 2.24</t>
  </si>
  <si>
    <t>2.25 - 2.49</t>
  </si>
  <si>
    <t>2.50 - 2.74</t>
  </si>
  <si>
    <t>2.75 - 2.99</t>
  </si>
  <si>
    <t>3.00 - 3.24</t>
  </si>
  <si>
    <t>3.25 - 3.49</t>
  </si>
  <si>
    <t>3.50 - 3.74</t>
  </si>
  <si>
    <t>3.75 - 3.99</t>
  </si>
  <si>
    <t>4.00 - 4.24</t>
  </si>
  <si>
    <t>4.25 - 4.49</t>
  </si>
  <si>
    <t>4.50 - 4.74</t>
  </si>
  <si>
    <t>4.75 - 4.99</t>
  </si>
  <si>
    <t>5.00 - 5.24</t>
  </si>
  <si>
    <t>5.25 - 5.49</t>
  </si>
  <si>
    <t>5.50 - 5.74</t>
  </si>
  <si>
    <t>5.75 - 5.99</t>
  </si>
  <si>
    <t>6.00 - 6.24</t>
  </si>
  <si>
    <t>6.25 - 6.49</t>
  </si>
  <si>
    <t>6.50 - 6.74</t>
  </si>
  <si>
    <t>6.75 - 6.99</t>
  </si>
  <si>
    <t>7.00 - 7.24</t>
  </si>
  <si>
    <t>7.25 - 7.49</t>
  </si>
  <si>
    <t>7.50 - 7.74</t>
  </si>
  <si>
    <t>7.75 - 7.99</t>
  </si>
  <si>
    <t>8.00 - 8.49</t>
  </si>
  <si>
    <t>8.50 - 8.99</t>
  </si>
  <si>
    <t>9.00 - 9.49</t>
  </si>
  <si>
    <t>9.50 - 9.99</t>
  </si>
  <si>
    <t>10.00 - 10.49</t>
  </si>
  <si>
    <t>10.50 - 10.99</t>
  </si>
  <si>
    <t>11.00 - 11.49</t>
  </si>
  <si>
    <t>11.50 - 11.99</t>
  </si>
  <si>
    <t>ROUND BAR PRICING</t>
  </si>
  <si>
    <t>LOT CHARGE=</t>
  </si>
  <si>
    <t>QUANTITY=</t>
  </si>
  <si>
    <t>EXT$</t>
  </si>
  <si>
    <t>MIN$</t>
  </si>
  <si>
    <t>ext$</t>
  </si>
  <si>
    <t>min$</t>
  </si>
  <si>
    <t>ext $</t>
  </si>
  <si>
    <t>STEEL Flat Bar and Plate Price Calculator</t>
  </si>
  <si>
    <t>STEEL Round Bar  Price Calculator</t>
  </si>
  <si>
    <t>ALUMINUM Flat Bar and Plate Price Calculator</t>
  </si>
  <si>
    <t>ALUMINUM Round Bar  Price Calculator</t>
  </si>
  <si>
    <t>PER PIECE PRICE:</t>
  </si>
  <si>
    <t>QUANTITY:</t>
  </si>
  <si>
    <t>TECHNIUE FEE:</t>
  </si>
  <si>
    <t>ENVIRONMENTAL FEE:</t>
  </si>
  <si>
    <t>TOTAL:</t>
  </si>
  <si>
    <t>PLATE Price Calculator</t>
  </si>
  <si>
    <t>C-SCAN PLATE Price Calculator</t>
  </si>
  <si>
    <t>Ultrasonic Flat Bar Pricing will be as follows:</t>
  </si>
  <si>
    <t>Ultrasonic Ring Pricing will be as follows:</t>
  </si>
  <si>
    <t>SLAB PRICING</t>
  </si>
  <si>
    <t>GE QUOTING</t>
  </si>
  <si>
    <t>PRICE PER RING</t>
  </si>
  <si>
    <t>GE</t>
  </si>
  <si>
    <t>LEAD TIME=</t>
  </si>
  <si>
    <t>5 DAYS</t>
  </si>
  <si>
    <t>Plate Price Calculator</t>
  </si>
  <si>
    <t>Flat Bar Price Calculator</t>
  </si>
  <si>
    <t>LEAD TIME:</t>
  </si>
  <si>
    <t>5 BUSINESS DAYS</t>
  </si>
  <si>
    <t>Forge / UT Size</t>
  </si>
  <si>
    <t>Part</t>
  </si>
  <si>
    <t>Suffix</t>
  </si>
  <si>
    <t>Model Rev</t>
  </si>
  <si>
    <t>P/L</t>
  </si>
  <si>
    <t>Rev</t>
  </si>
  <si>
    <t>Spec</t>
  </si>
  <si>
    <t>ST</t>
  </si>
  <si>
    <t>±0.125</t>
  </si>
  <si>
    <t>LT</t>
  </si>
  <si>
    <t>±0.50</t>
  </si>
  <si>
    <t>LG</t>
  </si>
  <si>
    <t>Approx</t>
  </si>
  <si>
    <t>ULTRASONIC PRICING</t>
  </si>
  <si>
    <t>359B11122FH1105</t>
  </si>
  <si>
    <t>BMS 7-348</t>
  </si>
  <si>
    <t>359B11122FH1107</t>
  </si>
  <si>
    <t>AMS 4928</t>
  </si>
  <si>
    <t>359B11122FH1205</t>
  </si>
  <si>
    <t>359B11122FH1307</t>
  </si>
  <si>
    <t>359B11122FH4115</t>
  </si>
  <si>
    <t>359B11130FH1011</t>
  </si>
  <si>
    <t>359B11130FH2101</t>
  </si>
  <si>
    <t>359B11130FH2107</t>
  </si>
  <si>
    <t>359B11130FH2201</t>
  </si>
  <si>
    <t>359B11130FH2203</t>
  </si>
  <si>
    <t>359B11130FH2205</t>
  </si>
  <si>
    <t>359B11130FH6023</t>
  </si>
  <si>
    <t>359B11200FH1710</t>
  </si>
  <si>
    <t>HALF PIECES</t>
  </si>
  <si>
    <t>Expedite</t>
  </si>
  <si>
    <t>Lead Time:</t>
  </si>
  <si>
    <t>5 Business Days</t>
  </si>
  <si>
    <t>FLAT BAR PRICING</t>
  </si>
  <si>
    <t>ROUND BAR</t>
  </si>
  <si>
    <t>Large Plate Price Calculator</t>
  </si>
  <si>
    <t>env/part</t>
  </si>
  <si>
    <r>
      <rPr>
        <b/>
        <sz val="20"/>
        <color rgb="FF0070C0"/>
        <rFont val="Calibri"/>
        <family val="2"/>
        <scheme val="minor"/>
      </rPr>
      <t>C- SCAN</t>
    </r>
    <r>
      <rPr>
        <b/>
        <sz val="20"/>
        <color theme="1"/>
        <rFont val="Calibri"/>
        <family val="2"/>
        <scheme val="minor"/>
      </rPr>
      <t xml:space="preserve"> Plate Price Calculator</t>
    </r>
  </si>
  <si>
    <r>
      <rPr>
        <b/>
        <sz val="20"/>
        <color rgb="FF0070C0"/>
        <rFont val="Calibri"/>
        <family val="2"/>
        <scheme val="minor"/>
      </rPr>
      <t>Plate</t>
    </r>
    <r>
      <rPr>
        <b/>
        <sz val="20"/>
        <color theme="1"/>
        <rFont val="Calibri"/>
        <family val="2"/>
        <scheme val="minor"/>
      </rPr>
      <t xml:space="preserve"> Price Calculator</t>
    </r>
  </si>
  <si>
    <r>
      <rPr>
        <b/>
        <sz val="20"/>
        <color rgb="FF0070C0"/>
        <rFont val="Calibri"/>
        <family val="2"/>
        <scheme val="minor"/>
      </rPr>
      <t>Flat Bar</t>
    </r>
    <r>
      <rPr>
        <b/>
        <sz val="20"/>
        <color theme="1"/>
        <rFont val="Calibri"/>
        <family val="2"/>
        <scheme val="minor"/>
      </rPr>
      <t xml:space="preserve"> Price Calculator</t>
    </r>
  </si>
  <si>
    <r>
      <rPr>
        <b/>
        <sz val="20"/>
        <color rgb="FF0070C0"/>
        <rFont val="Calibri"/>
        <family val="2"/>
        <scheme val="minor"/>
      </rPr>
      <t>Round Bar</t>
    </r>
    <r>
      <rPr>
        <b/>
        <sz val="20"/>
        <color theme="1"/>
        <rFont val="Calibri"/>
        <family val="2"/>
        <scheme val="minor"/>
      </rPr>
      <t xml:space="preserve">  Price Calculator</t>
    </r>
  </si>
  <si>
    <t>FLAT BAR Price Calculator</t>
  </si>
  <si>
    <t>Round Bar Pricing</t>
  </si>
  <si>
    <t>Ext Price</t>
  </si>
  <si>
    <t xml:space="preserve">PER PIECE </t>
  </si>
  <si>
    <t>WEIGHT PRICE</t>
  </si>
  <si>
    <t>STAINLESS STEEL Round Bar  Price Calculator</t>
  </si>
  <si>
    <t>PLATE PRICING</t>
  </si>
  <si>
    <t>Plate &amp; Sheet Price Calculator ABC Only</t>
  </si>
  <si>
    <t>BELOW 0.05" WILL REQUIRE SPECIAL PRICING</t>
  </si>
  <si>
    <t>Altenp Alloys Round Bar</t>
  </si>
  <si>
    <t>Technique Fee:</t>
  </si>
  <si>
    <t>Minimum:</t>
  </si>
  <si>
    <t>Part No.</t>
  </si>
  <si>
    <t>Class</t>
  </si>
  <si>
    <t>.563Dia x 144</t>
  </si>
  <si>
    <t>AA</t>
  </si>
  <si>
    <t>.3175Dia x 144</t>
  </si>
  <si>
    <t>B</t>
  </si>
  <si>
    <t>.500" Dia. X 144</t>
  </si>
  <si>
    <t>.531Dia x 144</t>
  </si>
  <si>
    <t>.625Dia x 144</t>
  </si>
  <si>
    <t>.260Dia x 144</t>
  </si>
  <si>
    <t>.635Dia x 144</t>
  </si>
  <si>
    <t>.375Dia x 144</t>
  </si>
  <si>
    <t>.4375DIA X 72</t>
  </si>
  <si>
    <t>.354dia</t>
  </si>
  <si>
    <t>.3125dia x 144</t>
  </si>
  <si>
    <t>.375Dia. X 144</t>
  </si>
  <si>
    <t>.495Dia. X 150</t>
  </si>
  <si>
    <t>.7812" Dia.</t>
  </si>
  <si>
    <t xml:space="preserve">.875" Dia.   </t>
  </si>
  <si>
    <t>.750 Dia X 144</t>
  </si>
  <si>
    <t>.619 Dia. X 144"</t>
  </si>
  <si>
    <t>.250 Dia. X 144</t>
  </si>
  <si>
    <t>.214DIA, X 144</t>
  </si>
  <si>
    <t>.508 x 144</t>
  </si>
  <si>
    <t>2.50 Dia. X 4'</t>
  </si>
  <si>
    <t>AAA</t>
  </si>
  <si>
    <t>MP35N</t>
  </si>
  <si>
    <t>8.0" SQ X 144</t>
  </si>
  <si>
    <t>6.5" SQ X 144</t>
  </si>
  <si>
    <t>7.0" SQ X 144</t>
  </si>
  <si>
    <t>4.0" SQ X 144</t>
  </si>
  <si>
    <t>7.0" DIA.X 144</t>
  </si>
  <si>
    <t>3.25 DIA X 144</t>
  </si>
  <si>
    <t>STEEL</t>
  </si>
  <si>
    <t>2.0 dia x 144"</t>
  </si>
  <si>
    <t>Steel</t>
  </si>
  <si>
    <t>.875" DIA. X 12"</t>
  </si>
  <si>
    <t>347 ss</t>
  </si>
  <si>
    <t>Price for LW ONLY at 12'</t>
  </si>
  <si>
    <t>Price for LW &amp; SW at 12'</t>
  </si>
  <si>
    <t>Price for LW &amp; SW at 6'</t>
  </si>
  <si>
    <t>C-SCAN FLAT BAR PRICING</t>
  </si>
  <si>
    <t>C-SCAN ROUND BAR PRICING</t>
  </si>
  <si>
    <t>TECHNIQUE FEE=</t>
  </si>
  <si>
    <t>Price Calculator</t>
  </si>
  <si>
    <t>Each Listed Plate:</t>
  </si>
  <si>
    <t>TOTAL CHARGE=</t>
  </si>
  <si>
    <t>***$0.12/LB***</t>
  </si>
  <si>
    <t>D&amp;S Packing</t>
  </si>
  <si>
    <t>Price Calculator for ROUND TUBING</t>
  </si>
  <si>
    <t>SQUARE &amp; RECTANGLE TUBING Price Calculator</t>
  </si>
  <si>
    <t>SQ TUBE</t>
  </si>
  <si>
    <t>EXT $</t>
  </si>
  <si>
    <t>ROUND BAR PRICING 12' bars</t>
  </si>
  <si>
    <t>Price Per 12' Bar</t>
  </si>
  <si>
    <t>UT Class AA</t>
  </si>
  <si>
    <t>Min Charge</t>
  </si>
  <si>
    <t>$225.00 + $5 Env.= $230.00</t>
  </si>
  <si>
    <t>YES 2%</t>
  </si>
  <si>
    <t>SQUARE - RECTANGLE TUBING PRICING</t>
  </si>
  <si>
    <t>ROUND TUBING PRICING</t>
  </si>
  <si>
    <t>sub=</t>
  </si>
  <si>
    <t>PLATE BAR PRICING</t>
  </si>
  <si>
    <t>Ext$</t>
  </si>
  <si>
    <t>C-SCAN Flat Bar and Plate Price Calculator</t>
  </si>
  <si>
    <t>THIN PLATE PRICING</t>
  </si>
  <si>
    <t>FULL LENGTH BAR  RATES</t>
  </si>
  <si>
    <t>4.115/1.135" X 72.00</t>
  </si>
  <si>
    <t>JO 2/26</t>
  </si>
  <si>
    <t>2026 PRICING</t>
  </si>
  <si>
    <t>Expedite 48 HR</t>
  </si>
  <si>
    <t>Expedite 24 HR</t>
  </si>
  <si>
    <t>FRY</t>
  </si>
  <si>
    <t>Number of Scans LW=1 SW=2</t>
  </si>
  <si>
    <t>CMPR-29613 FRACTURE CRITICAL</t>
  </si>
  <si>
    <t>C-SCAN FEE</t>
  </si>
  <si>
    <t>C-SCAN REPORT=</t>
  </si>
  <si>
    <t>ENV. FEE=</t>
  </si>
  <si>
    <t>ALUMINUM ALLOY CLASS AA Flat Bar and Plate Price Calculator</t>
  </si>
  <si>
    <t>ALUMINUM ALLOY CLASS A Flat Bar and Plate Price Calculator</t>
  </si>
  <si>
    <t>Expedite 72 HR</t>
  </si>
  <si>
    <t>Min $</t>
  </si>
  <si>
    <t>CL. AA</t>
  </si>
  <si>
    <t>Machined Round Bar  Price Calculator</t>
  </si>
  <si>
    <t>UnMachined Round Bar  Price Calculator</t>
  </si>
  <si>
    <t>Machined Round Pricing will be as follows:</t>
  </si>
  <si>
    <t>UNMachined Round Pricing will be as follows:</t>
  </si>
  <si>
    <t># of OD Scans</t>
  </si>
  <si>
    <t># of FACE SCANS</t>
  </si>
  <si>
    <t>Time/ Min OD - EACH</t>
  </si>
  <si>
    <t>Time/ Min FACE -EACH</t>
  </si>
  <si>
    <t>OD TOTAL TIME</t>
  </si>
  <si>
    <t>FACE TOTAL TIME</t>
  </si>
  <si>
    <t>BODYCOTE</t>
  </si>
  <si>
    <t>BODYCOTE IMPELLER - C-SCAN</t>
  </si>
  <si>
    <t>Price in weight</t>
  </si>
  <si>
    <t>Price per bar in time</t>
  </si>
  <si>
    <t>GSI FEE</t>
  </si>
  <si>
    <t>Gov. Source Insp Fee:</t>
  </si>
  <si>
    <t>RING PRICING</t>
  </si>
  <si>
    <t>MAGNETIC PARTICLE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</si>
</sst>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00"/>
    <numFmt numFmtId="166" formatCode="0.0000"/>
  </numFmts>
  <fonts count="4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b/>
      <sz val="20"/>
      <color rgb="FF0070C0"/>
      <name val="Calibri"/>
      <family val="2"/>
      <scheme val="minor"/>
    </font>
    <font>
      <b/>
      <sz val="11"/>
      <color rgb="FF001D35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 Light"/>
      <family val="2"/>
    </font>
    <font>
      <i/>
      <sz val="11"/>
      <color theme="1"/>
      <name val="Calibri Light"/>
      <family val="2"/>
    </font>
    <font>
      <i/>
      <sz val="11"/>
      <color rgb="FF000000"/>
      <name val="Calibri"/>
      <family val="2"/>
      <scheme val="minor"/>
    </font>
    <font>
      <b/>
      <sz val="22"/>
      <color theme="1"/>
      <name val="Aptos"/>
      <family val="2"/>
    </font>
    <font>
      <sz val="11"/>
      <color rgb="FF92D05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rgb="FF00B050"/>
      <name val="Calibri"/>
      <family val="2"/>
      <scheme val="minor"/>
    </font>
    <font>
      <sz val="18"/>
      <color rgb="FF00B05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5E6F4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92D050"/>
      </left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thick">
        <color rgb="FF92D050"/>
      </left>
      <right style="thick">
        <color rgb="FF92D050"/>
      </right>
      <top/>
      <bottom/>
      <diagonal/>
    </border>
    <border>
      <left/>
      <right style="thick">
        <color rgb="FF92D050"/>
      </right>
      <top/>
      <bottom/>
      <diagonal/>
    </border>
    <border>
      <left style="thick">
        <color rgb="FF92D050"/>
      </left>
      <right style="thick">
        <color rgb="FF92D050"/>
      </right>
      <top/>
      <bottom style="thick">
        <color rgb="FF92D050"/>
      </bottom>
      <diagonal/>
    </border>
    <border>
      <left/>
      <right style="thick">
        <color rgb="FF92D050"/>
      </right>
      <top/>
      <bottom style="thick">
        <color rgb="FF92D050"/>
      </bottom>
      <diagonal/>
    </border>
    <border>
      <left/>
      <right/>
      <top/>
      <bottom style="thick">
        <color rgb="FF92D050"/>
      </bottom>
      <diagonal/>
    </border>
    <border>
      <left/>
      <right style="thick">
        <color rgb="FF92D050"/>
      </right>
      <top style="thick">
        <color rgb="FF92D050"/>
      </top>
      <bottom style="thick">
        <color rgb="FF92D050"/>
      </bottom>
      <diagonal/>
    </border>
    <border>
      <left style="thick">
        <color rgb="FF92D050"/>
      </left>
      <right/>
      <top style="thick">
        <color rgb="FF92D050"/>
      </top>
      <bottom style="thick">
        <color rgb="FF92D050"/>
      </bottom>
      <diagonal/>
    </border>
    <border>
      <left style="thick">
        <color rgb="FF92D050"/>
      </left>
      <right/>
      <top style="thick">
        <color rgb="FF92D050"/>
      </top>
      <bottom/>
      <diagonal/>
    </border>
    <border>
      <left/>
      <right/>
      <top style="thick">
        <color rgb="FF92D050"/>
      </top>
      <bottom/>
      <diagonal/>
    </border>
    <border>
      <left/>
      <right style="thick">
        <color rgb="FF92D050"/>
      </right>
      <top style="thick">
        <color rgb="FF92D050"/>
      </top>
      <bottom/>
      <diagonal/>
    </border>
    <border>
      <left style="thick">
        <color rgb="FF92D050"/>
      </left>
      <right/>
      <top/>
      <bottom style="thick">
        <color rgb="FF92D050"/>
      </bottom>
      <diagonal/>
    </border>
    <border>
      <left style="medium">
        <color rgb="FF92D050"/>
      </left>
      <right/>
      <top style="medium">
        <color rgb="FF92D050"/>
      </top>
      <bottom/>
      <diagonal/>
    </border>
    <border>
      <left/>
      <right/>
      <top style="medium">
        <color rgb="FF92D050"/>
      </top>
      <bottom/>
      <diagonal/>
    </border>
    <border>
      <left/>
      <right style="medium">
        <color rgb="FF92D050"/>
      </right>
      <top style="medium">
        <color rgb="FF92D050"/>
      </top>
      <bottom/>
      <diagonal/>
    </border>
    <border>
      <left style="medium">
        <color rgb="FF92D050"/>
      </left>
      <right/>
      <top/>
      <bottom/>
      <diagonal/>
    </border>
    <border>
      <left/>
      <right style="medium">
        <color rgb="FF92D050"/>
      </right>
      <top/>
      <bottom/>
      <diagonal/>
    </border>
    <border>
      <left style="medium">
        <color rgb="FF92D050"/>
      </left>
      <right/>
      <top/>
      <bottom style="medium">
        <color rgb="FF92D050"/>
      </bottom>
      <diagonal/>
    </border>
    <border>
      <left/>
      <right/>
      <top/>
      <bottom style="medium">
        <color rgb="FF92D050"/>
      </bottom>
      <diagonal/>
    </border>
    <border>
      <left/>
      <right style="medium">
        <color rgb="FF92D050"/>
      </right>
      <top/>
      <bottom style="medium">
        <color rgb="FF92D050"/>
      </bottom>
      <diagonal/>
    </border>
    <border>
      <left style="thick">
        <color rgb="FF92D050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92D050"/>
      </left>
      <right style="thick">
        <color rgb="FF92D050"/>
      </right>
      <top style="thick">
        <color rgb="FF92D05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44" fontId="2" fillId="0" borderId="0" applyFont="0" applyFill="0" applyBorder="0" applyAlignment="0" applyProtection="0"/>
    <xf numFmtId="0" fontId="26" fillId="18" borderId="0" applyNumberFormat="0" applyBorder="0" applyAlignment="0" applyProtection="0"/>
    <xf numFmtId="0" fontId="27" fillId="19" borderId="0" applyNumberFormat="0" applyBorder="0" applyAlignment="0" applyProtection="0"/>
  </cellStyleXfs>
  <cellXfs count="58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2" borderId="1" xfId="0" applyFont="1" applyFill="1" applyBorder="1" applyAlignment="1">
      <alignment horizontal="center" vertical="top"/>
    </xf>
    <xf numFmtId="0" fontId="6" fillId="3" borderId="1" xfId="1" applyBorder="1" applyAlignment="1" applyProtection="1">
      <alignment horizontal="center"/>
      <protection hidden="1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6" fontId="6" fillId="6" borderId="1" xfId="1" applyNumberFormat="1" applyFill="1" applyBorder="1" applyAlignment="1" applyProtection="1">
      <alignment horizontal="center"/>
      <protection hidden="1"/>
    </xf>
    <xf numFmtId="8" fontId="6" fillId="7" borderId="1" xfId="1" applyNumberFormat="1" applyFill="1" applyBorder="1" applyAlignment="1" applyProtection="1">
      <alignment horizontal="center"/>
      <protection hidden="1"/>
    </xf>
    <xf numFmtId="0" fontId="6" fillId="7" borderId="1" xfId="1" applyFill="1" applyBorder="1" applyAlignment="1" applyProtection="1">
      <alignment horizontal="center"/>
      <protection hidden="1"/>
    </xf>
    <xf numFmtId="0" fontId="2" fillId="5" borderId="1" xfId="0" applyFont="1" applyFill="1" applyBorder="1" applyAlignment="1">
      <alignment horizontal="center"/>
    </xf>
    <xf numFmtId="0" fontId="4" fillId="0" borderId="4" xfId="0" applyFont="1" applyBorder="1" applyAlignment="1">
      <alignment vertical="top"/>
    </xf>
    <xf numFmtId="0" fontId="2" fillId="4" borderId="1" xfId="0" applyFont="1" applyFill="1" applyBorder="1" applyAlignment="1" applyProtection="1">
      <alignment horizontal="center"/>
      <protection hidden="1"/>
    </xf>
    <xf numFmtId="0" fontId="2" fillId="4" borderId="1" xfId="0" applyFont="1" applyFill="1" applyBorder="1" applyProtection="1">
      <protection hidden="1"/>
    </xf>
    <xf numFmtId="8" fontId="2" fillId="7" borderId="1" xfId="0" applyNumberFormat="1" applyFont="1" applyFill="1" applyBorder="1"/>
    <xf numFmtId="0" fontId="2" fillId="7" borderId="1" xfId="0" applyFont="1" applyFill="1" applyBorder="1" applyAlignment="1" applyProtection="1">
      <alignment horizontal="center"/>
      <protection hidden="1"/>
    </xf>
    <xf numFmtId="0" fontId="2" fillId="7" borderId="1" xfId="0" applyFont="1" applyFill="1" applyBorder="1" applyProtection="1">
      <protection hidden="1"/>
    </xf>
    <xf numFmtId="0" fontId="2" fillId="0" borderId="0" xfId="0" applyFont="1" applyProtection="1">
      <protection locked="0"/>
    </xf>
    <xf numFmtId="0" fontId="4" fillId="0" borderId="5" xfId="0" applyFont="1" applyBorder="1" applyAlignment="1" applyProtection="1">
      <alignment vertical="top"/>
      <protection locked="0"/>
    </xf>
    <xf numFmtId="0" fontId="2" fillId="4" borderId="0" xfId="0" applyFont="1" applyFill="1" applyProtection="1">
      <protection locked="0"/>
    </xf>
    <xf numFmtId="0" fontId="2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horizontal="center"/>
      <protection locked="0"/>
    </xf>
    <xf numFmtId="8" fontId="2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9" fontId="2" fillId="0" borderId="0" xfId="0" applyNumberFormat="1" applyFont="1" applyProtection="1">
      <protection locked="0"/>
    </xf>
    <xf numFmtId="164" fontId="2" fillId="6" borderId="1" xfId="0" applyNumberFormat="1" applyFont="1" applyFill="1" applyBorder="1" applyProtection="1">
      <protection locked="0"/>
    </xf>
    <xf numFmtId="9" fontId="2" fillId="0" borderId="1" xfId="0" applyNumberFormat="1" applyFont="1" applyBorder="1" applyProtection="1">
      <protection locked="0"/>
    </xf>
    <xf numFmtId="0" fontId="2" fillId="5" borderId="1" xfId="0" applyFont="1" applyFill="1" applyBorder="1" applyProtection="1">
      <protection locked="0"/>
    </xf>
    <xf numFmtId="8" fontId="2" fillId="7" borderId="1" xfId="0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8" fontId="2" fillId="5" borderId="1" xfId="0" applyNumberFormat="1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5" fillId="0" borderId="1" xfId="0" applyFont="1" applyBorder="1" applyAlignment="1" applyProtection="1">
      <alignment horizontal="center" wrapText="1"/>
      <protection locked="0"/>
    </xf>
    <xf numFmtId="164" fontId="5" fillId="0" borderId="1" xfId="0" applyNumberFormat="1" applyFont="1" applyBorder="1" applyProtection="1">
      <protection locked="0"/>
    </xf>
    <xf numFmtId="9" fontId="5" fillId="0" borderId="1" xfId="0" applyNumberFormat="1" applyFont="1" applyBorder="1" applyProtection="1">
      <protection locked="0"/>
    </xf>
    <xf numFmtId="8" fontId="5" fillId="0" borderId="1" xfId="0" applyNumberFormat="1" applyFont="1" applyBorder="1" applyProtection="1">
      <protection locked="0"/>
    </xf>
    <xf numFmtId="8" fontId="5" fillId="0" borderId="1" xfId="0" applyNumberFormat="1" applyFont="1" applyBorder="1" applyAlignment="1" applyProtection="1">
      <alignment horizontal="center"/>
      <protection locked="0"/>
    </xf>
    <xf numFmtId="8" fontId="5" fillId="0" borderId="6" xfId="0" applyNumberFormat="1" applyFont="1" applyBorder="1" applyAlignment="1" applyProtection="1">
      <alignment horizontal="center"/>
      <protection locked="0"/>
    </xf>
    <xf numFmtId="0" fontId="2" fillId="8" borderId="7" xfId="0" applyFont="1" applyFill="1" applyBorder="1" applyProtection="1">
      <protection locked="0"/>
    </xf>
    <xf numFmtId="0" fontId="2" fillId="0" borderId="8" xfId="0" applyFont="1" applyBorder="1" applyProtection="1">
      <protection locked="0"/>
    </xf>
    <xf numFmtId="0" fontId="5" fillId="0" borderId="6" xfId="0" applyFont="1" applyBorder="1" applyAlignment="1" applyProtection="1">
      <alignment horizontal="center"/>
      <protection locked="0"/>
    </xf>
    <xf numFmtId="8" fontId="2" fillId="5" borderId="8" xfId="0" applyNumberFormat="1" applyFont="1" applyFill="1" applyBorder="1" applyProtection="1">
      <protection locked="0"/>
    </xf>
    <xf numFmtId="8" fontId="2" fillId="5" borderId="7" xfId="0" applyNumberFormat="1" applyFont="1" applyFill="1" applyBorder="1" applyProtection="1">
      <protection locked="0"/>
    </xf>
    <xf numFmtId="8" fontId="5" fillId="0" borderId="6" xfId="0" applyNumberFormat="1" applyFont="1" applyBorder="1" applyProtection="1">
      <protection locked="0"/>
    </xf>
    <xf numFmtId="8" fontId="5" fillId="0" borderId="9" xfId="0" applyNumberFormat="1" applyFont="1" applyBorder="1" applyProtection="1">
      <protection locked="0"/>
    </xf>
    <xf numFmtId="8" fontId="2" fillId="7" borderId="8" xfId="0" applyNumberFormat="1" applyFont="1" applyFill="1" applyBorder="1" applyProtection="1">
      <protection locked="0"/>
    </xf>
    <xf numFmtId="8" fontId="2" fillId="7" borderId="7" xfId="0" applyNumberFormat="1" applyFont="1" applyFill="1" applyBorder="1" applyProtection="1">
      <protection locked="0"/>
    </xf>
    <xf numFmtId="0" fontId="2" fillId="0" borderId="3" xfId="0" applyFont="1" applyBorder="1" applyProtection="1">
      <protection locked="0"/>
    </xf>
    <xf numFmtId="164" fontId="2" fillId="8" borderId="1" xfId="0" applyNumberFormat="1" applyFont="1" applyFill="1" applyBorder="1" applyProtection="1">
      <protection locked="0"/>
    </xf>
    <xf numFmtId="164" fontId="2" fillId="8" borderId="7" xfId="0" applyNumberFormat="1" applyFont="1" applyFill="1" applyBorder="1" applyProtection="1">
      <protection locked="0"/>
    </xf>
    <xf numFmtId="0" fontId="2" fillId="0" borderId="5" xfId="0" applyFont="1" applyBorder="1"/>
    <xf numFmtId="0" fontId="2" fillId="0" borderId="5" xfId="0" applyFont="1" applyBorder="1" applyProtection="1">
      <protection locked="0"/>
    </xf>
    <xf numFmtId="164" fontId="2" fillId="0" borderId="5" xfId="0" applyNumberFormat="1" applyFont="1" applyBorder="1" applyProtection="1">
      <protection locked="0"/>
    </xf>
    <xf numFmtId="9" fontId="2" fillId="0" borderId="5" xfId="0" applyNumberFormat="1" applyFont="1" applyBorder="1" applyProtection="1">
      <protection locked="0"/>
    </xf>
    <xf numFmtId="8" fontId="2" fillId="0" borderId="5" xfId="0" applyNumberFormat="1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5" borderId="1" xfId="1" applyFont="1" applyFill="1" applyBorder="1" applyAlignment="1">
      <alignment horizontal="center"/>
    </xf>
    <xf numFmtId="0" fontId="2" fillId="3" borderId="1" xfId="1" applyFont="1" applyBorder="1" applyAlignment="1" applyProtection="1">
      <alignment horizontal="center"/>
      <protection hidden="1"/>
    </xf>
    <xf numFmtId="0" fontId="2" fillId="7" borderId="1" xfId="1" applyFont="1" applyFill="1" applyBorder="1" applyAlignment="1" applyProtection="1">
      <alignment horizontal="center"/>
      <protection hidden="1"/>
    </xf>
    <xf numFmtId="6" fontId="2" fillId="6" borderId="1" xfId="1" applyNumberFormat="1" applyFont="1" applyFill="1" applyBorder="1" applyAlignment="1" applyProtection="1">
      <alignment horizontal="center"/>
      <protection hidden="1"/>
    </xf>
    <xf numFmtId="8" fontId="2" fillId="7" borderId="1" xfId="1" applyNumberFormat="1" applyFont="1" applyFill="1" applyBorder="1" applyAlignment="1" applyProtection="1">
      <alignment horizontal="center"/>
      <protection hidden="1"/>
    </xf>
    <xf numFmtId="8" fontId="2" fillId="7" borderId="1" xfId="1" applyNumberFormat="1" applyFont="1" applyFill="1" applyBorder="1" applyAlignment="1">
      <alignment horizontal="center"/>
    </xf>
    <xf numFmtId="9" fontId="2" fillId="6" borderId="1" xfId="0" applyNumberFormat="1" applyFont="1" applyFill="1" applyBorder="1" applyProtection="1">
      <protection locked="0"/>
    </xf>
    <xf numFmtId="9" fontId="2" fillId="0" borderId="0" xfId="0" applyNumberFormat="1" applyFont="1" applyAlignment="1" applyProtection="1">
      <alignment horizontal="center"/>
      <protection locked="0"/>
    </xf>
    <xf numFmtId="9" fontId="5" fillId="0" borderId="1" xfId="0" applyNumberFormat="1" applyFont="1" applyBorder="1" applyAlignment="1" applyProtection="1">
      <alignment horizontal="center" wrapText="1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 vertical="top"/>
      <protection locked="0"/>
    </xf>
    <xf numFmtId="8" fontId="2" fillId="0" borderId="0" xfId="0" applyNumberFormat="1" applyFont="1" applyAlignment="1" applyProtection="1">
      <alignment horizontal="center"/>
      <protection locked="0"/>
    </xf>
    <xf numFmtId="8" fontId="2" fillId="7" borderId="1" xfId="0" applyNumberFormat="1" applyFont="1" applyFill="1" applyBorder="1" applyAlignment="1" applyProtection="1">
      <alignment horizontal="center"/>
      <protection locked="0"/>
    </xf>
    <xf numFmtId="0" fontId="2" fillId="8" borderId="1" xfId="0" applyFont="1" applyFill="1" applyBorder="1" applyAlignment="1" applyProtection="1">
      <alignment horizontal="center"/>
      <protection locked="0"/>
    </xf>
    <xf numFmtId="9" fontId="2" fillId="4" borderId="1" xfId="0" applyNumberFormat="1" applyFont="1" applyFill="1" applyBorder="1" applyAlignment="1" applyProtection="1">
      <alignment horizontal="center"/>
      <protection locked="0"/>
    </xf>
    <xf numFmtId="0" fontId="4" fillId="0" borderId="6" xfId="0" applyFont="1" applyBorder="1" applyAlignment="1">
      <alignment vertical="top"/>
    </xf>
    <xf numFmtId="0" fontId="2" fillId="0" borderId="11" xfId="0" applyFont="1" applyBorder="1"/>
    <xf numFmtId="0" fontId="2" fillId="0" borderId="11" xfId="0" applyFont="1" applyBorder="1" applyProtection="1">
      <protection locked="0"/>
    </xf>
    <xf numFmtId="8" fontId="2" fillId="0" borderId="11" xfId="0" applyNumberFormat="1" applyFont="1" applyBorder="1" applyProtection="1">
      <protection locked="0"/>
    </xf>
    <xf numFmtId="164" fontId="2" fillId="0" borderId="11" xfId="0" applyNumberFormat="1" applyFont="1" applyBorder="1" applyProtection="1">
      <protection locked="0"/>
    </xf>
    <xf numFmtId="9" fontId="2" fillId="0" borderId="11" xfId="0" applyNumberFormat="1" applyFont="1" applyBorder="1" applyAlignment="1" applyProtection="1">
      <alignment horizontal="center"/>
      <protection locked="0"/>
    </xf>
    <xf numFmtId="8" fontId="2" fillId="0" borderId="11" xfId="0" applyNumberFormat="1" applyFont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vertical="top"/>
      <protection locked="0"/>
    </xf>
    <xf numFmtId="0" fontId="0" fillId="5" borderId="1" xfId="1" applyFont="1" applyFill="1" applyBorder="1" applyAlignment="1">
      <alignment horizontal="center"/>
    </xf>
    <xf numFmtId="0" fontId="0" fillId="3" borderId="1" xfId="1" applyFont="1" applyBorder="1" applyAlignment="1" applyProtection="1">
      <alignment horizontal="center"/>
      <protection hidden="1"/>
    </xf>
    <xf numFmtId="0" fontId="0" fillId="7" borderId="1" xfId="1" applyFont="1" applyFill="1" applyBorder="1" applyAlignment="1" applyProtection="1">
      <alignment horizontal="center"/>
      <protection hidden="1"/>
    </xf>
    <xf numFmtId="6" fontId="0" fillId="6" borderId="1" xfId="1" applyNumberFormat="1" applyFont="1" applyFill="1" applyBorder="1" applyAlignment="1" applyProtection="1">
      <alignment horizontal="center"/>
      <protection hidden="1"/>
    </xf>
    <xf numFmtId="8" fontId="0" fillId="7" borderId="1" xfId="1" applyNumberFormat="1" applyFont="1" applyFill="1" applyBorder="1" applyAlignment="1" applyProtection="1">
      <alignment horizontal="center"/>
      <protection hidden="1"/>
    </xf>
    <xf numFmtId="8" fontId="0" fillId="7" borderId="1" xfId="1" applyNumberFormat="1" applyFont="1" applyFill="1" applyBorder="1" applyAlignment="1">
      <alignment horizontal="center"/>
    </xf>
    <xf numFmtId="0" fontId="0" fillId="0" borderId="1" xfId="0" applyBorder="1"/>
    <xf numFmtId="164" fontId="0" fillId="7" borderId="1" xfId="0" applyNumberFormat="1" applyFill="1" applyBorder="1"/>
    <xf numFmtId="8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1" applyFont="1" applyFill="1" applyBorder="1" applyAlignment="1" applyProtection="1">
      <alignment horizontal="center"/>
      <protection hidden="1"/>
    </xf>
    <xf numFmtId="6" fontId="0" fillId="0" borderId="1" xfId="1" applyNumberFormat="1" applyFont="1" applyFill="1" applyBorder="1" applyAlignment="1" applyProtection="1">
      <alignment horizontal="center"/>
      <protection hidden="1"/>
    </xf>
    <xf numFmtId="8" fontId="0" fillId="0" borderId="1" xfId="1" applyNumberFormat="1" applyFont="1" applyFill="1" applyBorder="1" applyAlignment="1" applyProtection="1">
      <alignment horizontal="center"/>
      <protection hidden="1"/>
    </xf>
    <xf numFmtId="164" fontId="2" fillId="0" borderId="1" xfId="0" applyNumberFormat="1" applyFont="1" applyBorder="1" applyProtection="1">
      <protection locked="0"/>
    </xf>
    <xf numFmtId="8" fontId="2" fillId="0" borderId="1" xfId="0" applyNumberFormat="1" applyFont="1" applyBorder="1" applyProtection="1">
      <protection locked="0"/>
    </xf>
    <xf numFmtId="0" fontId="0" fillId="3" borderId="8" xfId="1" applyFont="1" applyBorder="1" applyAlignment="1" applyProtection="1">
      <alignment horizontal="center"/>
      <protection hidden="1"/>
    </xf>
    <xf numFmtId="6" fontId="0" fillId="6" borderId="8" xfId="1" applyNumberFormat="1" applyFont="1" applyFill="1" applyBorder="1" applyAlignment="1" applyProtection="1">
      <alignment horizontal="center"/>
      <protection hidden="1"/>
    </xf>
    <xf numFmtId="8" fontId="0" fillId="7" borderId="8" xfId="1" applyNumberFormat="1" applyFont="1" applyFill="1" applyBorder="1" applyAlignment="1" applyProtection="1">
      <alignment horizontal="center"/>
      <protection hidden="1"/>
    </xf>
    <xf numFmtId="164" fontId="2" fillId="6" borderId="8" xfId="0" applyNumberFormat="1" applyFont="1" applyFill="1" applyBorder="1" applyProtection="1">
      <protection locked="0"/>
    </xf>
    <xf numFmtId="9" fontId="2" fillId="0" borderId="8" xfId="0" applyNumberFormat="1" applyFont="1" applyBorder="1" applyProtection="1">
      <protection locked="0"/>
    </xf>
    <xf numFmtId="0" fontId="2" fillId="5" borderId="8" xfId="0" applyFont="1" applyFill="1" applyBorder="1" applyProtection="1">
      <protection locked="0"/>
    </xf>
    <xf numFmtId="0" fontId="5" fillId="0" borderId="7" xfId="0" applyFont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0" fontId="5" fillId="0" borderId="7" xfId="0" applyFont="1" applyBorder="1" applyProtection="1">
      <protection locked="0"/>
    </xf>
    <xf numFmtId="0" fontId="5" fillId="0" borderId="7" xfId="0" applyFont="1" applyBorder="1" applyAlignment="1" applyProtection="1">
      <alignment wrapText="1"/>
      <protection locked="0"/>
    </xf>
    <xf numFmtId="0" fontId="5" fillId="0" borderId="7" xfId="0" applyFont="1" applyBorder="1" applyAlignment="1" applyProtection="1">
      <alignment horizontal="center" wrapText="1"/>
      <protection locked="0"/>
    </xf>
    <xf numFmtId="0" fontId="0" fillId="0" borderId="11" xfId="1" applyFont="1" applyFill="1" applyBorder="1" applyAlignment="1">
      <alignment horizontal="center"/>
    </xf>
    <xf numFmtId="0" fontId="0" fillId="0" borderId="11" xfId="1" applyFont="1" applyFill="1" applyBorder="1" applyAlignment="1" applyProtection="1">
      <alignment horizontal="center"/>
      <protection hidden="1"/>
    </xf>
    <xf numFmtId="6" fontId="0" fillId="0" borderId="11" xfId="1" applyNumberFormat="1" applyFont="1" applyFill="1" applyBorder="1" applyAlignment="1" applyProtection="1">
      <alignment horizontal="center"/>
      <protection hidden="1"/>
    </xf>
    <xf numFmtId="8" fontId="0" fillId="0" borderId="11" xfId="1" applyNumberFormat="1" applyFont="1" applyFill="1" applyBorder="1" applyAlignment="1" applyProtection="1">
      <alignment horizontal="center"/>
      <protection hidden="1"/>
    </xf>
    <xf numFmtId="8" fontId="0" fillId="0" borderId="11" xfId="1" applyNumberFormat="1" applyFont="1" applyFill="1" applyBorder="1" applyAlignment="1">
      <alignment horizontal="center"/>
    </xf>
    <xf numFmtId="9" fontId="2" fillId="0" borderId="11" xfId="0" applyNumberFormat="1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11" fillId="0" borderId="6" xfId="1" applyFont="1" applyFill="1" applyBorder="1" applyAlignment="1">
      <alignment horizontal="left"/>
    </xf>
    <xf numFmtId="0" fontId="11" fillId="0" borderId="2" xfId="0" applyFont="1" applyBorder="1" applyAlignment="1">
      <alignment vertical="top"/>
    </xf>
    <xf numFmtId="0" fontId="3" fillId="0" borderId="7" xfId="0" applyFont="1" applyBorder="1" applyAlignment="1">
      <alignment horizontal="center" vertical="top"/>
    </xf>
    <xf numFmtId="0" fontId="5" fillId="0" borderId="7" xfId="0" applyFont="1" applyBorder="1" applyAlignment="1">
      <alignment vertical="top"/>
    </xf>
    <xf numFmtId="164" fontId="5" fillId="0" borderId="7" xfId="0" applyNumberFormat="1" applyFont="1" applyBorder="1" applyProtection="1">
      <protection locked="0"/>
    </xf>
    <xf numFmtId="9" fontId="5" fillId="0" borderId="7" xfId="0" applyNumberFormat="1" applyFont="1" applyBorder="1" applyProtection="1">
      <protection locked="0"/>
    </xf>
    <xf numFmtId="0" fontId="5" fillId="0" borderId="2" xfId="0" applyFont="1" applyBorder="1" applyAlignment="1" applyProtection="1">
      <alignment horizontal="center"/>
      <protection locked="0"/>
    </xf>
    <xf numFmtId="8" fontId="5" fillId="0" borderId="2" xfId="0" applyNumberFormat="1" applyFont="1" applyBorder="1" applyProtection="1">
      <protection locked="0"/>
    </xf>
    <xf numFmtId="8" fontId="5" fillId="0" borderId="7" xfId="0" applyNumberFormat="1" applyFont="1" applyBorder="1" applyProtection="1">
      <protection locked="0"/>
    </xf>
    <xf numFmtId="8" fontId="5" fillId="0" borderId="13" xfId="0" applyNumberFormat="1" applyFont="1" applyBorder="1" applyProtection="1">
      <protection locked="0"/>
    </xf>
    <xf numFmtId="8" fontId="5" fillId="0" borderId="2" xfId="0" applyNumberFormat="1" applyFont="1" applyBorder="1" applyAlignment="1" applyProtection="1">
      <alignment horizontal="center"/>
      <protection locked="0"/>
    </xf>
    <xf numFmtId="0" fontId="11" fillId="0" borderId="6" xfId="0" applyFont="1" applyBorder="1" applyAlignment="1">
      <alignment vertical="top"/>
    </xf>
    <xf numFmtId="0" fontId="0" fillId="0" borderId="11" xfId="0" applyBorder="1"/>
    <xf numFmtId="0" fontId="0" fillId="0" borderId="4" xfId="1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8" xfId="0" applyFill="1" applyBorder="1" applyAlignment="1" applyProtection="1">
      <alignment horizontal="center"/>
      <protection hidden="1"/>
    </xf>
    <xf numFmtId="0" fontId="0" fillId="4" borderId="8" xfId="0" applyFill="1" applyBorder="1" applyProtection="1">
      <protection hidden="1"/>
    </xf>
    <xf numFmtId="0" fontId="0" fillId="7" borderId="8" xfId="0" applyFill="1" applyBorder="1" applyAlignment="1" applyProtection="1">
      <alignment horizontal="center"/>
      <protection hidden="1"/>
    </xf>
    <xf numFmtId="0" fontId="0" fillId="7" borderId="8" xfId="0" applyFill="1" applyBorder="1" applyProtection="1">
      <protection hidden="1"/>
    </xf>
    <xf numFmtId="8" fontId="0" fillId="7" borderId="8" xfId="0" applyNumberFormat="1" applyFill="1" applyBorder="1"/>
    <xf numFmtId="8" fontId="2" fillId="5" borderId="12" xfId="0" applyNumberFormat="1" applyFont="1" applyFill="1" applyBorder="1" applyProtection="1">
      <protection locked="0"/>
    </xf>
    <xf numFmtId="8" fontId="2" fillId="7" borderId="12" xfId="0" applyNumberFormat="1" applyFont="1" applyFill="1" applyBorder="1" applyProtection="1">
      <protection locked="0"/>
    </xf>
    <xf numFmtId="0" fontId="2" fillId="8" borderId="12" xfId="0" applyFont="1" applyFill="1" applyBorder="1" applyProtection="1">
      <protection locked="0"/>
    </xf>
    <xf numFmtId="0" fontId="0" fillId="5" borderId="7" xfId="0" applyFill="1" applyBorder="1" applyAlignment="1">
      <alignment horizontal="center"/>
    </xf>
    <xf numFmtId="0" fontId="0" fillId="3" borderId="7" xfId="1" applyFont="1" applyBorder="1" applyAlignment="1" applyProtection="1">
      <alignment horizontal="center"/>
      <protection hidden="1"/>
    </xf>
    <xf numFmtId="0" fontId="0" fillId="4" borderId="7" xfId="0" applyFill="1" applyBorder="1" applyAlignment="1" applyProtection="1">
      <alignment horizontal="center"/>
      <protection hidden="1"/>
    </xf>
    <xf numFmtId="0" fontId="0" fillId="4" borderId="7" xfId="0" applyFill="1" applyBorder="1" applyProtection="1">
      <protection hidden="1"/>
    </xf>
    <xf numFmtId="0" fontId="0" fillId="7" borderId="7" xfId="0" applyFill="1" applyBorder="1" applyAlignment="1" applyProtection="1">
      <alignment horizontal="center"/>
      <protection hidden="1"/>
    </xf>
    <xf numFmtId="0" fontId="0" fillId="7" borderId="7" xfId="0" applyFill="1" applyBorder="1" applyProtection="1">
      <protection hidden="1"/>
    </xf>
    <xf numFmtId="6" fontId="0" fillId="6" borderId="7" xfId="1" applyNumberFormat="1" applyFont="1" applyFill="1" applyBorder="1" applyAlignment="1" applyProtection="1">
      <alignment horizontal="center"/>
      <protection hidden="1"/>
    </xf>
    <xf numFmtId="8" fontId="0" fillId="7" borderId="7" xfId="1" applyNumberFormat="1" applyFont="1" applyFill="1" applyBorder="1" applyAlignment="1" applyProtection="1">
      <alignment horizontal="center"/>
      <protection hidden="1"/>
    </xf>
    <xf numFmtId="8" fontId="0" fillId="7" borderId="7" xfId="0" applyNumberFormat="1" applyFill="1" applyBorder="1"/>
    <xf numFmtId="164" fontId="2" fillId="6" borderId="7" xfId="0" applyNumberFormat="1" applyFont="1" applyFill="1" applyBorder="1" applyProtection="1">
      <protection locked="0"/>
    </xf>
    <xf numFmtId="9" fontId="2" fillId="0" borderId="7" xfId="0" applyNumberFormat="1" applyFont="1" applyBorder="1" applyProtection="1">
      <protection locked="0"/>
    </xf>
    <xf numFmtId="0" fontId="2" fillId="5" borderId="7" xfId="0" applyFont="1" applyFill="1" applyBorder="1" applyProtection="1">
      <protection locked="0"/>
    </xf>
    <xf numFmtId="0" fontId="0" fillId="0" borderId="1" xfId="0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8" fontId="0" fillId="0" borderId="1" xfId="0" applyNumberFormat="1" applyBorder="1"/>
    <xf numFmtId="0" fontId="0" fillId="8" borderId="0" xfId="0" applyFill="1"/>
    <xf numFmtId="8" fontId="0" fillId="5" borderId="0" xfId="0" applyNumberFormat="1" applyFill="1"/>
    <xf numFmtId="0" fontId="13" fillId="0" borderId="0" xfId="0" applyFont="1"/>
    <xf numFmtId="0" fontId="0" fillId="5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1" fillId="0" borderId="4" xfId="0" applyFont="1" applyBorder="1" applyAlignment="1">
      <alignment vertical="top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1"/>
    </xf>
    <xf numFmtId="0" fontId="0" fillId="0" borderId="4" xfId="0" applyBorder="1"/>
    <xf numFmtId="0" fontId="4" fillId="0" borderId="5" xfId="0" applyFont="1" applyBorder="1"/>
    <xf numFmtId="0" fontId="0" fillId="0" borderId="10" xfId="0" applyBorder="1"/>
    <xf numFmtId="0" fontId="0" fillId="0" borderId="14" xfId="0" applyBorder="1"/>
    <xf numFmtId="8" fontId="0" fillId="0" borderId="15" xfId="0" applyNumberFormat="1" applyBorder="1"/>
    <xf numFmtId="0" fontId="0" fillId="0" borderId="15" xfId="0" applyBorder="1"/>
    <xf numFmtId="0" fontId="0" fillId="0" borderId="2" xfId="0" applyBorder="1"/>
    <xf numFmtId="0" fontId="0" fillId="0" borderId="3" xfId="0" applyBorder="1"/>
    <xf numFmtId="8" fontId="0" fillId="0" borderId="13" xfId="0" applyNumberFormat="1" applyBorder="1"/>
    <xf numFmtId="0" fontId="1" fillId="0" borderId="11" xfId="0" applyFont="1" applyBorder="1" applyAlignment="1">
      <alignment vertical="top"/>
    </xf>
    <xf numFmtId="0" fontId="4" fillId="0" borderId="11" xfId="0" applyFont="1" applyBorder="1" applyAlignment="1" applyProtection="1">
      <alignment vertical="top"/>
      <protection locked="0"/>
    </xf>
    <xf numFmtId="0" fontId="16" fillId="0" borderId="0" xfId="0" applyFont="1" applyAlignment="1">
      <alignment vertical="center"/>
    </xf>
    <xf numFmtId="0" fontId="15" fillId="0" borderId="0" xfId="0" applyFont="1"/>
    <xf numFmtId="0" fontId="0" fillId="0" borderId="0" xfId="0" applyAlignment="1">
      <alignment wrapText="1"/>
    </xf>
    <xf numFmtId="0" fontId="0" fillId="6" borderId="0" xfId="0" applyFill="1"/>
    <xf numFmtId="0" fontId="0" fillId="5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/>
    <xf numFmtId="44" fontId="0" fillId="7" borderId="0" xfId="0" applyNumberFormat="1" applyFill="1"/>
    <xf numFmtId="9" fontId="0" fillId="0" borderId="0" xfId="0" applyNumberFormat="1"/>
    <xf numFmtId="44" fontId="0" fillId="0" borderId="0" xfId="0" applyNumberFormat="1"/>
    <xf numFmtId="44" fontId="0" fillId="0" borderId="0" xfId="2" applyFont="1"/>
    <xf numFmtId="0" fontId="1" fillId="0" borderId="0" xfId="0" applyFont="1" applyAlignment="1">
      <alignment vertical="top"/>
    </xf>
    <xf numFmtId="0" fontId="2" fillId="0" borderId="1" xfId="0" applyFont="1" applyBorder="1" applyAlignment="1" applyProtection="1">
      <alignment wrapText="1"/>
      <protection locked="0"/>
    </xf>
    <xf numFmtId="0" fontId="3" fillId="2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8" fontId="2" fillId="10" borderId="0" xfId="1" applyNumberFormat="1" applyFont="1" applyFill="1" applyBorder="1" applyAlignment="1">
      <alignment horizontal="center"/>
    </xf>
    <xf numFmtId="0" fontId="0" fillId="0" borderId="5" xfId="0" applyBorder="1"/>
    <xf numFmtId="0" fontId="0" fillId="0" borderId="13" xfId="0" applyBorder="1"/>
    <xf numFmtId="0" fontId="0" fillId="0" borderId="15" xfId="0" applyBorder="1" applyAlignment="1">
      <alignment horizontal="right"/>
    </xf>
    <xf numFmtId="8" fontId="0" fillId="0" borderId="13" xfId="0" applyNumberFormat="1" applyBorder="1" applyAlignment="1">
      <alignment horizontal="right"/>
    </xf>
    <xf numFmtId="0" fontId="0" fillId="0" borderId="12" xfId="0" applyBorder="1"/>
    <xf numFmtId="164" fontId="0" fillId="7" borderId="12" xfId="0" applyNumberFormat="1" applyFill="1" applyBorder="1"/>
    <xf numFmtId="0" fontId="0" fillId="0" borderId="12" xfId="0" applyBorder="1" applyAlignment="1">
      <alignment horizontal="center"/>
    </xf>
    <xf numFmtId="0" fontId="2" fillId="0" borderId="15" xfId="0" applyFont="1" applyBorder="1" applyProtection="1">
      <protection locked="0"/>
    </xf>
    <xf numFmtId="0" fontId="2" fillId="0" borderId="15" xfId="0" applyFont="1" applyBorder="1"/>
    <xf numFmtId="0" fontId="2" fillId="0" borderId="3" xfId="0" applyFont="1" applyBorder="1"/>
    <xf numFmtId="0" fontId="2" fillId="0" borderId="13" xfId="0" applyFont="1" applyBorder="1"/>
    <xf numFmtId="9" fontId="2" fillId="0" borderId="5" xfId="0" applyNumberFormat="1" applyFont="1" applyBorder="1" applyAlignment="1" applyProtection="1">
      <alignment horizontal="center"/>
      <protection locked="0"/>
    </xf>
    <xf numFmtId="8" fontId="2" fillId="0" borderId="5" xfId="0" applyNumberFormat="1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8" fontId="2" fillId="7" borderId="3" xfId="0" applyNumberFormat="1" applyFont="1" applyFill="1" applyBorder="1"/>
    <xf numFmtId="0" fontId="13" fillId="0" borderId="14" xfId="0" applyFont="1" applyBorder="1"/>
    <xf numFmtId="0" fontId="13" fillId="0" borderId="15" xfId="0" applyFont="1" applyBorder="1"/>
    <xf numFmtId="0" fontId="5" fillId="0" borderId="4" xfId="0" applyFont="1" applyBorder="1"/>
    <xf numFmtId="164" fontId="18" fillId="10" borderId="0" xfId="0" applyNumberFormat="1" applyFont="1" applyFill="1"/>
    <xf numFmtId="0" fontId="1" fillId="13" borderId="3" xfId="0" applyFont="1" applyFill="1" applyBorder="1" applyAlignment="1">
      <alignment vertical="top"/>
    </xf>
    <xf numFmtId="0" fontId="19" fillId="13" borderId="2" xfId="0" applyFont="1" applyFill="1" applyBorder="1" applyAlignment="1">
      <alignment vertical="top"/>
    </xf>
    <xf numFmtId="0" fontId="20" fillId="13" borderId="3" xfId="0" applyFont="1" applyFill="1" applyBorder="1" applyAlignment="1">
      <alignment vertical="top"/>
    </xf>
    <xf numFmtId="0" fontId="21" fillId="13" borderId="2" xfId="0" applyFont="1" applyFill="1" applyBorder="1" applyAlignment="1">
      <alignment vertical="top"/>
    </xf>
    <xf numFmtId="0" fontId="22" fillId="0" borderId="0" xfId="0" applyFont="1" applyAlignment="1">
      <alignment horizontal="left" vertical="center" indent="1"/>
    </xf>
    <xf numFmtId="0" fontId="0" fillId="5" borderId="14" xfId="0" applyFill="1" applyBorder="1"/>
    <xf numFmtId="8" fontId="0" fillId="5" borderId="15" xfId="0" applyNumberFormat="1" applyFill="1" applyBorder="1"/>
    <xf numFmtId="0" fontId="0" fillId="9" borderId="14" xfId="0" applyFill="1" applyBorder="1"/>
    <xf numFmtId="8" fontId="0" fillId="9" borderId="15" xfId="0" applyNumberFormat="1" applyFill="1" applyBorder="1"/>
    <xf numFmtId="0" fontId="0" fillId="10" borderId="14" xfId="0" applyFill="1" applyBorder="1"/>
    <xf numFmtId="8" fontId="0" fillId="10" borderId="15" xfId="0" applyNumberFormat="1" applyFill="1" applyBorder="1"/>
    <xf numFmtId="0" fontId="0" fillId="11" borderId="14" xfId="0" applyFill="1" applyBorder="1"/>
    <xf numFmtId="8" fontId="0" fillId="11" borderId="15" xfId="0" applyNumberFormat="1" applyFill="1" applyBorder="1"/>
    <xf numFmtId="0" fontId="0" fillId="5" borderId="2" xfId="0" applyFill="1" applyBorder="1"/>
    <xf numFmtId="0" fontId="0" fillId="5" borderId="3" xfId="0" applyFill="1" applyBorder="1"/>
    <xf numFmtId="0" fontId="0" fillId="8" borderId="14" xfId="0" applyFill="1" applyBorder="1"/>
    <xf numFmtId="0" fontId="0" fillId="8" borderId="15" xfId="0" applyFill="1" applyBorder="1"/>
    <xf numFmtId="0" fontId="0" fillId="14" borderId="14" xfId="0" applyFill="1" applyBorder="1"/>
    <xf numFmtId="0" fontId="0" fillId="14" borderId="0" xfId="0" applyFill="1"/>
    <xf numFmtId="0" fontId="0" fillId="14" borderId="15" xfId="0" applyFill="1" applyBorder="1"/>
    <xf numFmtId="0" fontId="0" fillId="15" borderId="14" xfId="0" applyFill="1" applyBorder="1"/>
    <xf numFmtId="0" fontId="0" fillId="15" borderId="0" xfId="0" applyFill="1"/>
    <xf numFmtId="0" fontId="0" fillId="15" borderId="15" xfId="0" applyFill="1" applyBorder="1"/>
    <xf numFmtId="0" fontId="0" fillId="16" borderId="14" xfId="0" applyFill="1" applyBorder="1"/>
    <xf numFmtId="0" fontId="0" fillId="16" borderId="0" xfId="0" applyFill="1"/>
    <xf numFmtId="0" fontId="0" fillId="16" borderId="15" xfId="0" applyFill="1" applyBorder="1"/>
    <xf numFmtId="0" fontId="0" fillId="17" borderId="2" xfId="0" applyFill="1" applyBorder="1"/>
    <xf numFmtId="0" fontId="0" fillId="17" borderId="3" xfId="0" applyFill="1" applyBorder="1"/>
    <xf numFmtId="0" fontId="0" fillId="17" borderId="13" xfId="0" applyFill="1" applyBorder="1"/>
    <xf numFmtId="0" fontId="0" fillId="0" borderId="1" xfId="0" applyBorder="1" applyAlignment="1">
      <alignment wrapText="1"/>
    </xf>
    <xf numFmtId="8" fontId="5" fillId="7" borderId="1" xfId="1" applyNumberFormat="1" applyFont="1" applyFill="1" applyBorder="1" applyAlignment="1">
      <alignment horizontal="center"/>
    </xf>
    <xf numFmtId="8" fontId="5" fillId="7" borderId="1" xfId="0" applyNumberFormat="1" applyFont="1" applyFill="1" applyBorder="1"/>
    <xf numFmtId="8" fontId="5" fillId="7" borderId="1" xfId="0" applyNumberFormat="1" applyFont="1" applyFill="1" applyBorder="1" applyProtection="1">
      <protection locked="0"/>
    </xf>
    <xf numFmtId="0" fontId="5" fillId="0" borderId="1" xfId="0" applyFont="1" applyBorder="1"/>
    <xf numFmtId="0" fontId="0" fillId="8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3" xfId="0" applyFill="1" applyBorder="1" applyAlignment="1">
      <alignment horizontal="center"/>
    </xf>
    <xf numFmtId="164" fontId="0" fillId="7" borderId="0" xfId="0" applyNumberFormat="1" applyFill="1"/>
    <xf numFmtId="164" fontId="0" fillId="5" borderId="0" xfId="0" applyNumberFormat="1" applyFill="1"/>
    <xf numFmtId="164" fontId="0" fillId="12" borderId="0" xfId="0" applyNumberFormat="1" applyFill="1" applyAlignment="1">
      <alignment horizontal="center"/>
    </xf>
    <xf numFmtId="164" fontId="0" fillId="12" borderId="0" xfId="0" applyNumberFormat="1" applyFill="1"/>
    <xf numFmtId="3" fontId="0" fillId="0" borderId="0" xfId="0" applyNumberFormat="1"/>
    <xf numFmtId="0" fontId="0" fillId="0" borderId="19" xfId="0" applyBorder="1" applyAlignment="1">
      <alignment horizontal="center"/>
    </xf>
    <xf numFmtId="165" fontId="0" fillId="0" borderId="20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21" xfId="0" applyNumberFormat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44" fontId="0" fillId="6" borderId="1" xfId="0" applyNumberFormat="1" applyFill="1" applyBorder="1"/>
    <xf numFmtId="44" fontId="0" fillId="6" borderId="1" xfId="2" applyFont="1" applyFill="1" applyBorder="1"/>
    <xf numFmtId="0" fontId="0" fillId="5" borderId="1" xfId="0" applyFill="1" applyBorder="1"/>
    <xf numFmtId="0" fontId="0" fillId="0" borderId="0" xfId="2" applyNumberFormat="1" applyFont="1"/>
    <xf numFmtId="44" fontId="0" fillId="5" borderId="0" xfId="0" applyNumberFormat="1" applyFill="1"/>
    <xf numFmtId="0" fontId="0" fillId="0" borderId="1" xfId="0" applyBorder="1" applyAlignment="1">
      <alignment horizontal="left"/>
    </xf>
    <xf numFmtId="8" fontId="0" fillId="0" borderId="15" xfId="0" applyNumberFormat="1" applyBorder="1" applyAlignment="1">
      <alignment horizontal="right"/>
    </xf>
    <xf numFmtId="0" fontId="23" fillId="0" borderId="14" xfId="0" applyFont="1" applyBorder="1"/>
    <xf numFmtId="0" fontId="4" fillId="0" borderId="11" xfId="0" applyFont="1" applyBorder="1" applyAlignment="1" applyProtection="1">
      <alignment horizontal="center" vertical="top"/>
      <protection locked="0"/>
    </xf>
    <xf numFmtId="164" fontId="2" fillId="8" borderId="12" xfId="0" applyNumberFormat="1" applyFont="1" applyFill="1" applyBorder="1" applyProtection="1">
      <protection locked="0"/>
    </xf>
    <xf numFmtId="164" fontId="2" fillId="5" borderId="7" xfId="0" applyNumberFormat="1" applyFont="1" applyFill="1" applyBorder="1" applyProtection="1">
      <protection locked="0"/>
    </xf>
    <xf numFmtId="0" fontId="2" fillId="5" borderId="0" xfId="0" applyFont="1" applyFill="1" applyProtection="1">
      <protection locked="0"/>
    </xf>
    <xf numFmtId="0" fontId="24" fillId="0" borderId="7" xfId="0" applyFont="1" applyBorder="1" applyAlignment="1" applyProtection="1">
      <alignment wrapText="1"/>
      <protection locked="0"/>
    </xf>
    <xf numFmtId="0" fontId="4" fillId="0" borderId="0" xfId="0" applyFont="1"/>
    <xf numFmtId="0" fontId="2" fillId="0" borderId="0" xfId="0" applyFont="1" applyAlignment="1" applyProtection="1">
      <alignment horizontal="left"/>
      <protection locked="0"/>
    </xf>
    <xf numFmtId="0" fontId="14" fillId="0" borderId="0" xfId="0" applyFont="1"/>
    <xf numFmtId="0" fontId="14" fillId="0" borderId="5" xfId="0" applyFont="1" applyBorder="1" applyProtection="1">
      <protection locked="0"/>
    </xf>
    <xf numFmtId="0" fontId="14" fillId="0" borderId="14" xfId="0" applyFont="1" applyBorder="1"/>
    <xf numFmtId="0" fontId="25" fillId="13" borderId="2" xfId="0" applyFont="1" applyFill="1" applyBorder="1" applyAlignment="1">
      <alignment vertical="top"/>
    </xf>
    <xf numFmtId="0" fontId="26" fillId="18" borderId="1" xfId="3" applyBorder="1" applyAlignment="1">
      <alignment horizontal="center"/>
    </xf>
    <xf numFmtId="0" fontId="26" fillId="18" borderId="12" xfId="3" applyBorder="1" applyAlignment="1">
      <alignment horizontal="center"/>
    </xf>
    <xf numFmtId="0" fontId="6" fillId="3" borderId="1" xfId="1" applyBorder="1" applyAlignment="1">
      <alignment horizontal="center"/>
    </xf>
    <xf numFmtId="0" fontId="27" fillId="19" borderId="1" xfId="4" applyBorder="1" applyAlignment="1">
      <alignment horizontal="center"/>
    </xf>
    <xf numFmtId="0" fontId="27" fillId="19" borderId="12" xfId="4" applyBorder="1" applyAlignment="1">
      <alignment horizontal="center"/>
    </xf>
    <xf numFmtId="0" fontId="29" fillId="18" borderId="1" xfId="3" applyFont="1" applyBorder="1" applyAlignment="1">
      <alignment horizontal="center"/>
    </xf>
    <xf numFmtId="0" fontId="29" fillId="18" borderId="0" xfId="3" applyFont="1" applyAlignment="1">
      <alignment horizontal="center"/>
    </xf>
    <xf numFmtId="0" fontId="29" fillId="3" borderId="1" xfId="1" applyFont="1" applyBorder="1" applyAlignment="1">
      <alignment horizontal="center"/>
    </xf>
    <xf numFmtId="0" fontId="29" fillId="19" borderId="1" xfId="4" applyFont="1" applyBorder="1" applyAlignment="1">
      <alignment horizontal="center"/>
    </xf>
    <xf numFmtId="0" fontId="29" fillId="19" borderId="0" xfId="4" applyFont="1" applyAlignment="1">
      <alignment horizontal="center"/>
    </xf>
    <xf numFmtId="8" fontId="29" fillId="7" borderId="1" xfId="3" applyNumberFormat="1" applyFont="1" applyFill="1" applyBorder="1" applyAlignment="1">
      <alignment horizontal="center"/>
    </xf>
    <xf numFmtId="8" fontId="29" fillId="7" borderId="12" xfId="3" applyNumberFormat="1" applyFont="1" applyFill="1" applyBorder="1" applyAlignment="1">
      <alignment horizontal="center"/>
    </xf>
    <xf numFmtId="8" fontId="29" fillId="7" borderId="1" xfId="1" applyNumberFormat="1" applyFont="1" applyFill="1" applyBorder="1" applyAlignment="1">
      <alignment horizontal="center"/>
    </xf>
    <xf numFmtId="8" fontId="29" fillId="7" borderId="1" xfId="4" applyNumberFormat="1" applyFont="1" applyFill="1" applyBorder="1" applyAlignment="1">
      <alignment horizontal="center"/>
    </xf>
    <xf numFmtId="8" fontId="29" fillId="7" borderId="12" xfId="4" applyNumberFormat="1" applyFont="1" applyFill="1" applyBorder="1" applyAlignment="1">
      <alignment horizontal="center"/>
    </xf>
    <xf numFmtId="0" fontId="28" fillId="5" borderId="1" xfId="3" applyFont="1" applyFill="1" applyBorder="1" applyAlignment="1">
      <alignment horizontal="center"/>
    </xf>
    <xf numFmtId="0" fontId="28" fillId="5" borderId="12" xfId="3" applyFont="1" applyFill="1" applyBorder="1" applyAlignment="1">
      <alignment horizontal="center"/>
    </xf>
    <xf numFmtId="0" fontId="28" fillId="5" borderId="1" xfId="1" applyFont="1" applyFill="1" applyBorder="1" applyAlignment="1">
      <alignment horizontal="center"/>
    </xf>
    <xf numFmtId="0" fontId="28" fillId="5" borderId="1" xfId="4" applyFont="1" applyFill="1" applyBorder="1" applyAlignment="1">
      <alignment horizontal="center"/>
    </xf>
    <xf numFmtId="0" fontId="28" fillId="5" borderId="12" xfId="4" applyFont="1" applyFill="1" applyBorder="1" applyAlignment="1">
      <alignment horizontal="center"/>
    </xf>
    <xf numFmtId="0" fontId="14" fillId="0" borderId="4" xfId="0" applyFont="1" applyBorder="1"/>
    <xf numFmtId="8" fontId="22" fillId="0" borderId="10" xfId="0" applyNumberFormat="1" applyFont="1" applyBorder="1"/>
    <xf numFmtId="0" fontId="22" fillId="0" borderId="15" xfId="0" applyFont="1" applyBorder="1"/>
    <xf numFmtId="8" fontId="22" fillId="0" borderId="15" xfId="0" applyNumberFormat="1" applyFont="1" applyBorder="1"/>
    <xf numFmtId="0" fontId="14" fillId="0" borderId="2" xfId="0" applyFont="1" applyBorder="1"/>
    <xf numFmtId="8" fontId="22" fillId="0" borderId="13" xfId="0" applyNumberFormat="1" applyFont="1" applyBorder="1"/>
    <xf numFmtId="0" fontId="14" fillId="0" borderId="0" xfId="0" applyFont="1" applyAlignment="1" applyProtection="1">
      <alignment horizontal="left"/>
      <protection locked="0"/>
    </xf>
    <xf numFmtId="0" fontId="14" fillId="0" borderId="0" xfId="0" applyFont="1" applyProtection="1">
      <protection locked="0"/>
    </xf>
    <xf numFmtId="164" fontId="22" fillId="0" borderId="15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 applyProtection="1">
      <alignment wrapText="1"/>
      <protection locked="0"/>
    </xf>
    <xf numFmtId="0" fontId="2" fillId="4" borderId="1" xfId="0" applyFont="1" applyFill="1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0" fontId="3" fillId="20" borderId="1" xfId="0" applyFont="1" applyFill="1" applyBorder="1" applyAlignment="1">
      <alignment horizontal="center" vertical="top" wrapText="1"/>
    </xf>
    <xf numFmtId="8" fontId="2" fillId="20" borderId="0" xfId="1" applyNumberFormat="1" applyFont="1" applyFill="1" applyBorder="1" applyAlignment="1">
      <alignment horizontal="center"/>
    </xf>
    <xf numFmtId="164" fontId="0" fillId="0" borderId="1" xfId="2" applyNumberFormat="1" applyFont="1" applyBorder="1"/>
    <xf numFmtId="0" fontId="5" fillId="2" borderId="1" xfId="0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/>
    </xf>
    <xf numFmtId="0" fontId="0" fillId="5" borderId="9" xfId="0" applyFill="1" applyBorder="1"/>
    <xf numFmtId="0" fontId="0" fillId="0" borderId="0" xfId="0" applyAlignment="1">
      <alignment horizontal="right"/>
    </xf>
    <xf numFmtId="0" fontId="33" fillId="0" borderId="23" xfId="0" applyFont="1" applyBorder="1" applyAlignment="1">
      <alignment horizontal="center" vertical="center" wrapText="1"/>
    </xf>
    <xf numFmtId="8" fontId="31" fillId="0" borderId="24" xfId="0" applyNumberFormat="1" applyFont="1" applyBorder="1" applyAlignment="1">
      <alignment horizontal="center" vertical="center" wrapText="1"/>
    </xf>
    <xf numFmtId="0" fontId="32" fillId="21" borderId="23" xfId="0" applyFont="1" applyFill="1" applyBorder="1" applyAlignment="1">
      <alignment horizontal="center" vertical="center" wrapText="1"/>
    </xf>
    <xf numFmtId="8" fontId="34" fillId="21" borderId="24" xfId="0" applyNumberFormat="1" applyFont="1" applyFill="1" applyBorder="1" applyAlignment="1">
      <alignment horizontal="center" vertical="center" wrapText="1"/>
    </xf>
    <xf numFmtId="0" fontId="33" fillId="0" borderId="25" xfId="0" applyFont="1" applyBorder="1" applyAlignment="1">
      <alignment horizontal="center" vertical="center" wrapText="1"/>
    </xf>
    <xf numFmtId="8" fontId="31" fillId="0" borderId="26" xfId="0" applyNumberFormat="1" applyFont="1" applyBorder="1" applyAlignment="1">
      <alignment horizontal="center" vertical="center" wrapText="1"/>
    </xf>
    <xf numFmtId="0" fontId="5" fillId="0" borderId="22" xfId="0" applyFont="1" applyBorder="1" applyAlignment="1" applyProtection="1">
      <alignment wrapText="1"/>
      <protection locked="0"/>
    </xf>
    <xf numFmtId="0" fontId="2" fillId="5" borderId="25" xfId="0" applyFont="1" applyFill="1" applyBorder="1" applyProtection="1">
      <protection locked="0"/>
    </xf>
    <xf numFmtId="0" fontId="5" fillId="0" borderId="22" xfId="0" applyFont="1" applyBorder="1" applyProtection="1">
      <protection locked="0"/>
    </xf>
    <xf numFmtId="8" fontId="2" fillId="7" borderId="25" xfId="0" applyNumberFormat="1" applyFont="1" applyFill="1" applyBorder="1" applyProtection="1">
      <protection locked="0"/>
    </xf>
    <xf numFmtId="164" fontId="2" fillId="6" borderId="25" xfId="0" applyNumberFormat="1" applyFont="1" applyFill="1" applyBorder="1" applyProtection="1">
      <protection locked="0"/>
    </xf>
    <xf numFmtId="9" fontId="2" fillId="4" borderId="25" xfId="0" applyNumberFormat="1" applyFont="1" applyFill="1" applyBorder="1" applyAlignment="1" applyProtection="1">
      <alignment horizontal="center"/>
      <protection locked="0"/>
    </xf>
    <xf numFmtId="0" fontId="5" fillId="0" borderId="28" xfId="0" applyFont="1" applyBorder="1" applyAlignment="1" applyProtection="1">
      <alignment wrapText="1"/>
      <protection locked="0"/>
    </xf>
    <xf numFmtId="8" fontId="2" fillId="7" borderId="26" xfId="0" applyNumberFormat="1" applyFont="1" applyFill="1" applyBorder="1" applyProtection="1">
      <protection locked="0"/>
    </xf>
    <xf numFmtId="0" fontId="5" fillId="0" borderId="22" xfId="0" applyFont="1" applyBorder="1" applyAlignment="1" applyProtection="1">
      <alignment horizontal="center"/>
      <protection locked="0"/>
    </xf>
    <xf numFmtId="8" fontId="2" fillId="7" borderId="25" xfId="0" applyNumberFormat="1" applyFont="1" applyFill="1" applyBorder="1" applyAlignment="1" applyProtection="1">
      <alignment horizontal="center"/>
      <protection locked="0"/>
    </xf>
    <xf numFmtId="0" fontId="0" fillId="0" borderId="30" xfId="0" applyBorder="1"/>
    <xf numFmtId="0" fontId="0" fillId="0" borderId="31" xfId="0" applyBorder="1"/>
    <xf numFmtId="0" fontId="0" fillId="0" borderId="33" xfId="0" applyBorder="1"/>
    <xf numFmtId="0" fontId="0" fillId="0" borderId="27" xfId="0" applyBorder="1"/>
    <xf numFmtId="8" fontId="0" fillId="0" borderId="26" xfId="0" applyNumberFormat="1" applyBorder="1"/>
    <xf numFmtId="0" fontId="3" fillId="5" borderId="22" xfId="0" applyFont="1" applyFill="1" applyBorder="1" applyAlignment="1">
      <alignment horizontal="center" vertical="top" wrapText="1"/>
    </xf>
    <xf numFmtId="8" fontId="2" fillId="5" borderId="25" xfId="1" applyNumberFormat="1" applyFont="1" applyFill="1" applyBorder="1" applyAlignment="1">
      <alignment horizontal="center"/>
    </xf>
    <xf numFmtId="0" fontId="5" fillId="5" borderId="22" xfId="0" applyFont="1" applyFill="1" applyBorder="1" applyAlignment="1" applyProtection="1">
      <alignment wrapText="1"/>
      <protection locked="0"/>
    </xf>
    <xf numFmtId="0" fontId="0" fillId="0" borderId="32" xfId="0" applyBorder="1"/>
    <xf numFmtId="0" fontId="5" fillId="0" borderId="24" xfId="0" applyFont="1" applyBorder="1" applyAlignment="1" applyProtection="1">
      <alignment wrapText="1"/>
      <protection locked="0"/>
    </xf>
    <xf numFmtId="0" fontId="4" fillId="0" borderId="4" xfId="0" applyFont="1" applyBorder="1"/>
    <xf numFmtId="0" fontId="14" fillId="0" borderId="30" xfId="0" applyFont="1" applyBorder="1"/>
    <xf numFmtId="0" fontId="2" fillId="0" borderId="31" xfId="0" applyFont="1" applyBorder="1"/>
    <xf numFmtId="8" fontId="22" fillId="0" borderId="32" xfId="0" applyNumberFormat="1" applyFont="1" applyBorder="1"/>
    <xf numFmtId="0" fontId="14" fillId="0" borderId="42" xfId="0" applyFont="1" applyBorder="1"/>
    <xf numFmtId="0" fontId="22" fillId="0" borderId="24" xfId="0" applyFont="1" applyBorder="1"/>
    <xf numFmtId="8" fontId="22" fillId="0" borderId="24" xfId="0" applyNumberFormat="1" applyFont="1" applyBorder="1"/>
    <xf numFmtId="164" fontId="22" fillId="0" borderId="24" xfId="0" applyNumberFormat="1" applyFont="1" applyBorder="1" applyAlignment="1">
      <alignment horizontal="right"/>
    </xf>
    <xf numFmtId="0" fontId="14" fillId="0" borderId="33" xfId="0" applyFont="1" applyBorder="1"/>
    <xf numFmtId="0" fontId="2" fillId="0" borderId="27" xfId="0" applyFont="1" applyBorder="1"/>
    <xf numFmtId="8" fontId="22" fillId="0" borderId="26" xfId="0" applyNumberFormat="1" applyFont="1" applyBorder="1"/>
    <xf numFmtId="0" fontId="4" fillId="0" borderId="31" xfId="0" applyFont="1" applyBorder="1"/>
    <xf numFmtId="0" fontId="0" fillId="0" borderId="42" xfId="0" applyBorder="1"/>
    <xf numFmtId="0" fontId="0" fillId="0" borderId="24" xfId="0" applyBorder="1"/>
    <xf numFmtId="0" fontId="0" fillId="0" borderId="26" xfId="0" applyBorder="1"/>
    <xf numFmtId="8" fontId="0" fillId="0" borderId="24" xfId="0" applyNumberFormat="1" applyBorder="1"/>
    <xf numFmtId="0" fontId="0" fillId="0" borderId="24" xfId="0" applyBorder="1" applyAlignment="1">
      <alignment horizontal="right"/>
    </xf>
    <xf numFmtId="8" fontId="0" fillId="0" borderId="26" xfId="0" applyNumberFormat="1" applyBorder="1" applyAlignment="1">
      <alignment horizontal="right"/>
    </xf>
    <xf numFmtId="0" fontId="35" fillId="0" borderId="42" xfId="0" applyFont="1" applyBorder="1"/>
    <xf numFmtId="0" fontId="35" fillId="0" borderId="4" xfId="0" applyFont="1" applyBorder="1" applyAlignment="1" applyProtection="1">
      <alignment horizontal="left"/>
      <protection locked="0"/>
    </xf>
    <xf numFmtId="8" fontId="36" fillId="7" borderId="1" xfId="1" applyNumberFormat="1" applyFont="1" applyFill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8" fontId="0" fillId="0" borderId="38" xfId="0" applyNumberFormat="1" applyBorder="1" applyAlignment="1">
      <alignment horizontal="right"/>
    </xf>
    <xf numFmtId="0" fontId="0" fillId="0" borderId="39" xfId="0" applyBorder="1"/>
    <xf numFmtId="0" fontId="0" fillId="0" borderId="40" xfId="0" applyBorder="1"/>
    <xf numFmtId="0" fontId="0" fillId="0" borderId="41" xfId="0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30" xfId="0" applyFont="1" applyBorder="1"/>
    <xf numFmtId="0" fontId="5" fillId="0" borderId="31" xfId="0" applyFont="1" applyBorder="1" applyAlignment="1">
      <alignment horizontal="center"/>
    </xf>
    <xf numFmtId="8" fontId="5" fillId="0" borderId="32" xfId="0" applyNumberFormat="1" applyFont="1" applyBorder="1"/>
    <xf numFmtId="0" fontId="5" fillId="0" borderId="42" xfId="0" applyFont="1" applyBorder="1"/>
    <xf numFmtId="0" fontId="5" fillId="0" borderId="24" xfId="0" applyFont="1" applyBorder="1"/>
    <xf numFmtId="164" fontId="5" fillId="0" borderId="24" xfId="0" applyNumberFormat="1" applyFont="1" applyBorder="1"/>
    <xf numFmtId="8" fontId="5" fillId="0" borderId="24" xfId="0" applyNumberFormat="1" applyFont="1" applyBorder="1"/>
    <xf numFmtId="0" fontId="5" fillId="0" borderId="33" xfId="0" applyFont="1" applyBorder="1"/>
    <xf numFmtId="0" fontId="0" fillId="0" borderId="0" xfId="0" applyAlignment="1">
      <alignment vertical="center"/>
    </xf>
    <xf numFmtId="0" fontId="5" fillId="7" borderId="43" xfId="0" applyFont="1" applyFill="1" applyBorder="1" applyAlignment="1">
      <alignment vertical="center" wrapText="1"/>
    </xf>
    <xf numFmtId="0" fontId="30" fillId="0" borderId="47" xfId="0" applyFont="1" applyBorder="1" applyAlignment="1">
      <alignment vertical="center" wrapText="1"/>
    </xf>
    <xf numFmtId="0" fontId="30" fillId="0" borderId="48" xfId="0" applyFont="1" applyBorder="1" applyAlignment="1">
      <alignment vertical="center" wrapText="1"/>
    </xf>
    <xf numFmtId="0" fontId="37" fillId="22" borderId="49" xfId="0" applyFont="1" applyFill="1" applyBorder="1" applyAlignment="1">
      <alignment vertical="center" wrapText="1"/>
    </xf>
    <xf numFmtId="0" fontId="37" fillId="22" borderId="48" xfId="0" applyFont="1" applyFill="1" applyBorder="1" applyAlignment="1">
      <alignment vertical="center" wrapText="1"/>
    </xf>
    <xf numFmtId="0" fontId="30" fillId="0" borderId="46" xfId="0" applyFont="1" applyBorder="1" applyAlignment="1">
      <alignment vertical="center"/>
    </xf>
    <xf numFmtId="0" fontId="30" fillId="0" borderId="48" xfId="0" applyFont="1" applyBorder="1" applyAlignment="1">
      <alignment vertical="center"/>
    </xf>
    <xf numFmtId="0" fontId="38" fillId="23" borderId="48" xfId="0" applyFont="1" applyFill="1" applyBorder="1" applyAlignment="1">
      <alignment vertical="center"/>
    </xf>
    <xf numFmtId="0" fontId="39" fillId="5" borderId="52" xfId="0" applyFont="1" applyFill="1" applyBorder="1" applyAlignment="1">
      <alignment vertical="center" wrapText="1"/>
    </xf>
    <xf numFmtId="0" fontId="0" fillId="5" borderId="25" xfId="0" applyFill="1" applyBorder="1"/>
    <xf numFmtId="8" fontId="38" fillId="7" borderId="53" xfId="0" applyNumberFormat="1" applyFont="1" applyFill="1" applyBorder="1" applyAlignment="1">
      <alignment vertical="center" wrapText="1"/>
    </xf>
    <xf numFmtId="6" fontId="38" fillId="7" borderId="53" xfId="0" applyNumberFormat="1" applyFont="1" applyFill="1" applyBorder="1" applyAlignment="1">
      <alignment vertical="center" wrapText="1"/>
    </xf>
    <xf numFmtId="8" fontId="30" fillId="5" borderId="22" xfId="0" applyNumberFormat="1" applyFont="1" applyFill="1" applyBorder="1"/>
    <xf numFmtId="0" fontId="5" fillId="0" borderId="12" xfId="0" applyFont="1" applyBorder="1" applyAlignment="1" applyProtection="1">
      <alignment wrapText="1"/>
      <protection locked="0"/>
    </xf>
    <xf numFmtId="8" fontId="2" fillId="7" borderId="1" xfId="0" applyNumberFormat="1" applyFont="1" applyFill="1" applyBorder="1" applyAlignment="1">
      <alignment horizontal="center"/>
    </xf>
    <xf numFmtId="8" fontId="2" fillId="0" borderId="3" xfId="0" applyNumberFormat="1" applyFont="1" applyBorder="1" applyProtection="1">
      <protection locked="0"/>
    </xf>
    <xf numFmtId="0" fontId="5" fillId="2" borderId="7" xfId="0" applyFont="1" applyFill="1" applyBorder="1" applyAlignment="1">
      <alignment horizontal="center" vertical="top" wrapText="1"/>
    </xf>
    <xf numFmtId="0" fontId="2" fillId="0" borderId="0" xfId="1" applyFont="1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6" fontId="2" fillId="0" borderId="0" xfId="1" applyNumberFormat="1" applyFont="1" applyFill="1" applyBorder="1" applyAlignment="1" applyProtection="1">
      <alignment horizontal="center"/>
      <protection hidden="1"/>
    </xf>
    <xf numFmtId="8" fontId="2" fillId="0" borderId="0" xfId="1" applyNumberFormat="1" applyFont="1" applyFill="1" applyBorder="1" applyAlignment="1" applyProtection="1">
      <alignment horizontal="center"/>
      <protection hidden="1"/>
    </xf>
    <xf numFmtId="8" fontId="5" fillId="0" borderId="0" xfId="0" applyNumberFormat="1" applyFont="1"/>
    <xf numFmtId="8" fontId="5" fillId="0" borderId="0" xfId="0" applyNumberFormat="1" applyFont="1" applyProtection="1">
      <protection locked="0"/>
    </xf>
    <xf numFmtId="0" fontId="0" fillId="24" borderId="14" xfId="0" applyFill="1" applyBorder="1"/>
    <xf numFmtId="0" fontId="0" fillId="24" borderId="0" xfId="0" applyFill="1" applyAlignment="1">
      <alignment horizontal="center"/>
    </xf>
    <xf numFmtId="0" fontId="0" fillId="24" borderId="0" xfId="0" applyFill="1"/>
    <xf numFmtId="0" fontId="0" fillId="24" borderId="15" xfId="0" applyFill="1" applyBorder="1"/>
    <xf numFmtId="164" fontId="0" fillId="24" borderId="0" xfId="0" applyNumberFormat="1" applyFill="1"/>
    <xf numFmtId="0" fontId="0" fillId="24" borderId="2" xfId="0" applyFill="1" applyBorder="1"/>
    <xf numFmtId="0" fontId="0" fillId="24" borderId="3" xfId="0" applyFill="1" applyBorder="1" applyAlignment="1">
      <alignment horizontal="center"/>
    </xf>
    <xf numFmtId="0" fontId="0" fillId="24" borderId="3" xfId="0" applyFill="1" applyBorder="1"/>
    <xf numFmtId="0" fontId="0" fillId="24" borderId="13" xfId="0" applyFill="1" applyBorder="1"/>
    <xf numFmtId="0" fontId="0" fillId="7" borderId="14" xfId="0" applyFill="1" applyBorder="1"/>
    <xf numFmtId="0" fontId="0" fillId="7" borderId="0" xfId="0" applyFill="1" applyAlignment="1">
      <alignment horizontal="center"/>
    </xf>
    <xf numFmtId="0" fontId="0" fillId="7" borderId="15" xfId="0" applyFill="1" applyBorder="1"/>
    <xf numFmtId="0" fontId="40" fillId="0" borderId="27" xfId="0" applyFont="1" applyBorder="1" applyAlignment="1">
      <alignment horizontal="center"/>
    </xf>
    <xf numFmtId="0" fontId="23" fillId="0" borderId="27" xfId="0" applyFont="1" applyBorder="1" applyAlignment="1">
      <alignment horizontal="right"/>
    </xf>
    <xf numFmtId="0" fontId="23" fillId="0" borderId="26" xfId="0" applyFont="1" applyBorder="1" applyAlignment="1">
      <alignment horizontal="right"/>
    </xf>
    <xf numFmtId="0" fontId="0" fillId="0" borderId="50" xfId="0" applyBorder="1"/>
    <xf numFmtId="0" fontId="4" fillId="0" borderId="54" xfId="0" applyFont="1" applyBorder="1"/>
    <xf numFmtId="0" fontId="0" fillId="0" borderId="54" xfId="0" applyBorder="1"/>
    <xf numFmtId="0" fontId="0" fillId="0" borderId="47" xfId="0" applyBorder="1"/>
    <xf numFmtId="0" fontId="0" fillId="0" borderId="55" xfId="0" applyBorder="1"/>
    <xf numFmtId="0" fontId="0" fillId="0" borderId="49" xfId="0" applyBorder="1"/>
    <xf numFmtId="0" fontId="0" fillId="0" borderId="51" xfId="0" applyBorder="1"/>
    <xf numFmtId="0" fontId="0" fillId="0" borderId="53" xfId="0" applyBorder="1"/>
    <xf numFmtId="0" fontId="0" fillId="0" borderId="48" xfId="0" applyBorder="1"/>
    <xf numFmtId="8" fontId="2" fillId="0" borderId="1" xfId="0" applyNumberFormat="1" applyFont="1" applyBorder="1"/>
    <xf numFmtId="8" fontId="2" fillId="10" borderId="3" xfId="0" applyNumberFormat="1" applyFont="1" applyFill="1" applyBorder="1"/>
    <xf numFmtId="164" fontId="18" fillId="7" borderId="0" xfId="0" applyNumberFormat="1" applyFont="1" applyFill="1"/>
    <xf numFmtId="0" fontId="3" fillId="7" borderId="1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vertical="top"/>
    </xf>
    <xf numFmtId="0" fontId="2" fillId="25" borderId="5" xfId="0" applyFont="1" applyFill="1" applyBorder="1"/>
    <xf numFmtId="0" fontId="2" fillId="25" borderId="5" xfId="0" applyFont="1" applyFill="1" applyBorder="1" applyProtection="1">
      <protection locked="0"/>
    </xf>
    <xf numFmtId="0" fontId="1" fillId="25" borderId="3" xfId="0" applyFont="1" applyFill="1" applyBorder="1" applyAlignment="1">
      <alignment vertical="top"/>
    </xf>
    <xf numFmtId="0" fontId="1" fillId="25" borderId="0" xfId="0" applyFont="1" applyFill="1" applyAlignment="1">
      <alignment vertical="top"/>
    </xf>
    <xf numFmtId="0" fontId="4" fillId="25" borderId="5" xfId="0" applyFont="1" applyFill="1" applyBorder="1" applyAlignment="1" applyProtection="1">
      <alignment vertical="top"/>
      <protection locked="0"/>
    </xf>
    <xf numFmtId="0" fontId="4" fillId="25" borderId="2" xfId="0" applyFont="1" applyFill="1" applyBorder="1" applyAlignment="1">
      <alignment vertical="top"/>
    </xf>
    <xf numFmtId="0" fontId="0" fillId="25" borderId="0" xfId="0" applyFill="1" applyProtection="1">
      <protection locked="0"/>
    </xf>
    <xf numFmtId="0" fontId="40" fillId="0" borderId="0" xfId="0" applyFont="1" applyAlignment="1">
      <alignment horizontal="left"/>
    </xf>
    <xf numFmtId="0" fontId="40" fillId="0" borderId="0" xfId="0" applyFont="1" applyAlignment="1">
      <alignment horizontal="center"/>
    </xf>
    <xf numFmtId="0" fontId="14" fillId="0" borderId="34" xfId="0" applyFont="1" applyBorder="1"/>
    <xf numFmtId="0" fontId="2" fillId="0" borderId="35" xfId="0" applyFont="1" applyBorder="1"/>
    <xf numFmtId="0" fontId="14" fillId="0" borderId="37" xfId="0" applyFont="1" applyBorder="1"/>
    <xf numFmtId="164" fontId="22" fillId="0" borderId="38" xfId="0" applyNumberFormat="1" applyFont="1" applyBorder="1" applyAlignment="1">
      <alignment horizontal="right"/>
    </xf>
    <xf numFmtId="0" fontId="14" fillId="0" borderId="39" xfId="0" applyFont="1" applyBorder="1"/>
    <xf numFmtId="0" fontId="23" fillId="0" borderId="40" xfId="0" applyFont="1" applyBorder="1" applyAlignment="1">
      <alignment horizontal="right"/>
    </xf>
    <xf numFmtId="0" fontId="23" fillId="0" borderId="41" xfId="0" applyFont="1" applyBorder="1" applyAlignment="1">
      <alignment horizontal="right"/>
    </xf>
    <xf numFmtId="8" fontId="22" fillId="0" borderId="38" xfId="0" applyNumberFormat="1" applyFont="1" applyBorder="1" applyAlignment="1">
      <alignment horizontal="right"/>
    </xf>
    <xf numFmtId="8" fontId="22" fillId="0" borderId="36" xfId="0" applyNumberFormat="1" applyFont="1" applyBorder="1" applyAlignment="1">
      <alignment horizontal="right"/>
    </xf>
    <xf numFmtId="0" fontId="22" fillId="0" borderId="38" xfId="0" applyFont="1" applyBorder="1" applyAlignment="1">
      <alignment horizontal="right"/>
    </xf>
    <xf numFmtId="8" fontId="5" fillId="0" borderId="1" xfId="0" applyNumberFormat="1" applyFont="1" applyBorder="1" applyAlignment="1" applyProtection="1">
      <alignment wrapText="1"/>
      <protection locked="0"/>
    </xf>
    <xf numFmtId="8" fontId="2" fillId="0" borderId="3" xfId="0" applyNumberFormat="1" applyFont="1" applyBorder="1"/>
    <xf numFmtId="0" fontId="0" fillId="0" borderId="3" xfId="0" applyBorder="1" applyProtection="1">
      <protection locked="0"/>
    </xf>
    <xf numFmtId="0" fontId="5" fillId="0" borderId="1" xfId="0" applyFont="1" applyBorder="1" applyAlignment="1">
      <alignment horizontal="center"/>
    </xf>
    <xf numFmtId="44" fontId="28" fillId="11" borderId="1" xfId="3" applyNumberFormat="1" applyFont="1" applyFill="1" applyBorder="1"/>
    <xf numFmtId="44" fontId="28" fillId="18" borderId="1" xfId="3" applyNumberFormat="1" applyFont="1" applyBorder="1"/>
    <xf numFmtId="0" fontId="28" fillId="18" borderId="1" xfId="3" applyFont="1" applyBorder="1"/>
    <xf numFmtId="44" fontId="28" fillId="7" borderId="1" xfId="0" applyNumberFormat="1" applyFont="1" applyFill="1" applyBorder="1"/>
    <xf numFmtId="44" fontId="28" fillId="7" borderId="1" xfId="3" applyNumberFormat="1" applyFont="1" applyFill="1" applyBorder="1"/>
    <xf numFmtId="44" fontId="0" fillId="7" borderId="1" xfId="0" applyNumberFormat="1" applyFill="1" applyBorder="1"/>
    <xf numFmtId="44" fontId="0" fillId="0" borderId="1" xfId="0" applyNumberFormat="1" applyBorder="1"/>
    <xf numFmtId="44" fontId="5" fillId="0" borderId="1" xfId="0" applyNumberFormat="1" applyFont="1" applyBorder="1" applyAlignment="1">
      <alignment horizontal="center" wrapText="1"/>
    </xf>
    <xf numFmtId="44" fontId="5" fillId="16" borderId="1" xfId="0" applyNumberFormat="1" applyFont="1" applyFill="1" applyBorder="1" applyAlignment="1">
      <alignment horizontal="center" wrapText="1"/>
    </xf>
    <xf numFmtId="44" fontId="0" fillId="16" borderId="1" xfId="2" applyFont="1" applyFill="1" applyBorder="1"/>
    <xf numFmtId="44" fontId="5" fillId="17" borderId="1" xfId="0" applyNumberFormat="1" applyFont="1" applyFill="1" applyBorder="1" applyAlignment="1">
      <alignment horizontal="center" wrapText="1"/>
    </xf>
    <xf numFmtId="44" fontId="0" fillId="17" borderId="1" xfId="2" applyFont="1" applyFill="1" applyBorder="1"/>
    <xf numFmtId="0" fontId="4" fillId="0" borderId="47" xfId="0" applyFont="1" applyBorder="1"/>
    <xf numFmtId="8" fontId="0" fillId="0" borderId="32" xfId="0" applyNumberFormat="1" applyBorder="1"/>
    <xf numFmtId="0" fontId="2" fillId="0" borderId="42" xfId="0" applyFont="1" applyBorder="1"/>
    <xf numFmtId="164" fontId="2" fillId="0" borderId="24" xfId="0" applyNumberFormat="1" applyFont="1" applyBorder="1"/>
    <xf numFmtId="8" fontId="0" fillId="0" borderId="24" xfId="0" applyNumberFormat="1" applyBorder="1" applyAlignment="1">
      <alignment horizontal="right"/>
    </xf>
    <xf numFmtId="0" fontId="0" fillId="0" borderId="26" xfId="0" applyBorder="1" applyAlignment="1">
      <alignment horizontal="right"/>
    </xf>
    <xf numFmtId="0" fontId="40" fillId="0" borderId="27" xfId="0" applyFont="1" applyBorder="1" applyAlignment="1">
      <alignment horizontal="left"/>
    </xf>
    <xf numFmtId="164" fontId="2" fillId="7" borderId="25" xfId="0" applyNumberFormat="1" applyFont="1" applyFill="1" applyBorder="1" applyProtection="1">
      <protection locked="0"/>
    </xf>
    <xf numFmtId="44" fontId="2" fillId="7" borderId="1" xfId="2" applyFont="1" applyFill="1" applyBorder="1" applyProtection="1">
      <protection locked="0"/>
    </xf>
    <xf numFmtId="44" fontId="22" fillId="0" borderId="24" xfId="0" applyNumberFormat="1" applyFont="1" applyBorder="1"/>
    <xf numFmtId="0" fontId="0" fillId="0" borderId="7" xfId="0" applyBorder="1"/>
    <xf numFmtId="0" fontId="14" fillId="0" borderId="56" xfId="0" applyFont="1" applyBorder="1"/>
    <xf numFmtId="0" fontId="2" fillId="0" borderId="57" xfId="0" applyFont="1" applyBorder="1"/>
    <xf numFmtId="0" fontId="0" fillId="0" borderId="57" xfId="0" applyBorder="1"/>
    <xf numFmtId="8" fontId="22" fillId="0" borderId="58" xfId="0" applyNumberFormat="1" applyFont="1" applyBorder="1"/>
    <xf numFmtId="0" fontId="14" fillId="0" borderId="59" xfId="0" applyFont="1" applyBorder="1"/>
    <xf numFmtId="0" fontId="22" fillId="0" borderId="60" xfId="0" applyFont="1" applyBorder="1"/>
    <xf numFmtId="8" fontId="22" fillId="0" borderId="60" xfId="0" applyNumberFormat="1" applyFont="1" applyBorder="1"/>
    <xf numFmtId="164" fontId="22" fillId="0" borderId="60" xfId="0" applyNumberFormat="1" applyFont="1" applyBorder="1" applyAlignment="1">
      <alignment horizontal="right"/>
    </xf>
    <xf numFmtId="0" fontId="14" fillId="0" borderId="61" xfId="0" applyFont="1" applyBorder="1"/>
    <xf numFmtId="0" fontId="0" fillId="0" borderId="62" xfId="0" applyBorder="1"/>
    <xf numFmtId="0" fontId="23" fillId="0" borderId="63" xfId="0" applyFont="1" applyBorder="1" applyAlignment="1">
      <alignment horizontal="right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3" xfId="0" applyBorder="1"/>
    <xf numFmtId="0" fontId="4" fillId="8" borderId="2" xfId="0" applyFont="1" applyFill="1" applyBorder="1" applyAlignment="1">
      <alignment vertical="top"/>
    </xf>
    <xf numFmtId="0" fontId="1" fillId="8" borderId="3" xfId="0" applyFont="1" applyFill="1" applyBorder="1" applyAlignment="1">
      <alignment vertical="top"/>
    </xf>
    <xf numFmtId="0" fontId="4" fillId="14" borderId="2" xfId="0" applyFont="1" applyFill="1" applyBorder="1" applyAlignment="1">
      <alignment vertical="top"/>
    </xf>
    <xf numFmtId="0" fontId="1" fillId="14" borderId="3" xfId="0" applyFont="1" applyFill="1" applyBorder="1" applyAlignment="1">
      <alignment vertical="top"/>
    </xf>
    <xf numFmtId="164" fontId="0" fillId="7" borderId="1" xfId="2" applyNumberFormat="1" applyFont="1" applyFill="1" applyBorder="1"/>
    <xf numFmtId="0" fontId="5" fillId="0" borderId="12" xfId="0" applyFont="1" applyBorder="1" applyAlignment="1" applyProtection="1">
      <alignment horizontal="center" wrapText="1"/>
      <protection locked="0"/>
    </xf>
    <xf numFmtId="0" fontId="3" fillId="0" borderId="12" xfId="0" applyFont="1" applyBorder="1" applyAlignment="1">
      <alignment horizontal="center" vertical="top" wrapText="1"/>
    </xf>
    <xf numFmtId="0" fontId="2" fillId="7" borderId="1" xfId="1" applyNumberFormat="1" applyFont="1" applyFill="1" applyBorder="1" applyAlignment="1">
      <alignment horizontal="center"/>
    </xf>
    <xf numFmtId="44" fontId="22" fillId="0" borderId="24" xfId="2" applyFont="1" applyBorder="1" applyAlignment="1">
      <alignment horizontal="right"/>
    </xf>
    <xf numFmtId="44" fontId="0" fillId="7" borderId="1" xfId="2" applyFont="1" applyFill="1" applyBorder="1" applyAlignment="1">
      <alignment wrapText="1"/>
    </xf>
    <xf numFmtId="164" fontId="0" fillId="0" borderId="32" xfId="2" applyNumberFormat="1" applyFont="1" applyBorder="1"/>
    <xf numFmtId="0" fontId="25" fillId="26" borderId="2" xfId="0" applyFont="1" applyFill="1" applyBorder="1" applyAlignment="1">
      <alignment vertical="top"/>
    </xf>
    <xf numFmtId="0" fontId="1" fillId="26" borderId="3" xfId="0" applyFont="1" applyFill="1" applyBorder="1" applyAlignment="1">
      <alignment vertical="top"/>
    </xf>
    <xf numFmtId="164" fontId="2" fillId="0" borderId="0" xfId="2" applyNumberFormat="1" applyFont="1"/>
    <xf numFmtId="8" fontId="2" fillId="0" borderId="0" xfId="0" applyNumberFormat="1" applyFont="1"/>
    <xf numFmtId="0" fontId="5" fillId="7" borderId="1" xfId="0" applyFont="1" applyFill="1" applyBorder="1" applyAlignment="1" applyProtection="1">
      <alignment wrapText="1"/>
      <protection locked="0"/>
    </xf>
    <xf numFmtId="164" fontId="2" fillId="7" borderId="0" xfId="0" applyNumberFormat="1" applyFont="1" applyFill="1" applyProtection="1">
      <protection locked="0"/>
    </xf>
    <xf numFmtId="0" fontId="5" fillId="0" borderId="27" xfId="0" applyFont="1" applyBorder="1" applyAlignment="1">
      <alignment horizontal="right"/>
    </xf>
    <xf numFmtId="0" fontId="5" fillId="0" borderId="26" xfId="0" applyFont="1" applyBorder="1" applyAlignment="1">
      <alignment horizontal="right"/>
    </xf>
    <xf numFmtId="0" fontId="9" fillId="0" borderId="0" xfId="0" applyFont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3" fillId="0" borderId="27" xfId="0" applyFont="1" applyBorder="1" applyAlignment="1">
      <alignment horizontal="right"/>
    </xf>
    <xf numFmtId="0" fontId="23" fillId="0" borderId="26" xfId="0" applyFont="1" applyBorder="1" applyAlignment="1">
      <alignment horizontal="right"/>
    </xf>
    <xf numFmtId="0" fontId="40" fillId="0" borderId="27" xfId="0" applyFont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42" fillId="0" borderId="5" xfId="0" applyFont="1" applyBorder="1" applyAlignment="1">
      <alignment horizontal="center"/>
    </xf>
    <xf numFmtId="0" fontId="44" fillId="0" borderId="27" xfId="0" applyFont="1" applyBorder="1" applyAlignment="1">
      <alignment horizontal="center"/>
    </xf>
    <xf numFmtId="0" fontId="43" fillId="0" borderId="27" xfId="0" applyFont="1" applyBorder="1" applyAlignment="1">
      <alignment horizontal="center"/>
    </xf>
    <xf numFmtId="0" fontId="38" fillId="7" borderId="50" xfId="0" applyFont="1" applyFill="1" applyBorder="1" applyAlignment="1">
      <alignment vertical="center" wrapText="1"/>
    </xf>
    <xf numFmtId="0" fontId="38" fillId="7" borderId="51" xfId="0" applyFont="1" applyFill="1" applyBorder="1" applyAlignment="1">
      <alignment vertical="center" wrapText="1"/>
    </xf>
    <xf numFmtId="0" fontId="24" fillId="22" borderId="44" xfId="0" applyFont="1" applyFill="1" applyBorder="1" applyAlignment="1">
      <alignment vertical="center"/>
    </xf>
    <xf numFmtId="0" fontId="24" fillId="22" borderId="43" xfId="0" applyFont="1" applyFill="1" applyBorder="1" applyAlignment="1">
      <alignment vertical="center"/>
    </xf>
    <xf numFmtId="0" fontId="30" fillId="0" borderId="45" xfId="0" applyFont="1" applyBorder="1" applyAlignment="1">
      <alignment vertical="center" wrapText="1"/>
    </xf>
    <xf numFmtId="0" fontId="30" fillId="0" borderId="46" xfId="0" applyFont="1" applyBorder="1" applyAlignment="1">
      <alignment vertical="center" wrapText="1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28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46" fillId="14" borderId="0" xfId="0" applyFont="1" applyFill="1" applyAlignment="1">
      <alignment horizontal="center"/>
    </xf>
    <xf numFmtId="0" fontId="5" fillId="0" borderId="17" xfId="0" applyFont="1" applyBorder="1" applyAlignment="1">
      <alignment horizontal="center"/>
    </xf>
    <xf numFmtId="0" fontId="45" fillId="0" borderId="5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41" fillId="0" borderId="56" xfId="0" applyFont="1" applyBorder="1" applyAlignment="1">
      <alignment horizontal="center"/>
    </xf>
    <xf numFmtId="0" fontId="41" fillId="0" borderId="57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0" fillId="0" borderId="40" xfId="0" applyFont="1" applyBorder="1" applyAlignment="1">
      <alignment horizontal="center"/>
    </xf>
  </cellXfs>
  <cellStyles count="5">
    <cellStyle name="Accent1" xfId="4" builtinId="29"/>
    <cellStyle name="Currency" xfId="2" builtinId="4"/>
    <cellStyle name="Good" xfId="3" builtinId="26"/>
    <cellStyle name="Neutral" xfId="1" builtinId="28"/>
    <cellStyle name="Normal" xfId="0" builtinId="0"/>
  </cellStyles>
  <dxfs count="88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576261</xdr:colOff>
      <xdr:row>18</xdr:row>
      <xdr:rowOff>23811</xdr:rowOff>
    </xdr:from>
    <xdr:to>
      <xdr:col>23</xdr:col>
      <xdr:colOff>676274</xdr:colOff>
      <xdr:row>29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FAB833-1898-ACBC-F1DE-E432351F90B1}"/>
            </a:ext>
          </a:extLst>
        </xdr:cNvPr>
        <xdr:cNvSpPr txBox="1"/>
      </xdr:nvSpPr>
      <xdr:spPr>
        <a:xfrm>
          <a:off x="10396536" y="4224336"/>
          <a:ext cx="5414963" cy="20716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Ultrasonic pricing will be as follows: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=n7,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Listed Pc. 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Pcs. = $449.50 Lot Charge.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$125.00 Technique generation Fee. (one-time, non-recurring) (100% Coverage)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$11.00 Environmental Fee.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$535.50 Total.</a:t>
          </a:r>
        </a:p>
        <a:p>
          <a:pPr lvl="0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4-5 Business Day Standard Lead time.</a:t>
          </a:r>
        </a:p>
        <a:p>
          <a:pPr lvl="0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Drawing Required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Please do not hesitate to reach out if you have any questions.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Have a great day</a:t>
          </a:r>
        </a:p>
        <a:p>
          <a:r>
            <a:rPr lang="en-US" sz="1100"/>
            <a:t>=n7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19</xdr:row>
      <xdr:rowOff>180976</xdr:rowOff>
    </xdr:from>
    <xdr:to>
      <xdr:col>11</xdr:col>
      <xdr:colOff>38100</xdr:colOff>
      <xdr:row>21</xdr:row>
      <xdr:rowOff>161926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030710-690F-7C7A-B644-2CE8B7FFFF1A}"/>
            </a:ext>
          </a:extLst>
        </xdr:cNvPr>
        <xdr:cNvSpPr txBox="1"/>
      </xdr:nvSpPr>
      <xdr:spPr>
        <a:xfrm>
          <a:off x="1209675" y="3800476"/>
          <a:ext cx="8410575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ROUND BAR WEIGHT AND PRICE CALCULATOR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11206</xdr:colOff>
      <xdr:row>31</xdr:row>
      <xdr:rowOff>11207</xdr:rowOff>
    </xdr:from>
    <xdr:to>
      <xdr:col>23</xdr:col>
      <xdr:colOff>0</xdr:colOff>
      <xdr:row>32</xdr:row>
      <xdr:rowOff>168089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21E546-34A2-BC7B-C798-CD8337FAF576}"/>
            </a:ext>
          </a:extLst>
        </xdr:cNvPr>
        <xdr:cNvSpPr txBox="1"/>
      </xdr:nvSpPr>
      <xdr:spPr>
        <a:xfrm>
          <a:off x="11945471" y="8113060"/>
          <a:ext cx="6499411" cy="347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TITANIUM CALCULATIONS</a:t>
          </a:r>
        </a:p>
      </xdr:txBody>
    </xdr:sp>
    <xdr:clientData/>
  </xdr:twoCellAnchor>
  <xdr:twoCellAnchor>
    <xdr:from>
      <xdr:col>0</xdr:col>
      <xdr:colOff>22412</xdr:colOff>
      <xdr:row>30</xdr:row>
      <xdr:rowOff>134471</xdr:rowOff>
    </xdr:from>
    <xdr:to>
      <xdr:col>6</xdr:col>
      <xdr:colOff>1389529</xdr:colOff>
      <xdr:row>33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64BF94-C390-EBF0-A656-016F37FD7DB0}"/>
            </a:ext>
          </a:extLst>
        </xdr:cNvPr>
        <xdr:cNvSpPr txBox="1"/>
      </xdr:nvSpPr>
      <xdr:spPr>
        <a:xfrm>
          <a:off x="22412" y="8045824"/>
          <a:ext cx="6308911" cy="437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STAINLESS</a:t>
          </a:r>
          <a:r>
            <a:rPr lang="en-US" sz="2400" b="1" baseline="0"/>
            <a:t> STEEL CALCULATIONS</a:t>
          </a:r>
          <a:endParaRPr lang="en-US" sz="2400" b="1"/>
        </a:p>
      </xdr:txBody>
    </xdr:sp>
    <xdr:clientData/>
  </xdr:twoCellAnchor>
  <xdr:twoCellAnchor>
    <xdr:from>
      <xdr:col>0</xdr:col>
      <xdr:colOff>600075</xdr:colOff>
      <xdr:row>45</xdr:row>
      <xdr:rowOff>180976</xdr:rowOff>
    </xdr:from>
    <xdr:to>
      <xdr:col>9</xdr:col>
      <xdr:colOff>38100</xdr:colOff>
      <xdr:row>47</xdr:row>
      <xdr:rowOff>161926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8020735-4E43-46B9-B0D5-0043C2037C01}"/>
            </a:ext>
          </a:extLst>
        </xdr:cNvPr>
        <xdr:cNvSpPr txBox="1"/>
      </xdr:nvSpPr>
      <xdr:spPr>
        <a:xfrm>
          <a:off x="1209675" y="3800476"/>
          <a:ext cx="8410575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ROUND BAR WEIGHT AND PRICE CALCULATOR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11206</xdr:colOff>
      <xdr:row>22</xdr:row>
      <xdr:rowOff>11207</xdr:rowOff>
    </xdr:from>
    <xdr:to>
      <xdr:col>24</xdr:col>
      <xdr:colOff>0</xdr:colOff>
      <xdr:row>23</xdr:row>
      <xdr:rowOff>168089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007047-355E-4028-AA68-7FFD1B20FF6E}"/>
            </a:ext>
          </a:extLst>
        </xdr:cNvPr>
        <xdr:cNvSpPr txBox="1"/>
      </xdr:nvSpPr>
      <xdr:spPr>
        <a:xfrm>
          <a:off x="12003181" y="8107457"/>
          <a:ext cx="6503894" cy="347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NICKEL ALLOYS CALCULATIONS</a:t>
          </a:r>
        </a:p>
      </xdr:txBody>
    </xdr:sp>
    <xdr:clientData/>
  </xdr:twoCellAnchor>
  <xdr:twoCellAnchor>
    <xdr:from>
      <xdr:col>0</xdr:col>
      <xdr:colOff>22412</xdr:colOff>
      <xdr:row>21</xdr:row>
      <xdr:rowOff>134471</xdr:rowOff>
    </xdr:from>
    <xdr:to>
      <xdr:col>6</xdr:col>
      <xdr:colOff>1389529</xdr:colOff>
      <xdr:row>24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F60BC9-FE57-4294-96E4-9DE7875FBD2D}"/>
            </a:ext>
          </a:extLst>
        </xdr:cNvPr>
        <xdr:cNvSpPr txBox="1"/>
      </xdr:nvSpPr>
      <xdr:spPr>
        <a:xfrm>
          <a:off x="22412" y="8040221"/>
          <a:ext cx="6329642" cy="437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STAINLESS</a:t>
          </a:r>
          <a:r>
            <a:rPr lang="en-US" sz="2400" b="1" baseline="0"/>
            <a:t> STEEL CALCULATIONS</a:t>
          </a:r>
          <a:endParaRPr lang="en-US" sz="24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142315</xdr:colOff>
      <xdr:row>0</xdr:row>
      <xdr:rowOff>0</xdr:rowOff>
    </xdr:from>
    <xdr:to>
      <xdr:col>29</xdr:col>
      <xdr:colOff>509307</xdr:colOff>
      <xdr:row>56</xdr:row>
      <xdr:rowOff>73960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61D49F-84E3-38ED-FAE2-356FBC11BA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47" t="9813" r="16576" b="2410"/>
        <a:stretch>
          <a:fillRect/>
        </a:stretch>
      </xdr:blipFill>
      <xdr:spPr>
        <a:xfrm>
          <a:off x="8008844" y="0"/>
          <a:ext cx="8233522" cy="1082040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16</xdr:col>
      <xdr:colOff>118782</xdr:colOff>
      <xdr:row>58</xdr:row>
      <xdr:rowOff>83485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AE466D-F7B3-6C75-315D-C0CC844272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55" t="8114" r="18705" b="942"/>
        <a:stretch>
          <a:fillRect/>
        </a:stretch>
      </xdr:blipFill>
      <xdr:spPr>
        <a:xfrm>
          <a:off x="0" y="0"/>
          <a:ext cx="7985311" cy="11210926"/>
        </a:xfrm>
        <a:prstGeom prst="rect">
          <a:avLst/>
        </a:prstGeom>
      </xdr:spPr>
    </xdr:pic>
    <xdr:clientData/>
  </xdr:twoCellAnchor>
  <xdr:twoCellAnchor editAs="oneCell">
    <xdr:from>
      <xdr:col>29</xdr:col>
      <xdr:colOff>571500</xdr:colOff>
      <xdr:row>0</xdr:row>
      <xdr:rowOff>0</xdr:rowOff>
    </xdr:from>
    <xdr:to>
      <xdr:col>41</xdr:col>
      <xdr:colOff>448235</xdr:colOff>
      <xdr:row>57</xdr:row>
      <xdr:rowOff>112059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6F051DF-291E-4F32-F113-07DB1C6CAD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11" t="8090" r="27151" b="2278"/>
        <a:stretch>
          <a:fillRect/>
        </a:stretch>
      </xdr:blipFill>
      <xdr:spPr>
        <a:xfrm>
          <a:off x="16304559" y="0"/>
          <a:ext cx="7138147" cy="11049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11206</xdr:colOff>
      <xdr:row>27</xdr:row>
      <xdr:rowOff>11207</xdr:rowOff>
    </xdr:from>
    <xdr:to>
      <xdr:col>24</xdr:col>
      <xdr:colOff>0</xdr:colOff>
      <xdr:row>28</xdr:row>
      <xdr:rowOff>168089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C13F2D-BF23-4225-B9E8-84A43572CC8A}"/>
            </a:ext>
          </a:extLst>
        </xdr:cNvPr>
        <xdr:cNvSpPr txBox="1"/>
      </xdr:nvSpPr>
      <xdr:spPr>
        <a:xfrm>
          <a:off x="4352925" y="7535957"/>
          <a:ext cx="3648075" cy="347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NICKEL ALLOYS CALCULATIONS</a:t>
          </a:r>
        </a:p>
      </xdr:txBody>
    </xdr:sp>
    <xdr:clientData/>
  </xdr:twoCellAnchor>
  <xdr:twoCellAnchor>
    <xdr:from>
      <xdr:col>0</xdr:col>
      <xdr:colOff>22412</xdr:colOff>
      <xdr:row>26</xdr:row>
      <xdr:rowOff>134471</xdr:rowOff>
    </xdr:from>
    <xdr:to>
      <xdr:col>6</xdr:col>
      <xdr:colOff>1389529</xdr:colOff>
      <xdr:row>29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99766C-0FFF-4F16-9CC1-5A8CE2A24E33}"/>
            </a:ext>
          </a:extLst>
        </xdr:cNvPr>
        <xdr:cNvSpPr txBox="1"/>
      </xdr:nvSpPr>
      <xdr:spPr>
        <a:xfrm>
          <a:off x="22412" y="7468721"/>
          <a:ext cx="1806388" cy="437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STAINLESS</a:t>
          </a:r>
          <a:r>
            <a:rPr lang="en-US" sz="2400" b="1" baseline="0"/>
            <a:t> STEEL CALCULATIONS</a:t>
          </a:r>
          <a:endParaRPr lang="en-US" sz="2400" b="1"/>
        </a:p>
      </xdr:txBody>
    </xdr:sp>
    <xdr:clientData/>
  </xdr:twoCellAnchor>
  <xdr:twoCellAnchor>
    <xdr:from>
      <xdr:col>27</xdr:col>
      <xdr:colOff>11206</xdr:colOff>
      <xdr:row>27</xdr:row>
      <xdr:rowOff>11207</xdr:rowOff>
    </xdr:from>
    <xdr:to>
      <xdr:col>35</xdr:col>
      <xdr:colOff>0</xdr:colOff>
      <xdr:row>28</xdr:row>
      <xdr:rowOff>168089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DE47B0-E438-41C8-A9E6-8BE5A4EB112F}"/>
            </a:ext>
          </a:extLst>
        </xdr:cNvPr>
        <xdr:cNvSpPr txBox="1"/>
      </xdr:nvSpPr>
      <xdr:spPr>
        <a:xfrm>
          <a:off x="10136281" y="7688357"/>
          <a:ext cx="5503769" cy="347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ALUMINUM ALLOYS CALCULATIONS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11206</xdr:colOff>
      <xdr:row>27</xdr:row>
      <xdr:rowOff>11207</xdr:rowOff>
    </xdr:from>
    <xdr:to>
      <xdr:col>24</xdr:col>
      <xdr:colOff>0</xdr:colOff>
      <xdr:row>28</xdr:row>
      <xdr:rowOff>168089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CF1740-8725-4A03-BABC-E196DDDB2013}"/>
            </a:ext>
          </a:extLst>
        </xdr:cNvPr>
        <xdr:cNvSpPr txBox="1"/>
      </xdr:nvSpPr>
      <xdr:spPr>
        <a:xfrm>
          <a:off x="7526431" y="7535957"/>
          <a:ext cx="4246469" cy="347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NICKEL ALLOYS CALCULATIONS</a:t>
          </a:r>
        </a:p>
      </xdr:txBody>
    </xdr:sp>
    <xdr:clientData/>
  </xdr:twoCellAnchor>
  <xdr:twoCellAnchor>
    <xdr:from>
      <xdr:col>0</xdr:col>
      <xdr:colOff>22412</xdr:colOff>
      <xdr:row>26</xdr:row>
      <xdr:rowOff>134471</xdr:rowOff>
    </xdr:from>
    <xdr:to>
      <xdr:col>6</xdr:col>
      <xdr:colOff>1389529</xdr:colOff>
      <xdr:row>29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EEE49E-D746-49EE-94A4-E5083F8B69A8}"/>
            </a:ext>
          </a:extLst>
        </xdr:cNvPr>
        <xdr:cNvSpPr txBox="1"/>
      </xdr:nvSpPr>
      <xdr:spPr>
        <a:xfrm>
          <a:off x="22412" y="7468721"/>
          <a:ext cx="3748367" cy="437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STAINLESS</a:t>
          </a:r>
          <a:r>
            <a:rPr lang="en-US" sz="2400" b="1" baseline="0"/>
            <a:t> STEEL CALCULATIONS</a:t>
          </a:r>
          <a:endParaRPr lang="en-US" sz="24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26</xdr:row>
      <xdr:rowOff>28576</xdr:rowOff>
    </xdr:from>
    <xdr:to>
      <xdr:col>10</xdr:col>
      <xdr:colOff>38100</xdr:colOff>
      <xdr:row>26</xdr:row>
      <xdr:rowOff>476250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E4296B-FD1D-42FF-B789-6B61BC22ED31}"/>
            </a:ext>
          </a:extLst>
        </xdr:cNvPr>
        <xdr:cNvSpPr txBox="1"/>
      </xdr:nvSpPr>
      <xdr:spPr>
        <a:xfrm>
          <a:off x="600075" y="10610851"/>
          <a:ext cx="7029450" cy="4476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ROUND BAR WEIGHT AND PRICE CALCULATOR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11206</xdr:colOff>
      <xdr:row>28</xdr:row>
      <xdr:rowOff>11207</xdr:rowOff>
    </xdr:from>
    <xdr:to>
      <xdr:col>23</xdr:col>
      <xdr:colOff>0</xdr:colOff>
      <xdr:row>29</xdr:row>
      <xdr:rowOff>168089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060DEF-BB90-4135-8248-1E9FFF620301}"/>
            </a:ext>
          </a:extLst>
        </xdr:cNvPr>
        <xdr:cNvSpPr txBox="1"/>
      </xdr:nvSpPr>
      <xdr:spPr>
        <a:xfrm>
          <a:off x="4461286" y="7897907"/>
          <a:ext cx="6679154" cy="3397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TITANIUM CALCULATIONS</a:t>
          </a:r>
        </a:p>
      </xdr:txBody>
    </xdr:sp>
    <xdr:clientData/>
  </xdr:twoCellAnchor>
  <xdr:twoCellAnchor>
    <xdr:from>
      <xdr:col>0</xdr:col>
      <xdr:colOff>22412</xdr:colOff>
      <xdr:row>27</xdr:row>
      <xdr:rowOff>134471</xdr:rowOff>
    </xdr:from>
    <xdr:to>
      <xdr:col>6</xdr:col>
      <xdr:colOff>1389529</xdr:colOff>
      <xdr:row>30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AE4B50-0CC7-445C-A870-78F42F063C0D}"/>
            </a:ext>
          </a:extLst>
        </xdr:cNvPr>
        <xdr:cNvSpPr txBox="1"/>
      </xdr:nvSpPr>
      <xdr:spPr>
        <a:xfrm>
          <a:off x="22412" y="7838291"/>
          <a:ext cx="2415988" cy="4141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STAINLESS</a:t>
          </a:r>
          <a:r>
            <a:rPr lang="en-US" sz="2400" b="1" baseline="0"/>
            <a:t> STEEL CALCULATIONS</a:t>
          </a:r>
          <a:endParaRPr lang="en-US" sz="24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38</xdr:row>
      <xdr:rowOff>28576</xdr:rowOff>
    </xdr:from>
    <xdr:to>
      <xdr:col>10</xdr:col>
      <xdr:colOff>38100</xdr:colOff>
      <xdr:row>38</xdr:row>
      <xdr:rowOff>476250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54DEA5-C152-4262-B8D8-0DD52EDD238A}"/>
            </a:ext>
          </a:extLst>
        </xdr:cNvPr>
        <xdr:cNvSpPr txBox="1"/>
      </xdr:nvSpPr>
      <xdr:spPr>
        <a:xfrm>
          <a:off x="600075" y="11563351"/>
          <a:ext cx="7029450" cy="4476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ROUND BAR WEIGHT AND PRICE CALCULATOR</a:t>
          </a:r>
        </a:p>
      </xdr:txBody>
    </xdr:sp>
    <xdr:clientData/>
  </xdr:twoCellAnchor>
  <xdr:twoCellAnchor>
    <xdr:from>
      <xdr:col>16</xdr:col>
      <xdr:colOff>11206</xdr:colOff>
      <xdr:row>22</xdr:row>
      <xdr:rowOff>11207</xdr:rowOff>
    </xdr:from>
    <xdr:to>
      <xdr:col>24</xdr:col>
      <xdr:colOff>0</xdr:colOff>
      <xdr:row>23</xdr:row>
      <xdr:rowOff>168089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987F6D9-9655-4EBA-824F-FFBB44B37C68}"/>
            </a:ext>
          </a:extLst>
        </xdr:cNvPr>
        <xdr:cNvSpPr txBox="1"/>
      </xdr:nvSpPr>
      <xdr:spPr>
        <a:xfrm>
          <a:off x="11441206" y="7535957"/>
          <a:ext cx="5608544" cy="347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NICKEL ALLOYS CALCULATIONS</a:t>
          </a:r>
        </a:p>
      </xdr:txBody>
    </xdr:sp>
    <xdr:clientData/>
  </xdr:twoCellAnchor>
  <xdr:twoCellAnchor>
    <xdr:from>
      <xdr:col>0</xdr:col>
      <xdr:colOff>22412</xdr:colOff>
      <xdr:row>21</xdr:row>
      <xdr:rowOff>134471</xdr:rowOff>
    </xdr:from>
    <xdr:to>
      <xdr:col>6</xdr:col>
      <xdr:colOff>1389529</xdr:colOff>
      <xdr:row>24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9C29549-1153-4693-9EF2-4A759D7681CE}"/>
            </a:ext>
          </a:extLst>
        </xdr:cNvPr>
        <xdr:cNvSpPr txBox="1"/>
      </xdr:nvSpPr>
      <xdr:spPr>
        <a:xfrm>
          <a:off x="22412" y="7468721"/>
          <a:ext cx="5224742" cy="437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STAINLESS</a:t>
          </a:r>
          <a:r>
            <a:rPr lang="en-US" sz="2400" b="1" baseline="0"/>
            <a:t> STEEL CALCULATIONS</a:t>
          </a:r>
          <a:endParaRPr lang="en-US" sz="24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11206</xdr:colOff>
      <xdr:row>27</xdr:row>
      <xdr:rowOff>11207</xdr:rowOff>
    </xdr:from>
    <xdr:to>
      <xdr:col>23</xdr:col>
      <xdr:colOff>0</xdr:colOff>
      <xdr:row>28</xdr:row>
      <xdr:rowOff>168089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73C3B4-14DB-434D-953C-E1A0A0889070}"/>
            </a:ext>
          </a:extLst>
        </xdr:cNvPr>
        <xdr:cNvSpPr txBox="1"/>
      </xdr:nvSpPr>
      <xdr:spPr>
        <a:xfrm>
          <a:off x="12003181" y="8107457"/>
          <a:ext cx="6503894" cy="347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TITANIUM CALCULATIONS</a:t>
          </a:r>
        </a:p>
      </xdr:txBody>
    </xdr:sp>
    <xdr:clientData/>
  </xdr:twoCellAnchor>
  <xdr:twoCellAnchor>
    <xdr:from>
      <xdr:col>0</xdr:col>
      <xdr:colOff>22412</xdr:colOff>
      <xdr:row>26</xdr:row>
      <xdr:rowOff>134471</xdr:rowOff>
    </xdr:from>
    <xdr:to>
      <xdr:col>6</xdr:col>
      <xdr:colOff>1389529</xdr:colOff>
      <xdr:row>29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1EC39E-D04C-4FC3-9C7E-20B6CACAD6E9}"/>
            </a:ext>
          </a:extLst>
        </xdr:cNvPr>
        <xdr:cNvSpPr txBox="1"/>
      </xdr:nvSpPr>
      <xdr:spPr>
        <a:xfrm>
          <a:off x="22412" y="8040221"/>
          <a:ext cx="6329642" cy="437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STAINLESS</a:t>
          </a:r>
          <a:r>
            <a:rPr lang="en-US" sz="2400" b="1" baseline="0"/>
            <a:t> STEEL CALCULATIONS</a:t>
          </a:r>
          <a:endParaRPr lang="en-US" sz="24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11206</xdr:colOff>
      <xdr:row>31</xdr:row>
      <xdr:rowOff>11207</xdr:rowOff>
    </xdr:from>
    <xdr:to>
      <xdr:col>23</xdr:col>
      <xdr:colOff>0</xdr:colOff>
      <xdr:row>32</xdr:row>
      <xdr:rowOff>168089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6C30F6-C44C-4A51-BC71-994FC2D78AD8}"/>
            </a:ext>
          </a:extLst>
        </xdr:cNvPr>
        <xdr:cNvSpPr txBox="1"/>
      </xdr:nvSpPr>
      <xdr:spPr>
        <a:xfrm>
          <a:off x="2963956" y="6381750"/>
          <a:ext cx="6503894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TITANIUM CALCULATIONS</a:t>
          </a:r>
        </a:p>
      </xdr:txBody>
    </xdr:sp>
    <xdr:clientData/>
  </xdr:twoCellAnchor>
  <xdr:twoCellAnchor>
    <xdr:from>
      <xdr:col>0</xdr:col>
      <xdr:colOff>22412</xdr:colOff>
      <xdr:row>30</xdr:row>
      <xdr:rowOff>134471</xdr:rowOff>
    </xdr:from>
    <xdr:to>
      <xdr:col>6</xdr:col>
      <xdr:colOff>1389529</xdr:colOff>
      <xdr:row>33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7720B4-FA4B-4FFB-B222-41F71884076B}"/>
            </a:ext>
          </a:extLst>
        </xdr:cNvPr>
        <xdr:cNvSpPr txBox="1"/>
      </xdr:nvSpPr>
      <xdr:spPr>
        <a:xfrm>
          <a:off x="22412" y="6381750"/>
          <a:ext cx="2177863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STAINLESS</a:t>
          </a:r>
          <a:r>
            <a:rPr lang="en-US" sz="2400" b="1" baseline="0"/>
            <a:t> STEEL CALCULATIONS</a:t>
          </a:r>
          <a:endParaRPr lang="en-US" sz="2400" b="1"/>
        </a:p>
      </xdr:txBody>
    </xdr:sp>
    <xdr:clientData/>
  </xdr:twoCellAnchor>
  <xdr:twoCellAnchor>
    <xdr:from>
      <xdr:col>0</xdr:col>
      <xdr:colOff>600075</xdr:colOff>
      <xdr:row>45</xdr:row>
      <xdr:rowOff>180976</xdr:rowOff>
    </xdr:from>
    <xdr:to>
      <xdr:col>9</xdr:col>
      <xdr:colOff>38100</xdr:colOff>
      <xdr:row>47</xdr:row>
      <xdr:rowOff>161926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16D185-B749-4C90-93CF-889307EB2844}"/>
            </a:ext>
          </a:extLst>
        </xdr:cNvPr>
        <xdr:cNvSpPr txBox="1"/>
      </xdr:nvSpPr>
      <xdr:spPr>
        <a:xfrm>
          <a:off x="600075" y="6381750"/>
          <a:ext cx="160020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ROUND BAR WEIGHT AND PRICE CALCULATOR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600075</xdr:colOff>
      <xdr:row>34</xdr:row>
      <xdr:rowOff>180976</xdr:rowOff>
    </xdr:from>
    <xdr:to>
      <xdr:col>27</xdr:col>
      <xdr:colOff>38100</xdr:colOff>
      <xdr:row>36</xdr:row>
      <xdr:rowOff>161926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9F05F4-CD12-4449-ACF8-5B1E1C539A4A}"/>
            </a:ext>
          </a:extLst>
        </xdr:cNvPr>
        <xdr:cNvSpPr txBox="1"/>
      </xdr:nvSpPr>
      <xdr:spPr>
        <a:xfrm>
          <a:off x="1207770" y="3617596"/>
          <a:ext cx="8583930" cy="3467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ROUND BAR WEIGHT AND PRICE CALCULATOR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30</xdr:row>
      <xdr:rowOff>28576</xdr:rowOff>
    </xdr:from>
    <xdr:to>
      <xdr:col>9</xdr:col>
      <xdr:colOff>38100</xdr:colOff>
      <xdr:row>30</xdr:row>
      <xdr:rowOff>476250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13A6C1-3DF6-460E-AEB9-862FFD30A984}"/>
            </a:ext>
          </a:extLst>
        </xdr:cNvPr>
        <xdr:cNvSpPr txBox="1"/>
      </xdr:nvSpPr>
      <xdr:spPr>
        <a:xfrm>
          <a:off x="600075" y="10610851"/>
          <a:ext cx="7029450" cy="4476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ROUND BAR WEIGHT AND PRICE CALCULATOR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11206</xdr:colOff>
      <xdr:row>27</xdr:row>
      <xdr:rowOff>11207</xdr:rowOff>
    </xdr:from>
    <xdr:to>
      <xdr:col>24</xdr:col>
      <xdr:colOff>0</xdr:colOff>
      <xdr:row>28</xdr:row>
      <xdr:rowOff>168089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D5088F-C562-4C6A-83D1-08B0953F807E}"/>
            </a:ext>
          </a:extLst>
        </xdr:cNvPr>
        <xdr:cNvSpPr txBox="1"/>
      </xdr:nvSpPr>
      <xdr:spPr>
        <a:xfrm>
          <a:off x="11441206" y="7535957"/>
          <a:ext cx="5608544" cy="3473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NICKEL ALLOYS CALCULATIONS</a:t>
          </a:r>
        </a:p>
      </xdr:txBody>
    </xdr:sp>
    <xdr:clientData/>
  </xdr:twoCellAnchor>
  <xdr:twoCellAnchor>
    <xdr:from>
      <xdr:col>0</xdr:col>
      <xdr:colOff>22412</xdr:colOff>
      <xdr:row>26</xdr:row>
      <xdr:rowOff>134471</xdr:rowOff>
    </xdr:from>
    <xdr:to>
      <xdr:col>6</xdr:col>
      <xdr:colOff>1389529</xdr:colOff>
      <xdr:row>29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79771D-1C47-49CA-894C-C31D44B073C6}"/>
            </a:ext>
          </a:extLst>
        </xdr:cNvPr>
        <xdr:cNvSpPr txBox="1"/>
      </xdr:nvSpPr>
      <xdr:spPr>
        <a:xfrm>
          <a:off x="22412" y="7468721"/>
          <a:ext cx="5224742" cy="437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/>
            <a:t>STAINLESS</a:t>
          </a:r>
          <a:r>
            <a:rPr lang="en-US" sz="2400" b="1" baseline="0"/>
            <a:t> STEEL CALCULATIONS</a:t>
          </a:r>
          <a:endParaRPr lang="en-US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6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drawing" Target="../drawings/drawing7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6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7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drawing" Target="../drawings/drawing8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1.xml"/><Relationship Id="rId2" Type="http://schemas.openxmlformats.org/officeDocument/2006/relationships/vmlDrawing" Target="../drawings/vmlDrawing61.vml"/><Relationship Id="rId1" Type="http://schemas.openxmlformats.org/officeDocument/2006/relationships/drawing" Target="../drawings/drawing9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1" Type="http://schemas.openxmlformats.org/officeDocument/2006/relationships/drawing" Target="../drawings/drawing10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1" Type="http://schemas.openxmlformats.org/officeDocument/2006/relationships/drawing" Target="../drawings/drawing11.x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8.xml"/><Relationship Id="rId2" Type="http://schemas.openxmlformats.org/officeDocument/2006/relationships/vmlDrawing" Target="../drawings/vmlDrawing68.vml"/><Relationship Id="rId1" Type="http://schemas.openxmlformats.org/officeDocument/2006/relationships/drawing" Target="../drawings/drawing12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9.x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1.xml"/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9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2.xml"/><Relationship Id="rId2" Type="http://schemas.openxmlformats.org/officeDocument/2006/relationships/vmlDrawing" Target="../drawings/vmlDrawing72.vml"/><Relationship Id="rId1" Type="http://schemas.openxmlformats.org/officeDocument/2006/relationships/printerSettings" Target="../printerSettings/printerSettings10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5.xml"/><Relationship Id="rId2" Type="http://schemas.openxmlformats.org/officeDocument/2006/relationships/vmlDrawing" Target="../drawings/vmlDrawing75.vml"/><Relationship Id="rId1" Type="http://schemas.openxmlformats.org/officeDocument/2006/relationships/drawing" Target="../drawings/drawing14.x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8.xml"/><Relationship Id="rId2" Type="http://schemas.openxmlformats.org/officeDocument/2006/relationships/vmlDrawing" Target="../drawings/vmlDrawing78.vml"/><Relationship Id="rId1" Type="http://schemas.openxmlformats.org/officeDocument/2006/relationships/drawing" Target="../drawings/drawing15.x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AA46"/>
  <sheetViews>
    <sheetView topLeftCell="I1" zoomScaleNormal="100" workbookViewId="0">
      <selection activeCell="T36" sqref="T36:V41"/>
    </sheetView>
  </sheetViews>
  <sheetFormatPr defaultColWidth="9.140625" defaultRowHeight="15" x14ac:dyDescent="0.25"/>
  <cols>
    <col min="1" max="1" width="9.140625" style="1"/>
    <col min="2" max="3" width="13.28515625" style="1" customWidth="1"/>
    <col min="4" max="4" width="13.28515625" style="1" hidden="1" customWidth="1"/>
    <col min="5" max="5" width="13.28515625" style="1" customWidth="1"/>
    <col min="6" max="6" width="21" style="1" hidden="1" customWidth="1"/>
    <col min="7" max="7" width="22.7109375" style="1" hidden="1" customWidth="1"/>
    <col min="8" max="8" width="14.85546875" style="1" hidden="1" customWidth="1"/>
    <col min="9" max="9" width="11.5703125" style="1" customWidth="1"/>
    <col min="10" max="10" width="12.42578125" style="1" customWidth="1"/>
    <col min="11" max="11" width="26" style="1" hidden="1" customWidth="1"/>
    <col min="12" max="12" width="26" style="1" customWidth="1"/>
    <col min="13" max="13" width="26" style="1" hidden="1" customWidth="1"/>
    <col min="14" max="14" width="18.5703125" style="1" customWidth="1"/>
    <col min="15" max="15" width="16.42578125" style="1" customWidth="1"/>
    <col min="16" max="16" width="13.85546875" style="1" customWidth="1"/>
    <col min="17" max="17" width="11.85546875" style="1" bestFit="1" customWidth="1"/>
    <col min="18" max="18" width="14.7109375" style="1" customWidth="1"/>
    <col min="19" max="19" width="8.7109375" style="1" customWidth="1"/>
    <col min="20" max="20" width="12.5703125" style="1" customWidth="1"/>
    <col min="21" max="21" width="20.28515625" style="8" bestFit="1" customWidth="1"/>
    <col min="22" max="22" width="13.140625" style="1" customWidth="1"/>
    <col min="23" max="23" width="11.28515625" style="1" customWidth="1"/>
    <col min="24" max="24" width="11.7109375" style="1" customWidth="1"/>
    <col min="25" max="25" width="11" style="1" customWidth="1"/>
    <col min="26" max="16384" width="9.140625" style="1"/>
  </cols>
  <sheetData>
    <row r="1" spans="1:27" ht="36" customHeight="1" x14ac:dyDescent="0.25">
      <c r="A1" s="9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1"/>
      <c r="P1" s="21"/>
      <c r="Q1" s="22"/>
      <c r="R1" s="22"/>
      <c r="S1" s="22"/>
      <c r="T1" s="22"/>
      <c r="U1" s="75"/>
      <c r="V1" s="22"/>
      <c r="W1" s="22"/>
      <c r="X1" s="88"/>
      <c r="Y1" s="22"/>
      <c r="Z1" s="21"/>
      <c r="AA1" s="21"/>
    </row>
    <row r="2" spans="1:27" ht="30" customHeight="1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3" t="s">
        <v>5</v>
      </c>
      <c r="O2" s="34"/>
      <c r="P2" s="38" t="s">
        <v>29</v>
      </c>
      <c r="Q2" s="37" t="s">
        <v>34</v>
      </c>
      <c r="R2" s="37" t="s">
        <v>27</v>
      </c>
      <c r="S2" s="38" t="s">
        <v>39</v>
      </c>
      <c r="T2" s="38" t="s">
        <v>30</v>
      </c>
      <c r="U2" s="74" t="s">
        <v>36</v>
      </c>
      <c r="V2" s="38" t="s">
        <v>31</v>
      </c>
      <c r="W2" s="37" t="s">
        <v>32</v>
      </c>
      <c r="X2" s="41" t="s">
        <v>33</v>
      </c>
      <c r="Y2" s="21"/>
      <c r="Z2" s="21"/>
      <c r="AA2" s="21"/>
    </row>
    <row r="3" spans="1:27" x14ac:dyDescent="0.25">
      <c r="A3" s="65">
        <v>0.75</v>
      </c>
      <c r="B3" s="65">
        <v>48</v>
      </c>
      <c r="C3" s="65">
        <v>96</v>
      </c>
      <c r="D3" s="66" t="s">
        <v>0</v>
      </c>
      <c r="E3" s="66">
        <v>0.125</v>
      </c>
      <c r="F3" s="66">
        <f>(A3+B3)*C3</f>
        <v>4680</v>
      </c>
      <c r="G3" s="66">
        <f>(A3+B3)/E3</f>
        <v>390</v>
      </c>
      <c r="H3" s="66">
        <f t="shared" ref="H3:H7" si="0">C3/10</f>
        <v>9.6</v>
      </c>
      <c r="I3" s="66">
        <v>10</v>
      </c>
      <c r="J3" s="67">
        <f t="shared" ref="J3:J7" si="1">H3*G3/60</f>
        <v>62.4</v>
      </c>
      <c r="K3" s="67">
        <f>J3+I3</f>
        <v>72.400000000000006</v>
      </c>
      <c r="L3" s="68">
        <v>225</v>
      </c>
      <c r="M3" s="69">
        <f>L3/60</f>
        <v>3.75</v>
      </c>
      <c r="N3" s="70">
        <f>ROUNDUP(K3*M3,1)</f>
        <v>271.5</v>
      </c>
      <c r="O3" s="23" t="s">
        <v>22</v>
      </c>
      <c r="P3" s="32">
        <v>1</v>
      </c>
      <c r="Q3" s="33">
        <f>N3*P3</f>
        <v>271.5</v>
      </c>
      <c r="R3" s="30">
        <v>0</v>
      </c>
      <c r="S3" s="79">
        <v>0.02</v>
      </c>
      <c r="T3" s="33">
        <f>Q3+R3</f>
        <v>271.5</v>
      </c>
      <c r="U3" s="77">
        <f>ROUNDUP(T3*S3,0)</f>
        <v>6</v>
      </c>
      <c r="V3" s="33">
        <f>T3+U3</f>
        <v>277.5</v>
      </c>
      <c r="W3" s="57">
        <v>225</v>
      </c>
      <c r="X3" s="78">
        <f>ROUNDDOWN(W3/N3,0)</f>
        <v>0</v>
      </c>
      <c r="Y3" s="21"/>
      <c r="Z3" s="21"/>
      <c r="AA3" s="21"/>
    </row>
    <row r="4" spans="1:27" x14ac:dyDescent="0.25">
      <c r="A4" s="65">
        <v>0.75</v>
      </c>
      <c r="B4" s="65">
        <v>48</v>
      </c>
      <c r="C4" s="65">
        <v>96</v>
      </c>
      <c r="D4" s="66" t="s">
        <v>0</v>
      </c>
      <c r="E4" s="66">
        <v>7.4999999999999997E-2</v>
      </c>
      <c r="F4" s="66">
        <f t="shared" ref="F4:F7" si="2">(A4+B4)*C4</f>
        <v>4680</v>
      </c>
      <c r="G4" s="66">
        <f t="shared" ref="G4:G7" si="3">(A4+B4)/E4</f>
        <v>650</v>
      </c>
      <c r="H4" s="66">
        <f t="shared" si="0"/>
        <v>9.6</v>
      </c>
      <c r="I4" s="66">
        <v>3</v>
      </c>
      <c r="J4" s="67">
        <f t="shared" si="1"/>
        <v>104</v>
      </c>
      <c r="K4" s="67">
        <f t="shared" ref="K4:K7" si="4">J4+I4</f>
        <v>107</v>
      </c>
      <c r="L4" s="68">
        <v>225</v>
      </c>
      <c r="M4" s="69">
        <f t="shared" ref="M4:M7" si="5">L4/60</f>
        <v>3.75</v>
      </c>
      <c r="N4" s="70">
        <f t="shared" ref="N4:N7" si="6">ROUNDUP(K4*M4,1)</f>
        <v>401.3</v>
      </c>
      <c r="O4" s="23" t="s">
        <v>118</v>
      </c>
      <c r="P4" s="32">
        <v>200</v>
      </c>
      <c r="Q4" s="33">
        <f>N4*P4</f>
        <v>80260</v>
      </c>
      <c r="R4" s="30">
        <v>0</v>
      </c>
      <c r="S4" s="79">
        <v>0.02</v>
      </c>
      <c r="T4" s="33">
        <f t="shared" ref="T4:T7" si="7">Q4+R4</f>
        <v>80260</v>
      </c>
      <c r="U4" s="77">
        <f>ROUNDUP(T4*S4,0)</f>
        <v>1606</v>
      </c>
      <c r="V4" s="33">
        <f t="shared" ref="V4:V15" si="8">T4+U4</f>
        <v>81866</v>
      </c>
      <c r="W4" s="57">
        <v>225</v>
      </c>
      <c r="X4" s="78">
        <f t="shared" ref="X4:X7" si="9">ROUNDDOWN(W4/N4,0)</f>
        <v>0</v>
      </c>
      <c r="Y4" s="26"/>
      <c r="Z4" s="21"/>
      <c r="AA4" s="21"/>
    </row>
    <row r="5" spans="1:27" x14ac:dyDescent="0.25">
      <c r="A5" s="65">
        <v>0.75</v>
      </c>
      <c r="B5" s="65">
        <v>48</v>
      </c>
      <c r="C5" s="65">
        <v>96</v>
      </c>
      <c r="D5" s="66" t="s">
        <v>0</v>
      </c>
      <c r="E5" s="66">
        <v>6.5000000000000002E-2</v>
      </c>
      <c r="F5" s="66">
        <f t="shared" si="2"/>
        <v>4680</v>
      </c>
      <c r="G5" s="66">
        <f t="shared" si="3"/>
        <v>750</v>
      </c>
      <c r="H5" s="66">
        <f t="shared" si="0"/>
        <v>9.6</v>
      </c>
      <c r="I5" s="66">
        <v>4</v>
      </c>
      <c r="J5" s="67">
        <f t="shared" si="1"/>
        <v>120</v>
      </c>
      <c r="K5" s="67">
        <f t="shared" si="4"/>
        <v>124</v>
      </c>
      <c r="L5" s="68">
        <v>225</v>
      </c>
      <c r="M5" s="69">
        <f t="shared" si="5"/>
        <v>3.75</v>
      </c>
      <c r="N5" s="70">
        <f t="shared" si="6"/>
        <v>465</v>
      </c>
      <c r="O5" s="23"/>
      <c r="P5" s="32">
        <v>20</v>
      </c>
      <c r="Q5" s="33">
        <f>N5*P5</f>
        <v>9300</v>
      </c>
      <c r="R5" s="30">
        <v>0</v>
      </c>
      <c r="S5" s="79">
        <v>0.02</v>
      </c>
      <c r="T5" s="33">
        <f t="shared" si="7"/>
        <v>9300</v>
      </c>
      <c r="U5" s="77">
        <f>ROUNDUP(T5*S5,0)</f>
        <v>186</v>
      </c>
      <c r="V5" s="33">
        <f t="shared" si="8"/>
        <v>9486</v>
      </c>
      <c r="W5" s="57">
        <v>225</v>
      </c>
      <c r="X5" s="78">
        <f t="shared" si="9"/>
        <v>0</v>
      </c>
      <c r="Y5" s="26"/>
      <c r="Z5" s="21"/>
      <c r="AA5" s="21"/>
    </row>
    <row r="6" spans="1:27" x14ac:dyDescent="0.25">
      <c r="A6" s="65">
        <v>4</v>
      </c>
      <c r="B6" s="65">
        <v>6.75</v>
      </c>
      <c r="C6" s="65">
        <v>6.75</v>
      </c>
      <c r="D6" s="66" t="s">
        <v>0</v>
      </c>
      <c r="E6" s="66">
        <v>4.4999999999999998E-2</v>
      </c>
      <c r="F6" s="66">
        <f t="shared" si="2"/>
        <v>72.5625</v>
      </c>
      <c r="G6" s="66">
        <f t="shared" si="3"/>
        <v>238.88888888888889</v>
      </c>
      <c r="H6" s="66">
        <f t="shared" si="0"/>
        <v>0.67500000000000004</v>
      </c>
      <c r="I6" s="66">
        <v>6</v>
      </c>
      <c r="J6" s="67">
        <f t="shared" si="1"/>
        <v>2.6875</v>
      </c>
      <c r="K6" s="67">
        <f t="shared" si="4"/>
        <v>8.6875</v>
      </c>
      <c r="L6" s="68">
        <v>225</v>
      </c>
      <c r="M6" s="69">
        <f t="shared" si="5"/>
        <v>3.75</v>
      </c>
      <c r="N6" s="70">
        <f t="shared" si="6"/>
        <v>32.6</v>
      </c>
      <c r="O6" s="23"/>
      <c r="P6" s="32">
        <v>18</v>
      </c>
      <c r="Q6" s="33">
        <f>N6*P6</f>
        <v>586.80000000000007</v>
      </c>
      <c r="R6" s="30">
        <v>0</v>
      </c>
      <c r="S6" s="79">
        <v>0.02</v>
      </c>
      <c r="T6" s="33">
        <f t="shared" si="7"/>
        <v>586.80000000000007</v>
      </c>
      <c r="U6" s="77">
        <f>ROUNDUP(T6*S6,0)</f>
        <v>12</v>
      </c>
      <c r="V6" s="33">
        <f t="shared" si="8"/>
        <v>598.80000000000007</v>
      </c>
      <c r="W6" s="57">
        <v>225</v>
      </c>
      <c r="X6" s="78">
        <f t="shared" si="9"/>
        <v>6</v>
      </c>
      <c r="Y6" s="26"/>
      <c r="Z6" s="21"/>
      <c r="AA6" s="21"/>
    </row>
    <row r="7" spans="1:27" x14ac:dyDescent="0.25">
      <c r="A7" s="65">
        <v>1.87</v>
      </c>
      <c r="B7" s="65">
        <v>16.75</v>
      </c>
      <c r="C7" s="65">
        <v>16.75</v>
      </c>
      <c r="D7" s="66" t="s">
        <v>0</v>
      </c>
      <c r="E7" s="66">
        <v>0.02</v>
      </c>
      <c r="F7" s="66">
        <f t="shared" si="2"/>
        <v>311.88499999999999</v>
      </c>
      <c r="G7" s="66">
        <f t="shared" si="3"/>
        <v>931</v>
      </c>
      <c r="H7" s="66">
        <f t="shared" si="0"/>
        <v>1.675</v>
      </c>
      <c r="I7" s="66">
        <v>3</v>
      </c>
      <c r="J7" s="67">
        <f t="shared" si="1"/>
        <v>25.990416666666665</v>
      </c>
      <c r="K7" s="67">
        <f t="shared" si="4"/>
        <v>28.990416666666665</v>
      </c>
      <c r="L7" s="68">
        <v>250</v>
      </c>
      <c r="M7" s="69">
        <f t="shared" si="5"/>
        <v>4.166666666666667</v>
      </c>
      <c r="N7" s="70">
        <f t="shared" si="6"/>
        <v>120.8</v>
      </c>
      <c r="O7" s="23" t="s">
        <v>26</v>
      </c>
      <c r="P7" s="32">
        <v>22</v>
      </c>
      <c r="Q7" s="33">
        <f>N7*P7</f>
        <v>2657.6</v>
      </c>
      <c r="R7" s="30">
        <v>125</v>
      </c>
      <c r="S7" s="79">
        <v>0.02</v>
      </c>
      <c r="T7" s="33">
        <f t="shared" si="7"/>
        <v>2782.6</v>
      </c>
      <c r="U7" s="77">
        <f>ROUNDUP(T7*S7,0)</f>
        <v>56</v>
      </c>
      <c r="V7" s="33">
        <f t="shared" si="8"/>
        <v>2838.6</v>
      </c>
      <c r="W7" s="57">
        <v>225</v>
      </c>
      <c r="X7" s="78">
        <f t="shared" si="9"/>
        <v>1</v>
      </c>
      <c r="Y7" s="26"/>
      <c r="Z7" s="21"/>
      <c r="AA7" s="21"/>
    </row>
    <row r="8" spans="1:27" ht="18.75" x14ac:dyDescent="0.25">
      <c r="O8" s="24"/>
      <c r="P8" s="21"/>
      <c r="Q8" s="27"/>
      <c r="R8" s="28"/>
      <c r="S8" s="72"/>
      <c r="T8" s="27"/>
      <c r="U8" s="76"/>
      <c r="V8" s="27"/>
      <c r="W8" s="25"/>
      <c r="X8" s="26"/>
      <c r="Y8" s="21"/>
      <c r="Z8" s="21"/>
      <c r="AA8" s="21"/>
    </row>
    <row r="9" spans="1:27" ht="21" x14ac:dyDescent="0.25">
      <c r="B9" s="80" t="s">
        <v>12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2"/>
      <c r="P9" s="82"/>
      <c r="Q9" s="83"/>
      <c r="R9" s="84"/>
      <c r="S9" s="85"/>
      <c r="T9" s="83"/>
      <c r="U9" s="86"/>
      <c r="V9" s="83"/>
      <c r="W9" s="82"/>
      <c r="X9" s="87"/>
      <c r="Y9" s="21"/>
      <c r="Z9" s="21"/>
      <c r="AA9" s="21"/>
    </row>
    <row r="10" spans="1:27" ht="30" x14ac:dyDescent="0.25">
      <c r="B10" s="4" t="s">
        <v>13</v>
      </c>
      <c r="C10" s="4" t="s">
        <v>7</v>
      </c>
      <c r="D10" s="2" t="s">
        <v>2</v>
      </c>
      <c r="E10" s="4" t="s">
        <v>1</v>
      </c>
      <c r="F10" s="5" t="s">
        <v>20</v>
      </c>
      <c r="G10" s="4" t="s">
        <v>14</v>
      </c>
      <c r="H10" s="4" t="s">
        <v>15</v>
      </c>
      <c r="I10" s="4" t="s">
        <v>17</v>
      </c>
      <c r="J10" s="4" t="s">
        <v>16</v>
      </c>
      <c r="K10" s="4" t="s">
        <v>18</v>
      </c>
      <c r="L10" s="2" t="s">
        <v>24</v>
      </c>
      <c r="M10" s="2" t="s">
        <v>25</v>
      </c>
      <c r="N10" s="6" t="s">
        <v>19</v>
      </c>
      <c r="O10" s="37"/>
      <c r="P10" s="38" t="s">
        <v>29</v>
      </c>
      <c r="Q10" s="44" t="s">
        <v>34</v>
      </c>
      <c r="R10" s="42" t="s">
        <v>27</v>
      </c>
      <c r="S10" s="73" t="s">
        <v>39</v>
      </c>
      <c r="T10" s="44" t="s">
        <v>30</v>
      </c>
      <c r="U10" s="45" t="s">
        <v>36</v>
      </c>
      <c r="V10" s="44" t="s">
        <v>31</v>
      </c>
      <c r="W10" s="37" t="s">
        <v>32</v>
      </c>
      <c r="X10" s="41" t="s">
        <v>33</v>
      </c>
      <c r="Y10" s="21"/>
      <c r="Z10" s="21"/>
      <c r="AA10" s="21"/>
    </row>
    <row r="11" spans="1:27" x14ac:dyDescent="0.25">
      <c r="B11" s="14">
        <v>1.5</v>
      </c>
      <c r="C11" s="14">
        <v>26</v>
      </c>
      <c r="D11" s="66" t="s">
        <v>0</v>
      </c>
      <c r="E11" s="16">
        <v>0.15</v>
      </c>
      <c r="F11" s="16">
        <f>B11*3.14</f>
        <v>4.71</v>
      </c>
      <c r="G11" s="17">
        <f>F11/E11</f>
        <v>31.400000000000002</v>
      </c>
      <c r="H11" s="16">
        <f>C11/10</f>
        <v>2.6</v>
      </c>
      <c r="I11" s="16">
        <v>3</v>
      </c>
      <c r="J11" s="19">
        <f>H11*G11/60</f>
        <v>1.3606666666666669</v>
      </c>
      <c r="K11" s="20">
        <f>J11+I11</f>
        <v>4.3606666666666669</v>
      </c>
      <c r="L11" s="68">
        <v>250</v>
      </c>
      <c r="M11" s="69">
        <f>L11/60</f>
        <v>4.166666666666667</v>
      </c>
      <c r="N11" s="18">
        <f>ROUNDUP(K11*M11,1)</f>
        <v>18.200000000000003</v>
      </c>
      <c r="O11" s="21" t="s">
        <v>22</v>
      </c>
      <c r="P11" s="32">
        <v>10</v>
      </c>
      <c r="Q11" s="33">
        <f>N11*P11</f>
        <v>182.00000000000003</v>
      </c>
      <c r="R11" s="30">
        <v>125</v>
      </c>
      <c r="S11" s="79">
        <v>0.02</v>
      </c>
      <c r="T11" s="33">
        <f>Q11+R11</f>
        <v>307</v>
      </c>
      <c r="U11" s="77">
        <f>ROUNDUP(T11*S11,0)</f>
        <v>7</v>
      </c>
      <c r="V11" s="33">
        <f t="shared" si="8"/>
        <v>314</v>
      </c>
      <c r="W11" s="57">
        <v>225</v>
      </c>
      <c r="X11" s="78">
        <f>ROUNDDOWN(W11/N11,0)</f>
        <v>12</v>
      </c>
      <c r="Y11" s="21"/>
      <c r="Z11" s="21"/>
      <c r="AA11" s="21"/>
    </row>
    <row r="12" spans="1:27" x14ac:dyDescent="0.25">
      <c r="B12" s="14">
        <v>1</v>
      </c>
      <c r="C12" s="14">
        <v>72</v>
      </c>
      <c r="D12" s="66" t="s">
        <v>0</v>
      </c>
      <c r="E12" s="16">
        <v>7.4999999999999997E-2</v>
      </c>
      <c r="F12" s="16">
        <f t="shared" ref="F12:F15" si="10">B12*3.14</f>
        <v>3.14</v>
      </c>
      <c r="G12" s="17">
        <f t="shared" ref="G12:G15" si="11">F12/E12</f>
        <v>41.866666666666667</v>
      </c>
      <c r="H12" s="16">
        <f t="shared" ref="H12:H15" si="12">C12/10</f>
        <v>7.2</v>
      </c>
      <c r="I12" s="16">
        <v>3</v>
      </c>
      <c r="J12" s="19">
        <f t="shared" ref="J12:J15" si="13">H12*G12/60</f>
        <v>5.024</v>
      </c>
      <c r="K12" s="20">
        <f t="shared" ref="K12:K15" si="14">J12+I12</f>
        <v>8.0240000000000009</v>
      </c>
      <c r="L12" s="68">
        <v>225</v>
      </c>
      <c r="M12" s="69">
        <f t="shared" ref="M12:M15" si="15">L12/60</f>
        <v>3.75</v>
      </c>
      <c r="N12" s="18">
        <f t="shared" ref="N12:N15" si="16">ROUNDUP(K12*M12,1)</f>
        <v>30.1</v>
      </c>
      <c r="O12" s="21"/>
      <c r="P12" s="32">
        <v>38</v>
      </c>
      <c r="Q12" s="33">
        <f>N12*P12</f>
        <v>1143.8</v>
      </c>
      <c r="R12" s="30">
        <v>125</v>
      </c>
      <c r="S12" s="79">
        <v>0.02</v>
      </c>
      <c r="T12" s="33">
        <f t="shared" ref="T12:T15" si="17">Q12+R12</f>
        <v>1268.8</v>
      </c>
      <c r="U12" s="77">
        <f>ROUNDUP(T12*S12,0)</f>
        <v>26</v>
      </c>
      <c r="V12" s="33">
        <f t="shared" si="8"/>
        <v>1294.8</v>
      </c>
      <c r="W12" s="57">
        <v>225</v>
      </c>
      <c r="X12" s="78">
        <f t="shared" ref="X12:X15" si="18">ROUNDDOWN(W12/N12,0)</f>
        <v>7</v>
      </c>
      <c r="Y12" s="21"/>
      <c r="Z12" s="21"/>
      <c r="AA12" s="21"/>
    </row>
    <row r="13" spans="1:27" x14ac:dyDescent="0.25">
      <c r="B13" s="14">
        <v>6</v>
      </c>
      <c r="C13" s="14">
        <v>24</v>
      </c>
      <c r="D13" s="66" t="s">
        <v>0</v>
      </c>
      <c r="E13" s="16">
        <v>6.5000000000000002E-2</v>
      </c>
      <c r="F13" s="16">
        <f t="shared" si="10"/>
        <v>18.84</v>
      </c>
      <c r="G13" s="17">
        <f t="shared" si="11"/>
        <v>289.84615384615381</v>
      </c>
      <c r="H13" s="16">
        <f t="shared" si="12"/>
        <v>2.4</v>
      </c>
      <c r="I13" s="16">
        <v>3</v>
      </c>
      <c r="J13" s="19">
        <f t="shared" si="13"/>
        <v>11.593846153846153</v>
      </c>
      <c r="K13" s="20">
        <f t="shared" si="14"/>
        <v>14.593846153846153</v>
      </c>
      <c r="L13" s="68">
        <v>225</v>
      </c>
      <c r="M13" s="69">
        <f t="shared" si="15"/>
        <v>3.75</v>
      </c>
      <c r="N13" s="18">
        <f t="shared" si="16"/>
        <v>54.800000000000004</v>
      </c>
      <c r="O13" s="21"/>
      <c r="P13" s="32">
        <v>5</v>
      </c>
      <c r="Q13" s="33">
        <f>N13*P13</f>
        <v>274</v>
      </c>
      <c r="R13" s="30">
        <v>125</v>
      </c>
      <c r="S13" s="79">
        <v>0.02</v>
      </c>
      <c r="T13" s="33">
        <f t="shared" si="17"/>
        <v>399</v>
      </c>
      <c r="U13" s="77">
        <f>ROUNDUP(T13*S13,0)</f>
        <v>8</v>
      </c>
      <c r="V13" s="33">
        <f t="shared" si="8"/>
        <v>407</v>
      </c>
      <c r="W13" s="57">
        <v>225</v>
      </c>
      <c r="X13" s="78">
        <f t="shared" si="18"/>
        <v>4</v>
      </c>
      <c r="Y13" s="285"/>
      <c r="Z13" s="285"/>
      <c r="AA13" s="21"/>
    </row>
    <row r="14" spans="1:27" x14ac:dyDescent="0.25">
      <c r="B14" s="14">
        <v>13.25</v>
      </c>
      <c r="C14" s="14">
        <v>5.3</v>
      </c>
      <c r="D14" s="66" t="s">
        <v>0</v>
      </c>
      <c r="E14" s="16">
        <v>0.02</v>
      </c>
      <c r="F14" s="16">
        <f t="shared" si="10"/>
        <v>41.605000000000004</v>
      </c>
      <c r="G14" s="17">
        <f t="shared" si="11"/>
        <v>2080.25</v>
      </c>
      <c r="H14" s="16">
        <f t="shared" si="12"/>
        <v>0.53</v>
      </c>
      <c r="I14" s="16">
        <v>25</v>
      </c>
      <c r="J14" s="19">
        <f t="shared" si="13"/>
        <v>18.375541666666667</v>
      </c>
      <c r="K14" s="20">
        <f t="shared" si="14"/>
        <v>43.375541666666663</v>
      </c>
      <c r="L14" s="68">
        <v>250</v>
      </c>
      <c r="M14" s="69">
        <f t="shared" si="15"/>
        <v>4.166666666666667</v>
      </c>
      <c r="N14" s="18">
        <f t="shared" si="16"/>
        <v>180.79999999999998</v>
      </c>
      <c r="O14" s="21" t="s">
        <v>461</v>
      </c>
      <c r="P14" s="32">
        <v>8</v>
      </c>
      <c r="Q14" s="33">
        <f>N14*P14</f>
        <v>1446.3999999999999</v>
      </c>
      <c r="R14" s="30">
        <v>125</v>
      </c>
      <c r="S14" s="79">
        <v>0.02</v>
      </c>
      <c r="T14" s="33">
        <f t="shared" si="17"/>
        <v>1571.3999999999999</v>
      </c>
      <c r="U14" s="77">
        <f>ROUNDUP(T14*S14,0)</f>
        <v>32</v>
      </c>
      <c r="V14" s="33">
        <f t="shared" si="8"/>
        <v>1603.3999999999999</v>
      </c>
      <c r="W14" s="57">
        <v>225</v>
      </c>
      <c r="X14" s="78">
        <f t="shared" si="18"/>
        <v>1</v>
      </c>
      <c r="Y14" s="21"/>
      <c r="Z14" s="21"/>
      <c r="AA14" s="21"/>
    </row>
    <row r="15" spans="1:27" x14ac:dyDescent="0.25">
      <c r="B15" s="14">
        <v>13</v>
      </c>
      <c r="C15" s="14">
        <v>5</v>
      </c>
      <c r="D15" s="66" t="s">
        <v>0</v>
      </c>
      <c r="E15" s="16">
        <v>0.02</v>
      </c>
      <c r="F15" s="16">
        <f t="shared" si="10"/>
        <v>40.82</v>
      </c>
      <c r="G15" s="17">
        <f t="shared" si="11"/>
        <v>2041</v>
      </c>
      <c r="H15" s="16">
        <f t="shared" si="12"/>
        <v>0.5</v>
      </c>
      <c r="I15" s="16">
        <v>15</v>
      </c>
      <c r="J15" s="19">
        <f t="shared" si="13"/>
        <v>17.008333333333333</v>
      </c>
      <c r="K15" s="20">
        <f t="shared" si="14"/>
        <v>32.008333333333333</v>
      </c>
      <c r="L15" s="68">
        <v>250</v>
      </c>
      <c r="M15" s="69">
        <f t="shared" si="15"/>
        <v>4.166666666666667</v>
      </c>
      <c r="N15" s="18">
        <f t="shared" si="16"/>
        <v>133.4</v>
      </c>
      <c r="O15" s="21" t="s">
        <v>26</v>
      </c>
      <c r="P15" s="32">
        <v>32</v>
      </c>
      <c r="Q15" s="33">
        <f>N15*P15</f>
        <v>4268.8</v>
      </c>
      <c r="R15" s="30">
        <v>125</v>
      </c>
      <c r="S15" s="79">
        <v>0.02</v>
      </c>
      <c r="T15" s="33">
        <f t="shared" si="17"/>
        <v>4393.8</v>
      </c>
      <c r="U15" s="77">
        <f>ROUNDUP(T15*S15,0)</f>
        <v>88</v>
      </c>
      <c r="V15" s="33">
        <f t="shared" si="8"/>
        <v>4481.8</v>
      </c>
      <c r="W15" s="57">
        <v>225</v>
      </c>
      <c r="X15" s="78">
        <f t="shared" si="18"/>
        <v>1</v>
      </c>
      <c r="Y15" s="21"/>
      <c r="Z15" s="21"/>
      <c r="AA15" s="21"/>
    </row>
    <row r="16" spans="1:27" x14ac:dyDescent="0.25">
      <c r="O16" s="21"/>
      <c r="P16" s="21"/>
      <c r="Q16" s="21"/>
      <c r="R16" s="21"/>
      <c r="S16" s="21"/>
      <c r="T16" s="21"/>
      <c r="U16" s="26"/>
      <c r="V16" s="21"/>
      <c r="W16" s="21"/>
      <c r="X16" s="21"/>
      <c r="Y16" s="21"/>
      <c r="Z16" s="21"/>
      <c r="AA16" s="21"/>
    </row>
    <row r="17" spans="12:27" x14ac:dyDescent="0.25">
      <c r="O17" s="21"/>
      <c r="P17" s="21"/>
      <c r="Q17" s="21"/>
      <c r="R17" s="21"/>
      <c r="S17" s="21"/>
      <c r="T17" s="21"/>
      <c r="U17" s="26"/>
      <c r="V17" s="21"/>
      <c r="W17" s="21"/>
      <c r="X17" s="21"/>
      <c r="Y17" s="21"/>
      <c r="Z17" s="21"/>
      <c r="AA17" s="21"/>
    </row>
    <row r="18" spans="12:27" x14ac:dyDescent="0.25">
      <c r="O18" s="21"/>
      <c r="P18" s="21"/>
      <c r="Q18" s="21"/>
      <c r="R18" s="21"/>
      <c r="S18" s="21"/>
      <c r="T18" s="21"/>
      <c r="U18" s="26"/>
      <c r="V18" s="21"/>
      <c r="W18" s="21"/>
      <c r="X18" s="21"/>
      <c r="Y18" s="21"/>
      <c r="Z18" s="21"/>
      <c r="AA18" s="21"/>
    </row>
    <row r="19" spans="12:27" x14ac:dyDescent="0.25">
      <c r="O19" s="21"/>
      <c r="P19" s="21"/>
      <c r="Q19" s="21"/>
      <c r="R19" s="21"/>
      <c r="S19" s="21"/>
      <c r="T19" s="21"/>
      <c r="U19" s="26"/>
      <c r="V19" s="21"/>
      <c r="W19" s="21"/>
      <c r="X19" s="21"/>
      <c r="Y19" s="21"/>
      <c r="Z19" s="21"/>
      <c r="AA19" s="21"/>
    </row>
    <row r="20" spans="12:27" ht="15.75" x14ac:dyDescent="0.25">
      <c r="L20" s="169"/>
      <c r="O20" s="21"/>
      <c r="P20" s="21"/>
      <c r="Q20" s="21"/>
      <c r="R20" s="21"/>
      <c r="S20" s="21"/>
      <c r="T20" s="21"/>
      <c r="U20" s="26"/>
      <c r="V20" s="21"/>
      <c r="W20" s="21"/>
      <c r="X20" s="21"/>
      <c r="Y20" s="21"/>
      <c r="Z20" s="21"/>
      <c r="AA20" s="21"/>
    </row>
    <row r="21" spans="12:27" ht="15.75" x14ac:dyDescent="0.25">
      <c r="L21" s="170"/>
      <c r="O21" s="21"/>
      <c r="P21" s="21"/>
      <c r="Q21" s="21"/>
      <c r="R21" s="21"/>
      <c r="S21" s="21"/>
      <c r="T21" s="21"/>
      <c r="U21" s="26"/>
      <c r="V21" s="21"/>
      <c r="W21" s="21"/>
      <c r="X21" s="21"/>
      <c r="Y21" s="21"/>
      <c r="Z21" s="21"/>
      <c r="AA21" s="21"/>
    </row>
    <row r="22" spans="12:27" ht="15.75" x14ac:dyDescent="0.25">
      <c r="L22" s="170"/>
      <c r="O22" s="21"/>
      <c r="P22" s="21"/>
      <c r="Q22" s="21"/>
      <c r="R22" s="21"/>
      <c r="S22" s="21"/>
      <c r="T22" s="21"/>
      <c r="U22" s="26"/>
      <c r="V22" s="21"/>
      <c r="W22" s="21"/>
      <c r="X22" s="21"/>
      <c r="Y22" s="21"/>
      <c r="Z22" s="21"/>
      <c r="AA22" s="21"/>
    </row>
    <row r="23" spans="12:27" ht="15.75" x14ac:dyDescent="0.25">
      <c r="L23" s="170"/>
      <c r="O23" s="21"/>
      <c r="P23" s="21"/>
      <c r="Q23" s="21"/>
      <c r="R23" s="21"/>
      <c r="S23" s="21"/>
      <c r="T23" s="21"/>
      <c r="U23" s="26"/>
      <c r="V23" s="21"/>
      <c r="W23" s="21"/>
      <c r="X23" s="21"/>
      <c r="Y23" s="21"/>
      <c r="Z23" s="21"/>
      <c r="AA23" s="21"/>
    </row>
    <row r="24" spans="12:27" ht="15.75" x14ac:dyDescent="0.25">
      <c r="L24" s="170"/>
      <c r="O24" s="21"/>
      <c r="P24" s="21"/>
      <c r="Q24" s="21"/>
      <c r="R24" s="21"/>
      <c r="S24" s="21"/>
      <c r="T24" s="21"/>
      <c r="U24" s="26"/>
      <c r="V24" s="21"/>
      <c r="W24" s="21"/>
      <c r="X24" s="21"/>
      <c r="Y24" s="21"/>
      <c r="Z24" s="21"/>
      <c r="AA24" s="21"/>
    </row>
    <row r="25" spans="12:27" ht="15.75" x14ac:dyDescent="0.25">
      <c r="L25" s="170"/>
    </row>
    <row r="26" spans="12:27" ht="15.75" x14ac:dyDescent="0.25">
      <c r="L26" s="170"/>
    </row>
    <row r="27" spans="12:27" ht="15.75" x14ac:dyDescent="0.25">
      <c r="L27" s="221"/>
    </row>
    <row r="28" spans="12:27" ht="15.75" x14ac:dyDescent="0.25">
      <c r="L28" s="169"/>
    </row>
    <row r="29" spans="12:27" ht="15.75" x14ac:dyDescent="0.25">
      <c r="L29" s="169"/>
    </row>
    <row r="32" spans="12:27" ht="30" x14ac:dyDescent="0.25">
      <c r="O32" s="3" t="s">
        <v>5</v>
      </c>
      <c r="P32" s="38" t="s">
        <v>29</v>
      </c>
      <c r="Q32" s="37" t="s">
        <v>34</v>
      </c>
      <c r="R32" s="37" t="s">
        <v>27</v>
      </c>
      <c r="S32" s="38" t="s">
        <v>39</v>
      </c>
      <c r="T32" s="38" t="s">
        <v>30</v>
      </c>
      <c r="U32" s="74" t="s">
        <v>36</v>
      </c>
      <c r="V32" s="38" t="s">
        <v>31</v>
      </c>
      <c r="W32" s="520" t="s">
        <v>439</v>
      </c>
      <c r="X32" s="520" t="s">
        <v>438</v>
      </c>
      <c r="Y32" s="520" t="s">
        <v>448</v>
      </c>
      <c r="Z32" s="520" t="s">
        <v>291</v>
      </c>
      <c r="AA32" s="520" t="s">
        <v>449</v>
      </c>
    </row>
    <row r="33" spans="15:27" x14ac:dyDescent="0.25">
      <c r="O33" s="70">
        <v>1321.95</v>
      </c>
      <c r="P33" s="32">
        <v>1</v>
      </c>
      <c r="Q33" s="33">
        <f>IF(AA33&gt;Z33,AA33,Z33)</f>
        <v>1321.95</v>
      </c>
      <c r="R33" s="30">
        <v>125</v>
      </c>
      <c r="S33" s="79">
        <v>0.02</v>
      </c>
      <c r="T33" s="33">
        <f>Q33+R33</f>
        <v>1446.95</v>
      </c>
      <c r="U33" s="77">
        <f>ROUNDUP(T33*S33,0)</f>
        <v>29</v>
      </c>
      <c r="V33" s="33">
        <f>T33+U33</f>
        <v>1475.95</v>
      </c>
      <c r="W33" s="33">
        <f>(S33+T33)*3</f>
        <v>4340.91</v>
      </c>
      <c r="X33" s="33">
        <f>(T33+U33)*2</f>
        <v>2951.9</v>
      </c>
      <c r="Y33" s="33">
        <f>(U33+V33)*1.5</f>
        <v>2257.4250000000002</v>
      </c>
      <c r="Z33" s="529">
        <f>O33*P33</f>
        <v>1321.95</v>
      </c>
      <c r="AA33" s="528">
        <v>250</v>
      </c>
    </row>
    <row r="35" spans="15:27" ht="15.75" thickBot="1" x14ac:dyDescent="0.3"/>
    <row r="36" spans="15:27" ht="15.75" thickTop="1" x14ac:dyDescent="0.25">
      <c r="T36" s="391" t="s">
        <v>296</v>
      </c>
      <c r="U36" s="392"/>
      <c r="V36" s="393">
        <f>O33</f>
        <v>1321.95</v>
      </c>
      <c r="X36" s="391" t="s">
        <v>34</v>
      </c>
      <c r="Y36" s="392"/>
      <c r="Z36" s="393">
        <f>Q33</f>
        <v>1321.95</v>
      </c>
    </row>
    <row r="37" spans="15:27" x14ac:dyDescent="0.25">
      <c r="T37" s="394" t="s">
        <v>297</v>
      </c>
      <c r="U37" s="390"/>
      <c r="V37" s="395">
        <f>P33</f>
        <v>1</v>
      </c>
      <c r="X37" s="394" t="s">
        <v>297</v>
      </c>
      <c r="Y37" s="390"/>
      <c r="Z37" s="395">
        <f>P33</f>
        <v>1</v>
      </c>
    </row>
    <row r="38" spans="15:27" x14ac:dyDescent="0.25">
      <c r="T38" s="394" t="s">
        <v>298</v>
      </c>
      <c r="U38" s="390"/>
      <c r="V38" s="396">
        <f>R33</f>
        <v>125</v>
      </c>
      <c r="X38" s="394" t="s">
        <v>298</v>
      </c>
      <c r="Y38" s="390"/>
      <c r="Z38" s="396">
        <f>R33</f>
        <v>125</v>
      </c>
    </row>
    <row r="39" spans="15:27" x14ac:dyDescent="0.25">
      <c r="T39" s="394" t="s">
        <v>299</v>
      </c>
      <c r="U39" s="390"/>
      <c r="V39" s="397">
        <f>U33</f>
        <v>29</v>
      </c>
      <c r="X39" s="394" t="s">
        <v>299</v>
      </c>
      <c r="Y39" s="390"/>
      <c r="Z39" s="397">
        <f>U33</f>
        <v>29</v>
      </c>
    </row>
    <row r="40" spans="15:27" x14ac:dyDescent="0.25">
      <c r="T40" s="394" t="s">
        <v>300</v>
      </c>
      <c r="U40" s="390"/>
      <c r="V40" s="397">
        <f>V33</f>
        <v>1475.95</v>
      </c>
      <c r="X40" s="394" t="s">
        <v>300</v>
      </c>
      <c r="Y40" s="390"/>
      <c r="Z40" s="397">
        <f>V33</f>
        <v>1475.95</v>
      </c>
    </row>
    <row r="41" spans="15:27" ht="15.75" thickBot="1" x14ac:dyDescent="0.3">
      <c r="T41" s="398" t="s">
        <v>313</v>
      </c>
      <c r="U41" s="532" t="s">
        <v>314</v>
      </c>
      <c r="V41" s="533"/>
      <c r="X41" s="398" t="s">
        <v>313</v>
      </c>
      <c r="Y41" s="532" t="s">
        <v>314</v>
      </c>
      <c r="Z41" s="533"/>
    </row>
    <row r="42" spans="15:27" ht="15.75" thickTop="1" x14ac:dyDescent="0.25"/>
    <row r="46" spans="15:27" ht="28.5" customHeight="1" x14ac:dyDescent="0.25"/>
  </sheetData>
  <mergeCells count="2">
    <mergeCell ref="U41:V41"/>
    <mergeCell ref="Y41:Z41"/>
  </mergeCells>
  <pageMargins left="0.7" right="0.7" top="0.75" bottom="0.75" header="0.3" footer="0.3"/>
  <pageSetup scale="4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56FC-29BE-44A4-80A4-B74D85CCB5E0}">
  <sheetPr>
    <tabColor rgb="FF7030A0"/>
  </sheetPr>
  <dimension ref="A1:W3"/>
  <sheetViews>
    <sheetView workbookViewId="0">
      <selection activeCell="B4" sqref="B4"/>
    </sheetView>
  </sheetViews>
  <sheetFormatPr defaultRowHeight="15" x14ac:dyDescent="0.25"/>
  <cols>
    <col min="16" max="16" width="11.85546875" customWidth="1"/>
    <col min="19" max="19" width="11.5703125" customWidth="1"/>
    <col min="21" max="21" width="13.5703125" customWidth="1"/>
  </cols>
  <sheetData>
    <row r="1" spans="1:23" ht="21" x14ac:dyDescent="0.25">
      <c r="A1" s="80" t="s">
        <v>462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2"/>
      <c r="O1" s="82"/>
      <c r="P1" s="83"/>
      <c r="Q1" s="84"/>
      <c r="R1" s="85"/>
      <c r="S1" s="83"/>
      <c r="T1" s="86"/>
      <c r="U1" s="83"/>
      <c r="V1" s="82"/>
      <c r="W1" s="87"/>
    </row>
    <row r="2" spans="1:23" ht="45" x14ac:dyDescent="0.25">
      <c r="A2" s="4" t="s">
        <v>13</v>
      </c>
      <c r="B2" s="4" t="s">
        <v>7</v>
      </c>
      <c r="C2" s="2" t="s">
        <v>2</v>
      </c>
      <c r="D2" s="4" t="s">
        <v>1</v>
      </c>
      <c r="E2" s="5" t="s">
        <v>20</v>
      </c>
      <c r="F2" s="4" t="s">
        <v>14</v>
      </c>
      <c r="G2" s="4" t="s">
        <v>15</v>
      </c>
      <c r="H2" s="4" t="s">
        <v>17</v>
      </c>
      <c r="I2" s="4" t="s">
        <v>16</v>
      </c>
      <c r="J2" s="4" t="s">
        <v>18</v>
      </c>
      <c r="K2" s="2" t="s">
        <v>24</v>
      </c>
      <c r="L2" s="2" t="s">
        <v>25</v>
      </c>
      <c r="M2" s="6" t="s">
        <v>19</v>
      </c>
      <c r="N2" s="37"/>
      <c r="O2" s="38" t="s">
        <v>29</v>
      </c>
      <c r="P2" s="44" t="s">
        <v>34</v>
      </c>
      <c r="Q2" s="42" t="s">
        <v>27</v>
      </c>
      <c r="R2" s="73" t="s">
        <v>39</v>
      </c>
      <c r="S2" s="44" t="s">
        <v>30</v>
      </c>
      <c r="T2" s="45" t="s">
        <v>36</v>
      </c>
      <c r="U2" s="44" t="s">
        <v>31</v>
      </c>
      <c r="V2" s="37" t="s">
        <v>32</v>
      </c>
      <c r="W2" s="41" t="s">
        <v>33</v>
      </c>
    </row>
    <row r="3" spans="1:23" x14ac:dyDescent="0.25">
      <c r="A3" s="14">
        <v>21.35</v>
      </c>
      <c r="B3" s="14">
        <v>9.94</v>
      </c>
      <c r="C3" s="66" t="s">
        <v>0</v>
      </c>
      <c r="D3" s="16">
        <v>0.02</v>
      </c>
      <c r="E3" s="16">
        <f t="shared" ref="E3" si="0">A3*3.14</f>
        <v>67.039000000000001</v>
      </c>
      <c r="F3" s="17">
        <f t="shared" ref="F3" si="1">E3/D3</f>
        <v>3351.95</v>
      </c>
      <c r="G3" s="16">
        <f t="shared" ref="G3" si="2">B3/10</f>
        <v>0.99399999999999999</v>
      </c>
      <c r="H3" s="16">
        <v>25</v>
      </c>
      <c r="I3" s="19">
        <f t="shared" ref="I3" si="3">G3*F3/60</f>
        <v>55.530638333333329</v>
      </c>
      <c r="J3" s="20">
        <f t="shared" ref="J3" si="4">I3+H3</f>
        <v>80.530638333333329</v>
      </c>
      <c r="K3" s="68">
        <v>275</v>
      </c>
      <c r="L3" s="69">
        <f t="shared" ref="L3" si="5">K3/60</f>
        <v>4.583333333333333</v>
      </c>
      <c r="M3" s="18">
        <f t="shared" ref="M3" si="6">ROUNDUP(J3*L3,1)</f>
        <v>369.1</v>
      </c>
      <c r="N3" s="21" t="s">
        <v>461</v>
      </c>
      <c r="O3" s="32">
        <v>8</v>
      </c>
      <c r="P3" s="33">
        <f>M3*O3</f>
        <v>2952.8</v>
      </c>
      <c r="Q3" s="30">
        <v>125</v>
      </c>
      <c r="R3" s="79">
        <v>0.02</v>
      </c>
      <c r="S3" s="33">
        <f t="shared" ref="S3" si="7">P3+Q3</f>
        <v>3077.8</v>
      </c>
      <c r="T3" s="77">
        <f>ROUNDUP(S3*R3,0)</f>
        <v>62</v>
      </c>
      <c r="U3" s="33">
        <f t="shared" ref="U3" si="8">S3+T3</f>
        <v>3139.8</v>
      </c>
      <c r="V3" s="57">
        <v>225</v>
      </c>
      <c r="W3" s="78">
        <f t="shared" ref="W3" si="9">ROUNDDOWN(V3/M3,0)</f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0509-AC13-4E24-B780-B83B4EF1B3D3}">
  <sheetPr>
    <tabColor rgb="FF7030A0"/>
  </sheetPr>
  <dimension ref="A1:Z22"/>
  <sheetViews>
    <sheetView tabSelected="1" workbookViewId="0">
      <selection activeCell="I18" sqref="I18"/>
    </sheetView>
  </sheetViews>
  <sheetFormatPr defaultRowHeight="15" x14ac:dyDescent="0.25"/>
  <cols>
    <col min="1" max="1" width="17.7109375" customWidth="1"/>
    <col min="3" max="3" width="14.85546875" customWidth="1"/>
    <col min="4" max="4" width="11.5703125" customWidth="1"/>
    <col min="5" max="5" width="11.85546875" customWidth="1"/>
    <col min="6" max="6" width="21.28515625" customWidth="1"/>
    <col min="7" max="7" width="10.7109375" customWidth="1"/>
    <col min="9" max="9" width="15" customWidth="1"/>
    <col min="10" max="10" width="11" customWidth="1"/>
    <col min="11" max="11" width="18.140625" customWidth="1"/>
    <col min="12" max="12" width="10.42578125" customWidth="1"/>
  </cols>
  <sheetData>
    <row r="1" spans="1:26" ht="31.5" x14ac:dyDescent="0.5">
      <c r="A1" s="534" t="s">
        <v>442</v>
      </c>
      <c r="B1" s="534"/>
      <c r="C1" s="534"/>
      <c r="D1" s="534"/>
      <c r="E1" s="534"/>
    </row>
    <row r="3" spans="1:26" ht="26.25" x14ac:dyDescent="0.25">
      <c r="A3" s="134" t="s">
        <v>147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82"/>
      <c r="P3" s="82"/>
      <c r="Q3" s="181"/>
      <c r="R3" s="181"/>
      <c r="S3" s="181"/>
      <c r="T3" s="181"/>
      <c r="U3" s="181"/>
      <c r="V3" s="181"/>
      <c r="W3" s="181"/>
      <c r="X3" s="181"/>
      <c r="Y3" s="181"/>
      <c r="Z3" s="88"/>
    </row>
    <row r="4" spans="1:26" ht="45" x14ac:dyDescent="0.25">
      <c r="A4" s="111" t="s">
        <v>23</v>
      </c>
      <c r="B4" s="111" t="s">
        <v>8</v>
      </c>
      <c r="C4" s="111" t="s">
        <v>7</v>
      </c>
      <c r="D4" s="111" t="s">
        <v>2</v>
      </c>
      <c r="E4" s="111" t="s">
        <v>1</v>
      </c>
      <c r="F4" s="111" t="s">
        <v>6</v>
      </c>
      <c r="G4" s="111" t="s">
        <v>3</v>
      </c>
      <c r="H4" s="111" t="s">
        <v>21</v>
      </c>
      <c r="I4" s="111" t="s">
        <v>9</v>
      </c>
      <c r="J4" s="111" t="s">
        <v>4</v>
      </c>
      <c r="K4" s="111" t="s">
        <v>10</v>
      </c>
      <c r="L4" s="111" t="s">
        <v>24</v>
      </c>
      <c r="M4" s="111" t="s">
        <v>25</v>
      </c>
      <c r="N4" s="112" t="s">
        <v>5</v>
      </c>
      <c r="O4" s="112" t="s">
        <v>351</v>
      </c>
      <c r="P4" s="416" t="s">
        <v>235</v>
      </c>
      <c r="Q4" s="113" t="s">
        <v>27</v>
      </c>
      <c r="R4" s="113" t="s">
        <v>38</v>
      </c>
      <c r="S4" s="114" t="s">
        <v>35</v>
      </c>
      <c r="T4" s="114" t="s">
        <v>34</v>
      </c>
      <c r="U4" s="44" t="s">
        <v>30</v>
      </c>
      <c r="V4" s="113" t="s">
        <v>36</v>
      </c>
      <c r="W4" s="115" t="s">
        <v>31</v>
      </c>
      <c r="X4" s="113"/>
      <c r="Y4" s="113" t="s">
        <v>32</v>
      </c>
      <c r="Z4" s="114" t="s">
        <v>33</v>
      </c>
    </row>
    <row r="5" spans="1:26" x14ac:dyDescent="0.25">
      <c r="A5" s="65">
        <v>1.25</v>
      </c>
      <c r="B5" s="65">
        <v>10.25</v>
      </c>
      <c r="C5" s="65">
        <v>13.5</v>
      </c>
      <c r="D5" s="66">
        <v>0.125</v>
      </c>
      <c r="E5" s="66">
        <v>4.4999999999999998E-2</v>
      </c>
      <c r="F5" s="66">
        <f>(A5+B5)*C5</f>
        <v>155.25</v>
      </c>
      <c r="G5" s="66">
        <f>(A5+B5)/E5</f>
        <v>255.55555555555557</v>
      </c>
      <c r="H5" s="66">
        <f t="shared" ref="H5" si="0">C5/10</f>
        <v>1.35</v>
      </c>
      <c r="I5" s="66">
        <v>3</v>
      </c>
      <c r="J5" s="67">
        <f t="shared" ref="J5" si="1">H5*G5/60</f>
        <v>5.7500000000000009</v>
      </c>
      <c r="K5" s="67">
        <f>J5+I5</f>
        <v>8.75</v>
      </c>
      <c r="L5" s="68">
        <v>250</v>
      </c>
      <c r="M5" s="69">
        <f>L5/60</f>
        <v>4.166666666666667</v>
      </c>
      <c r="N5" s="70">
        <f>ROUNDUP(K5*M5,1)</f>
        <v>36.5</v>
      </c>
      <c r="O5" s="415">
        <f>N5*R5</f>
        <v>0.73</v>
      </c>
      <c r="P5" s="415">
        <f>ROUNDUP(N5+O5,1)</f>
        <v>37.300000000000004</v>
      </c>
      <c r="Q5" s="30">
        <v>125</v>
      </c>
      <c r="R5" s="71">
        <v>0.02</v>
      </c>
      <c r="S5" s="32">
        <v>55</v>
      </c>
      <c r="T5" s="33">
        <f>P5*S5</f>
        <v>2051.5000000000005</v>
      </c>
      <c r="U5" s="33">
        <f>T5+Q5</f>
        <v>2176.5000000000005</v>
      </c>
      <c r="V5" s="33">
        <f>ROUNDUP(U5*R5,0)</f>
        <v>44</v>
      </c>
      <c r="W5" s="33">
        <f>U5+V5</f>
        <v>2220.5000000000005</v>
      </c>
      <c r="X5" s="34"/>
      <c r="Y5" s="57">
        <v>275</v>
      </c>
      <c r="Z5" s="36">
        <f>ROUNDDOWN(Y5/N5,0)</f>
        <v>7</v>
      </c>
    </row>
    <row r="6" spans="1:26" ht="26.25" x14ac:dyDescent="0.25">
      <c r="A6" s="1"/>
      <c r="B6" s="168" t="s">
        <v>148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  <c r="P6" s="60"/>
      <c r="Q6" s="61"/>
      <c r="R6" s="62"/>
      <c r="S6" s="60"/>
      <c r="T6" s="63"/>
      <c r="U6" s="63"/>
      <c r="V6" s="63"/>
      <c r="W6" s="63"/>
      <c r="X6" s="60"/>
      <c r="Y6" s="60"/>
      <c r="Z6" s="64"/>
    </row>
    <row r="7" spans="1:26" ht="45" x14ac:dyDescent="0.25">
      <c r="A7" s="1"/>
      <c r="B7" s="4" t="s">
        <v>13</v>
      </c>
      <c r="C7" s="4" t="s">
        <v>7</v>
      </c>
      <c r="D7" s="2" t="s">
        <v>2</v>
      </c>
      <c r="E7" s="4" t="s">
        <v>1</v>
      </c>
      <c r="F7" s="5" t="s">
        <v>20</v>
      </c>
      <c r="G7" s="4" t="s">
        <v>14</v>
      </c>
      <c r="H7" s="4" t="s">
        <v>15</v>
      </c>
      <c r="I7" s="4" t="s">
        <v>17</v>
      </c>
      <c r="J7" s="4" t="s">
        <v>16</v>
      </c>
      <c r="K7" s="4" t="s">
        <v>18</v>
      </c>
      <c r="L7" s="2" t="s">
        <v>24</v>
      </c>
      <c r="M7" s="2" t="s">
        <v>25</v>
      </c>
      <c r="N7" s="6" t="s">
        <v>19</v>
      </c>
      <c r="O7" s="112" t="s">
        <v>351</v>
      </c>
      <c r="P7" s="416" t="s">
        <v>235</v>
      </c>
      <c r="Q7" s="42" t="s">
        <v>27</v>
      </c>
      <c r="R7" s="43" t="s">
        <v>38</v>
      </c>
      <c r="S7" s="49" t="s">
        <v>35</v>
      </c>
      <c r="T7" s="52" t="s">
        <v>34</v>
      </c>
      <c r="U7" s="44" t="s">
        <v>30</v>
      </c>
      <c r="V7" s="53" t="s">
        <v>36</v>
      </c>
      <c r="W7" s="46" t="s">
        <v>37</v>
      </c>
      <c r="X7" s="21"/>
      <c r="Y7" s="37" t="s">
        <v>32</v>
      </c>
      <c r="Z7" s="37" t="s">
        <v>33</v>
      </c>
    </row>
    <row r="8" spans="1:26" x14ac:dyDescent="0.25">
      <c r="A8" s="1"/>
      <c r="B8" s="14">
        <v>0.5</v>
      </c>
      <c r="C8" s="14">
        <v>44</v>
      </c>
      <c r="D8" s="66" t="s">
        <v>0</v>
      </c>
      <c r="E8" s="16">
        <v>4.4999999999999998E-2</v>
      </c>
      <c r="F8" s="16">
        <f>B8*3.14</f>
        <v>1.57</v>
      </c>
      <c r="G8" s="17">
        <f>F8/E8</f>
        <v>34.888888888888893</v>
      </c>
      <c r="H8" s="16">
        <f>C8/10</f>
        <v>4.4000000000000004</v>
      </c>
      <c r="I8" s="16">
        <v>3.5</v>
      </c>
      <c r="J8" s="19">
        <f>H8*G8/60</f>
        <v>2.5585185185185191</v>
      </c>
      <c r="K8" s="20">
        <f>J8+I8</f>
        <v>6.0585185185185191</v>
      </c>
      <c r="L8" s="68">
        <v>250</v>
      </c>
      <c r="M8" s="69">
        <f>L8/60</f>
        <v>4.166666666666667</v>
      </c>
      <c r="N8" s="18">
        <f>ROUNDUP(K8*M8,1)</f>
        <v>25.3</v>
      </c>
      <c r="O8" s="415">
        <f>N8*R8</f>
        <v>0.50600000000000001</v>
      </c>
      <c r="P8" s="415">
        <f>ROUNDUP(N8+O8,1)</f>
        <v>25.900000000000002</v>
      </c>
      <c r="Q8" s="30">
        <v>125</v>
      </c>
      <c r="R8" s="71">
        <v>0.02</v>
      </c>
      <c r="S8" s="32">
        <v>36</v>
      </c>
      <c r="T8" s="55">
        <f>P8*S8</f>
        <v>932.40000000000009</v>
      </c>
      <c r="U8" s="55">
        <f>T8+Q8</f>
        <v>1057.4000000000001</v>
      </c>
      <c r="V8" s="33">
        <f>ROUNDUP(U8*R8,0)</f>
        <v>22</v>
      </c>
      <c r="W8" s="33">
        <f t="shared" ref="W8" si="2">U8+V8</f>
        <v>1079.4000000000001</v>
      </c>
      <c r="X8" s="56"/>
      <c r="Y8" s="58">
        <v>275</v>
      </c>
      <c r="Z8" s="47">
        <f>ROUNDDOWN(Y8/N8,0)</f>
        <v>10</v>
      </c>
    </row>
    <row r="12" spans="1:26" ht="45" x14ac:dyDescent="0.25">
      <c r="A12" s="3" t="s">
        <v>5</v>
      </c>
      <c r="B12" s="38" t="s">
        <v>29</v>
      </c>
      <c r="C12" s="37" t="s">
        <v>34</v>
      </c>
      <c r="D12" s="38" t="s">
        <v>27</v>
      </c>
      <c r="E12" s="37" t="s">
        <v>443</v>
      </c>
      <c r="F12" s="38" t="s">
        <v>39</v>
      </c>
      <c r="G12" s="38" t="s">
        <v>30</v>
      </c>
      <c r="H12" s="74" t="s">
        <v>36</v>
      </c>
      <c r="I12" s="38" t="s">
        <v>31</v>
      </c>
      <c r="J12" s="41" t="s">
        <v>439</v>
      </c>
      <c r="K12" s="41" t="s">
        <v>438</v>
      </c>
      <c r="L12" s="41" t="s">
        <v>438</v>
      </c>
      <c r="M12" s="246" t="s">
        <v>32</v>
      </c>
      <c r="N12" s="520" t="s">
        <v>204</v>
      </c>
    </row>
    <row r="13" spans="1:26" x14ac:dyDescent="0.25">
      <c r="A13" s="70">
        <v>850</v>
      </c>
      <c r="B13" s="32">
        <v>1</v>
      </c>
      <c r="C13" s="33">
        <f>IF(N13&gt;M13,N13,M13)</f>
        <v>850</v>
      </c>
      <c r="D13" s="30">
        <v>150</v>
      </c>
      <c r="E13" s="30">
        <v>125</v>
      </c>
      <c r="F13" s="79">
        <v>0.02</v>
      </c>
      <c r="G13" s="33">
        <f>C13+D13+E13</f>
        <v>1125</v>
      </c>
      <c r="H13" s="77">
        <f>ROUNDUP(G13*F13,0)</f>
        <v>23</v>
      </c>
      <c r="I13" s="33">
        <f>G13+H13</f>
        <v>1148</v>
      </c>
      <c r="J13" s="33">
        <f>(F13+G13)*3</f>
        <v>3375.06</v>
      </c>
      <c r="K13" s="33">
        <f>(G13+H13)*2</f>
        <v>2296</v>
      </c>
      <c r="L13" s="33">
        <f>(H13+I13)*1.5</f>
        <v>1756.5</v>
      </c>
      <c r="M13" s="524">
        <v>250</v>
      </c>
      <c r="N13" s="97">
        <f>A13*B13</f>
        <v>850</v>
      </c>
    </row>
    <row r="14" spans="1:26" ht="15.75" thickBot="1" x14ac:dyDescent="0.3"/>
    <row r="15" spans="1:26" ht="15.75" thickTop="1" x14ac:dyDescent="0.25">
      <c r="A15" s="351" t="s">
        <v>359</v>
      </c>
      <c r="B15" s="352"/>
      <c r="C15" s="352"/>
      <c r="D15" s="489">
        <f>A13</f>
        <v>850</v>
      </c>
      <c r="F15" s="351" t="s">
        <v>285</v>
      </c>
      <c r="G15" s="352"/>
      <c r="H15" s="352"/>
      <c r="I15" s="525">
        <f>M13</f>
        <v>250</v>
      </c>
    </row>
    <row r="16" spans="1:26" x14ac:dyDescent="0.25">
      <c r="A16" s="373" t="s">
        <v>286</v>
      </c>
      <c r="D16" s="374">
        <f>B13</f>
        <v>1</v>
      </c>
      <c r="E16" s="1"/>
      <c r="F16" s="373" t="s">
        <v>286</v>
      </c>
      <c r="I16" s="374">
        <f>B13</f>
        <v>1</v>
      </c>
    </row>
    <row r="17" spans="1:9" x14ac:dyDescent="0.25">
      <c r="A17" s="490" t="s">
        <v>411</v>
      </c>
      <c r="B17" s="1"/>
      <c r="C17" s="1"/>
      <c r="D17" s="491">
        <f>D13</f>
        <v>150</v>
      </c>
      <c r="E17" s="1"/>
      <c r="F17" s="490" t="s">
        <v>411</v>
      </c>
      <c r="G17" s="1"/>
      <c r="H17" s="1"/>
      <c r="I17" s="491">
        <f>D13</f>
        <v>150</v>
      </c>
    </row>
    <row r="18" spans="1:9" x14ac:dyDescent="0.25">
      <c r="A18" s="490" t="s">
        <v>444</v>
      </c>
      <c r="B18" s="1"/>
      <c r="C18" s="1"/>
      <c r="D18" s="491">
        <f>E13</f>
        <v>125</v>
      </c>
      <c r="E18" s="1"/>
      <c r="F18" s="490" t="s">
        <v>444</v>
      </c>
      <c r="G18" s="1"/>
      <c r="H18" s="1"/>
      <c r="I18" s="491">
        <f>E13</f>
        <v>125</v>
      </c>
    </row>
    <row r="19" spans="1:9" x14ac:dyDescent="0.25">
      <c r="A19" s="373" t="s">
        <v>445</v>
      </c>
      <c r="D19" s="492">
        <f>H13</f>
        <v>23</v>
      </c>
      <c r="E19" s="1"/>
      <c r="F19" s="373" t="s">
        <v>445</v>
      </c>
      <c r="I19" s="492">
        <f>H13</f>
        <v>23</v>
      </c>
    </row>
    <row r="20" spans="1:9" x14ac:dyDescent="0.25">
      <c r="A20" s="373" t="s">
        <v>414</v>
      </c>
      <c r="D20" s="492">
        <f>I13</f>
        <v>1148</v>
      </c>
      <c r="E20" s="1"/>
      <c r="F20" s="373" t="s">
        <v>414</v>
      </c>
      <c r="I20" s="492">
        <f>I13</f>
        <v>1148</v>
      </c>
    </row>
    <row r="21" spans="1:9" ht="15.75" thickBot="1" x14ac:dyDescent="0.3">
      <c r="A21" s="353" t="s">
        <v>309</v>
      </c>
      <c r="B21" s="354"/>
      <c r="C21" s="354"/>
      <c r="D21" s="493" t="s">
        <v>310</v>
      </c>
      <c r="E21" s="1"/>
      <c r="F21" s="353" t="s">
        <v>309</v>
      </c>
      <c r="G21" s="354"/>
      <c r="H21" s="354"/>
      <c r="I21" s="493" t="s">
        <v>310</v>
      </c>
    </row>
    <row r="22" spans="1:9" ht="15.75" thickTop="1" x14ac:dyDescent="0.25"/>
  </sheetData>
  <mergeCells count="1">
    <mergeCell ref="A1:E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2891-A47C-48F9-A64F-DC9F85CF9DF5}">
  <sheetPr>
    <tabColor rgb="FF7030A0"/>
  </sheetPr>
  <dimension ref="A1:X30"/>
  <sheetViews>
    <sheetView zoomScale="130" zoomScaleNormal="130" workbookViewId="0">
      <selection activeCell="E19" sqref="E19"/>
    </sheetView>
  </sheetViews>
  <sheetFormatPr defaultRowHeight="15" x14ac:dyDescent="0.25"/>
  <cols>
    <col min="4" max="4" width="10.42578125" bestFit="1" customWidth="1"/>
    <col min="5" max="5" width="12.5703125" customWidth="1"/>
    <col min="8" max="8" width="10.28515625" customWidth="1"/>
    <col min="10" max="10" width="13.85546875" customWidth="1"/>
    <col min="12" max="12" width="10" customWidth="1"/>
    <col min="14" max="14" width="10.140625" customWidth="1"/>
    <col min="17" max="17" width="11.28515625" customWidth="1"/>
    <col min="19" max="19" width="14.28515625" customWidth="1"/>
    <col min="20" max="20" width="13.7109375" customWidth="1"/>
    <col min="21" max="21" width="22.85546875" customWidth="1"/>
  </cols>
  <sheetData>
    <row r="1" spans="1:24" ht="90" x14ac:dyDescent="0.25">
      <c r="A1" t="s">
        <v>126</v>
      </c>
      <c r="B1" s="184" t="s">
        <v>127</v>
      </c>
      <c r="C1" s="272" t="s">
        <v>20</v>
      </c>
      <c r="D1" s="272" t="s">
        <v>128</v>
      </c>
      <c r="E1" s="272" t="s">
        <v>129</v>
      </c>
      <c r="F1" s="273" t="s">
        <v>130</v>
      </c>
      <c r="G1" s="273" t="s">
        <v>131</v>
      </c>
      <c r="H1" s="272" t="s">
        <v>132</v>
      </c>
      <c r="I1" s="186" t="s">
        <v>133</v>
      </c>
      <c r="J1" s="184" t="s">
        <v>134</v>
      </c>
      <c r="K1" s="184" t="s">
        <v>135</v>
      </c>
      <c r="L1" s="184"/>
      <c r="M1" s="184" t="s">
        <v>136</v>
      </c>
      <c r="N1" s="184" t="s">
        <v>137</v>
      </c>
      <c r="O1" s="187" t="s">
        <v>135</v>
      </c>
      <c r="P1" s="187" t="s">
        <v>138</v>
      </c>
      <c r="Q1" s="184" t="s">
        <v>139</v>
      </c>
      <c r="S1" t="s">
        <v>140</v>
      </c>
      <c r="T1" t="s">
        <v>195</v>
      </c>
      <c r="U1" s="535" t="s">
        <v>126</v>
      </c>
      <c r="V1" s="537" t="s">
        <v>127</v>
      </c>
      <c r="W1" s="271"/>
      <c r="X1" s="95" t="s">
        <v>192</v>
      </c>
    </row>
    <row r="2" spans="1:24" ht="15.75" thickBot="1" x14ac:dyDescent="0.3">
      <c r="A2" s="95"/>
      <c r="B2" s="95"/>
      <c r="C2" s="272"/>
      <c r="D2" s="272"/>
      <c r="E2" s="272"/>
      <c r="F2" s="272"/>
      <c r="G2" s="272"/>
      <c r="H2" s="272"/>
      <c r="I2" s="164"/>
      <c r="O2" s="188"/>
      <c r="P2" s="188"/>
      <c r="U2" s="536"/>
      <c r="V2" s="538"/>
      <c r="W2" s="261" t="s">
        <v>141</v>
      </c>
      <c r="X2" s="95"/>
    </row>
    <row r="3" spans="1:24" x14ac:dyDescent="0.25">
      <c r="A3" s="95">
        <v>0.25</v>
      </c>
      <c r="B3" s="95">
        <v>144</v>
      </c>
      <c r="C3" s="272">
        <f>(A3*3.1456789)</f>
        <v>0.78641972500000001</v>
      </c>
      <c r="D3" s="272">
        <v>7.4999999999999997E-2</v>
      </c>
      <c r="E3" s="272">
        <f>12/60</f>
        <v>0.2</v>
      </c>
      <c r="F3" s="274">
        <f t="shared" ref="F3:F22" si="0">H3/60</f>
        <v>3.75</v>
      </c>
      <c r="G3" s="272">
        <f>((B3/E3*D3)/60)+T3</f>
        <v>5.9</v>
      </c>
      <c r="H3" s="275">
        <v>225</v>
      </c>
      <c r="I3" s="276">
        <v>1</v>
      </c>
      <c r="J3" s="189">
        <f t="shared" ref="J3:J22" si="1">(G3*F3)*C3</f>
        <v>17.399536415625001</v>
      </c>
      <c r="K3" s="190">
        <v>0.02</v>
      </c>
      <c r="L3" s="191">
        <f>(J3)+J3*K3</f>
        <v>17.7475271439375</v>
      </c>
      <c r="M3" s="189">
        <f>ROUNDUP(L3-J3,0)</f>
        <v>1</v>
      </c>
      <c r="N3" s="189">
        <f>J3+M3</f>
        <v>18.399536415625001</v>
      </c>
      <c r="O3" s="189">
        <f>I3*M3</f>
        <v>1</v>
      </c>
      <c r="P3" s="188">
        <f t="shared" ref="P3:P20" si="2">S3/J3</f>
        <v>12.931379010646927</v>
      </c>
      <c r="Q3" s="191">
        <f>(J3*I3)+O3</f>
        <v>18.399536415625001</v>
      </c>
      <c r="R3" s="191"/>
      <c r="S3" s="192">
        <v>225</v>
      </c>
      <c r="T3" s="277">
        <v>5</v>
      </c>
      <c r="U3" s="262">
        <v>0.25</v>
      </c>
      <c r="V3" s="263">
        <v>144</v>
      </c>
      <c r="W3" s="264"/>
      <c r="X3" s="95"/>
    </row>
    <row r="4" spans="1:24" x14ac:dyDescent="0.25">
      <c r="A4" s="95">
        <v>0.26</v>
      </c>
      <c r="B4" s="95">
        <v>144</v>
      </c>
      <c r="C4" s="272">
        <f t="shared" ref="C4:C22" si="3">(A4*3.1456789)</f>
        <v>0.81787651400000005</v>
      </c>
      <c r="D4" s="272">
        <v>5.8700000000000002E-2</v>
      </c>
      <c r="E4" s="272">
        <f t="shared" ref="E4:E22" si="4">12/60</f>
        <v>0.2</v>
      </c>
      <c r="F4" s="274">
        <f t="shared" si="0"/>
        <v>3.75</v>
      </c>
      <c r="G4" s="272">
        <f t="shared" ref="G4:G22" si="5">((B4/E4*D4)/60)+T4</f>
        <v>5.7043999999999997</v>
      </c>
      <c r="H4" s="275">
        <v>225</v>
      </c>
      <c r="I4" s="276">
        <v>1</v>
      </c>
      <c r="J4" s="189">
        <f t="shared" si="1"/>
        <v>17.495605449231</v>
      </c>
      <c r="K4" s="190">
        <v>0.02</v>
      </c>
      <c r="L4" s="191">
        <f t="shared" ref="L4:L22" si="6">(J4)+J4*K4</f>
        <v>17.845517558215619</v>
      </c>
      <c r="M4" s="189">
        <f t="shared" ref="M4:M22" si="7">ROUNDUP(L4-J4,0)</f>
        <v>1</v>
      </c>
      <c r="N4" s="189">
        <f t="shared" ref="N4:N22" si="8">J4+M4</f>
        <v>18.495605449231</v>
      </c>
      <c r="O4" s="189">
        <f>I4*M4</f>
        <v>1</v>
      </c>
      <c r="P4" s="188">
        <f t="shared" si="2"/>
        <v>12.860372317660469</v>
      </c>
      <c r="Q4" s="191">
        <f t="shared" ref="Q4:Q20" si="9">(J4*I4)+O4</f>
        <v>18.495605449231</v>
      </c>
      <c r="S4" s="192">
        <v>225</v>
      </c>
      <c r="T4" s="277">
        <v>5</v>
      </c>
      <c r="U4" s="265">
        <v>0.26</v>
      </c>
      <c r="V4" s="99">
        <v>144</v>
      </c>
      <c r="W4" s="266"/>
      <c r="X4" s="95"/>
    </row>
    <row r="5" spans="1:24" x14ac:dyDescent="0.25">
      <c r="A5" s="95">
        <v>0.27500000000000002</v>
      </c>
      <c r="B5" s="95">
        <v>144</v>
      </c>
      <c r="C5" s="272">
        <f t="shared" si="3"/>
        <v>0.86506169750000006</v>
      </c>
      <c r="D5" s="272">
        <v>5.8700000000000002E-2</v>
      </c>
      <c r="E5" s="272">
        <f t="shared" si="4"/>
        <v>0.2</v>
      </c>
      <c r="F5" s="274">
        <f t="shared" si="0"/>
        <v>3.75</v>
      </c>
      <c r="G5" s="272">
        <f t="shared" si="5"/>
        <v>5.7043999999999997</v>
      </c>
      <c r="H5" s="275">
        <v>225</v>
      </c>
      <c r="I5" s="276"/>
      <c r="J5" s="189">
        <f t="shared" si="1"/>
        <v>18.50496730207125</v>
      </c>
      <c r="K5" s="190">
        <v>0.02</v>
      </c>
      <c r="L5" s="191">
        <f t="shared" si="6"/>
        <v>18.875066648112675</v>
      </c>
      <c r="M5" s="189">
        <f t="shared" si="7"/>
        <v>1</v>
      </c>
      <c r="N5" s="189">
        <f t="shared" si="8"/>
        <v>19.50496730207125</v>
      </c>
      <c r="O5" s="189">
        <f t="shared" ref="O5:O22" si="10">I5*M5</f>
        <v>0</v>
      </c>
      <c r="P5" s="188">
        <f t="shared" si="2"/>
        <v>12.158897463969897</v>
      </c>
      <c r="Q5" s="191">
        <f t="shared" si="9"/>
        <v>0</v>
      </c>
      <c r="S5" s="192">
        <v>225</v>
      </c>
      <c r="T5" s="277">
        <v>5</v>
      </c>
      <c r="U5" s="267">
        <v>0.27500000000000002</v>
      </c>
      <c r="V5" s="99">
        <v>144</v>
      </c>
      <c r="W5" s="266"/>
      <c r="X5" s="95"/>
    </row>
    <row r="6" spans="1:24" x14ac:dyDescent="0.25">
      <c r="A6" s="95">
        <v>0.3</v>
      </c>
      <c r="B6" s="95">
        <v>144</v>
      </c>
      <c r="C6" s="272">
        <f t="shared" si="3"/>
        <v>0.94370366999999999</v>
      </c>
      <c r="D6" s="272">
        <v>5.8700000000000002E-2</v>
      </c>
      <c r="E6" s="272">
        <f t="shared" si="4"/>
        <v>0.2</v>
      </c>
      <c r="F6" s="274">
        <f t="shared" si="0"/>
        <v>3.75</v>
      </c>
      <c r="G6" s="272">
        <f t="shared" si="5"/>
        <v>5.7043999999999997</v>
      </c>
      <c r="H6" s="275">
        <v>225</v>
      </c>
      <c r="I6" s="276"/>
      <c r="J6" s="189">
        <f t="shared" si="1"/>
        <v>20.187237056804999</v>
      </c>
      <c r="K6" s="190">
        <v>0.02</v>
      </c>
      <c r="L6" s="191">
        <f t="shared" si="6"/>
        <v>20.590981797941101</v>
      </c>
      <c r="M6" s="189">
        <f t="shared" si="7"/>
        <v>1</v>
      </c>
      <c r="N6" s="189">
        <f t="shared" si="8"/>
        <v>21.187237056804999</v>
      </c>
      <c r="O6" s="189">
        <f t="shared" si="10"/>
        <v>0</v>
      </c>
      <c r="P6" s="188">
        <f t="shared" si="2"/>
        <v>11.145656008639072</v>
      </c>
      <c r="Q6" s="191">
        <f t="shared" si="9"/>
        <v>0</v>
      </c>
      <c r="S6" s="192">
        <v>225</v>
      </c>
      <c r="T6" s="277">
        <v>5</v>
      </c>
      <c r="U6" s="265">
        <v>0.3</v>
      </c>
      <c r="V6" s="99">
        <v>144</v>
      </c>
      <c r="W6" s="266"/>
      <c r="X6" s="95"/>
    </row>
    <row r="7" spans="1:24" x14ac:dyDescent="0.25">
      <c r="A7" s="95">
        <v>0.32200000000000001</v>
      </c>
      <c r="B7" s="95">
        <v>144</v>
      </c>
      <c r="C7" s="272">
        <f t="shared" si="3"/>
        <v>1.0129086058000001</v>
      </c>
      <c r="D7" s="272">
        <v>5.8700000000000002E-2</v>
      </c>
      <c r="E7" s="272">
        <f t="shared" si="4"/>
        <v>0.2</v>
      </c>
      <c r="F7" s="274">
        <f t="shared" si="0"/>
        <v>3.75</v>
      </c>
      <c r="G7" s="272">
        <f t="shared" si="5"/>
        <v>5.7043999999999997</v>
      </c>
      <c r="H7" s="275">
        <v>225</v>
      </c>
      <c r="I7" s="276"/>
      <c r="J7" s="189">
        <f t="shared" si="1"/>
        <v>21.667634440970701</v>
      </c>
      <c r="K7" s="190">
        <v>0.02</v>
      </c>
      <c r="L7" s="191">
        <f t="shared" si="6"/>
        <v>22.100987129790116</v>
      </c>
      <c r="M7" s="189">
        <f t="shared" si="7"/>
        <v>1</v>
      </c>
      <c r="N7" s="189">
        <f t="shared" si="8"/>
        <v>22.667634440970701</v>
      </c>
      <c r="O7" s="189">
        <f t="shared" si="10"/>
        <v>0</v>
      </c>
      <c r="P7" s="188">
        <f t="shared" si="2"/>
        <v>10.384151560843856</v>
      </c>
      <c r="Q7" s="191">
        <f t="shared" si="9"/>
        <v>0</v>
      </c>
      <c r="S7" s="192">
        <v>225</v>
      </c>
      <c r="T7" s="277">
        <v>5</v>
      </c>
      <c r="U7" s="267">
        <v>0.32200000000000001</v>
      </c>
      <c r="V7" s="99">
        <v>144</v>
      </c>
      <c r="W7" s="268">
        <v>24.45</v>
      </c>
      <c r="X7" s="95"/>
    </row>
    <row r="8" spans="1:24" x14ac:dyDescent="0.25">
      <c r="A8" s="95">
        <v>0.35</v>
      </c>
      <c r="B8" s="95">
        <v>144</v>
      </c>
      <c r="C8" s="272">
        <f t="shared" si="3"/>
        <v>1.100987615</v>
      </c>
      <c r="D8" s="272">
        <v>5.8700000000000002E-2</v>
      </c>
      <c r="E8" s="272">
        <f t="shared" si="4"/>
        <v>0.2</v>
      </c>
      <c r="F8" s="274">
        <f t="shared" si="0"/>
        <v>3.75</v>
      </c>
      <c r="G8" s="272">
        <f t="shared" si="5"/>
        <v>5.7043999999999997</v>
      </c>
      <c r="H8" s="275">
        <v>225</v>
      </c>
      <c r="I8" s="276">
        <v>3</v>
      </c>
      <c r="J8" s="189">
        <f t="shared" si="1"/>
        <v>23.551776566272501</v>
      </c>
      <c r="K8" s="190">
        <v>0.02</v>
      </c>
      <c r="L8" s="191">
        <f t="shared" si="6"/>
        <v>24.022812097597953</v>
      </c>
      <c r="M8" s="189">
        <f t="shared" si="7"/>
        <v>1</v>
      </c>
      <c r="N8" s="278">
        <f t="shared" si="8"/>
        <v>24.551776566272501</v>
      </c>
      <c r="O8" s="189">
        <f t="shared" si="10"/>
        <v>3</v>
      </c>
      <c r="P8" s="188">
        <f t="shared" si="2"/>
        <v>9.5534194359763482</v>
      </c>
      <c r="Q8" s="191">
        <f t="shared" si="9"/>
        <v>73.655329698817496</v>
      </c>
      <c r="S8" s="192">
        <v>225</v>
      </c>
      <c r="T8" s="277">
        <v>5</v>
      </c>
      <c r="U8" s="267">
        <v>0.35</v>
      </c>
      <c r="V8" s="99">
        <v>144</v>
      </c>
      <c r="W8" s="268">
        <v>24.55</v>
      </c>
      <c r="X8" s="95"/>
    </row>
    <row r="9" spans="1:24" x14ac:dyDescent="0.25">
      <c r="A9" s="95">
        <v>0.375</v>
      </c>
      <c r="B9" s="95">
        <v>144</v>
      </c>
      <c r="C9" s="272">
        <f t="shared" si="3"/>
        <v>1.1796295875</v>
      </c>
      <c r="D9" s="272">
        <v>5.8700000000000002E-2</v>
      </c>
      <c r="E9" s="272">
        <f t="shared" si="4"/>
        <v>0.2</v>
      </c>
      <c r="F9" s="274">
        <f t="shared" si="0"/>
        <v>3.75</v>
      </c>
      <c r="G9" s="272">
        <f t="shared" si="5"/>
        <v>5.7043999999999997</v>
      </c>
      <c r="H9" s="275">
        <v>225</v>
      </c>
      <c r="I9" s="276"/>
      <c r="J9" s="189">
        <f t="shared" si="1"/>
        <v>25.23404632100625</v>
      </c>
      <c r="K9" s="190">
        <v>0.02</v>
      </c>
      <c r="L9" s="191">
        <f t="shared" si="6"/>
        <v>25.738727247426375</v>
      </c>
      <c r="M9" s="189">
        <f t="shared" si="7"/>
        <v>1</v>
      </c>
      <c r="N9" s="189">
        <f t="shared" si="8"/>
        <v>26.23404632100625</v>
      </c>
      <c r="O9" s="189">
        <f t="shared" si="10"/>
        <v>0</v>
      </c>
      <c r="P9" s="188">
        <f t="shared" si="2"/>
        <v>8.9165248069112586</v>
      </c>
      <c r="Q9" s="191">
        <f t="shared" si="9"/>
        <v>0</v>
      </c>
      <c r="S9" s="192">
        <v>225</v>
      </c>
      <c r="T9" s="277">
        <v>5</v>
      </c>
      <c r="U9" s="267">
        <v>0.375</v>
      </c>
      <c r="V9" s="99">
        <v>144</v>
      </c>
      <c r="W9" s="268">
        <v>24.75</v>
      </c>
      <c r="X9" s="95"/>
    </row>
    <row r="10" spans="1:24" x14ac:dyDescent="0.25">
      <c r="A10" s="95">
        <v>0.38500000000000001</v>
      </c>
      <c r="B10" s="95">
        <v>144</v>
      </c>
      <c r="C10" s="272">
        <f t="shared" si="3"/>
        <v>1.2110863765</v>
      </c>
      <c r="D10" s="272">
        <v>5.8700000000000002E-2</v>
      </c>
      <c r="E10" s="272">
        <f t="shared" si="4"/>
        <v>0.2</v>
      </c>
      <c r="F10" s="274">
        <f t="shared" si="0"/>
        <v>3.75</v>
      </c>
      <c r="G10" s="272">
        <f t="shared" si="5"/>
        <v>5.7043999999999997</v>
      </c>
      <c r="H10" s="275">
        <v>225</v>
      </c>
      <c r="I10" s="276"/>
      <c r="J10" s="189">
        <f t="shared" si="1"/>
        <v>25.906954222899749</v>
      </c>
      <c r="K10" s="190">
        <v>0.02</v>
      </c>
      <c r="L10" s="191">
        <f t="shared" si="6"/>
        <v>26.425093307357745</v>
      </c>
      <c r="M10" s="189">
        <f t="shared" si="7"/>
        <v>1</v>
      </c>
      <c r="N10" s="189">
        <f t="shared" si="8"/>
        <v>26.906954222899749</v>
      </c>
      <c r="O10" s="189">
        <f t="shared" si="10"/>
        <v>0</v>
      </c>
      <c r="P10" s="188">
        <f t="shared" si="2"/>
        <v>8.6849267599784987</v>
      </c>
      <c r="Q10" s="191">
        <f t="shared" si="9"/>
        <v>0</v>
      </c>
      <c r="S10" s="192">
        <v>225</v>
      </c>
      <c r="T10" s="277">
        <v>5</v>
      </c>
      <c r="U10" s="267">
        <v>0.38500000000000001</v>
      </c>
      <c r="V10" s="99">
        <v>144</v>
      </c>
      <c r="W10" s="268">
        <v>24.8</v>
      </c>
      <c r="X10" s="95"/>
    </row>
    <row r="11" spans="1:24" x14ac:dyDescent="0.25">
      <c r="A11" s="95">
        <v>0.4</v>
      </c>
      <c r="B11" s="95">
        <v>144</v>
      </c>
      <c r="C11" s="272">
        <f t="shared" si="3"/>
        <v>1.2582715600000001</v>
      </c>
      <c r="D11" s="272">
        <v>5.8700000000000002E-2</v>
      </c>
      <c r="E11" s="272">
        <f t="shared" si="4"/>
        <v>0.2</v>
      </c>
      <c r="F11" s="274">
        <f t="shared" si="0"/>
        <v>3.75</v>
      </c>
      <c r="G11" s="272">
        <f t="shared" si="5"/>
        <v>5.7043999999999997</v>
      </c>
      <c r="H11" s="275">
        <v>225</v>
      </c>
      <c r="I11" s="276"/>
      <c r="J11" s="189">
        <f t="shared" si="1"/>
        <v>26.916316075740003</v>
      </c>
      <c r="K11" s="190">
        <v>0.02</v>
      </c>
      <c r="L11" s="191">
        <f t="shared" si="6"/>
        <v>27.454642397254801</v>
      </c>
      <c r="M11" s="189">
        <f t="shared" si="7"/>
        <v>1</v>
      </c>
      <c r="N11" s="189">
        <f t="shared" si="8"/>
        <v>27.916316075740003</v>
      </c>
      <c r="O11" s="189">
        <f t="shared" si="10"/>
        <v>0</v>
      </c>
      <c r="P11" s="188">
        <f t="shared" si="2"/>
        <v>8.3592420064793043</v>
      </c>
      <c r="Q11" s="191">
        <f t="shared" si="9"/>
        <v>0</v>
      </c>
      <c r="S11" s="192">
        <v>225</v>
      </c>
      <c r="T11" s="277">
        <v>5</v>
      </c>
      <c r="U11" s="267">
        <v>0.4</v>
      </c>
      <c r="V11" s="99">
        <v>144</v>
      </c>
      <c r="W11" s="268">
        <v>24.95</v>
      </c>
      <c r="X11" s="95"/>
    </row>
    <row r="12" spans="1:24" x14ac:dyDescent="0.25">
      <c r="A12" s="95">
        <v>0.42499999999999999</v>
      </c>
      <c r="B12" s="95">
        <v>144</v>
      </c>
      <c r="C12" s="272">
        <f t="shared" si="3"/>
        <v>1.3369135324999999</v>
      </c>
      <c r="D12" s="272">
        <v>5.8700000000000002E-2</v>
      </c>
      <c r="E12" s="272">
        <f t="shared" si="4"/>
        <v>0.2</v>
      </c>
      <c r="F12" s="274">
        <f t="shared" si="0"/>
        <v>3.75</v>
      </c>
      <c r="G12" s="272">
        <f t="shared" si="5"/>
        <v>5.7043999999999997</v>
      </c>
      <c r="H12" s="275">
        <v>225</v>
      </c>
      <c r="I12" s="276">
        <v>14</v>
      </c>
      <c r="J12" s="189">
        <f t="shared" si="1"/>
        <v>28.598585830473748</v>
      </c>
      <c r="K12" s="190">
        <v>0.02</v>
      </c>
      <c r="L12" s="191">
        <f t="shared" si="6"/>
        <v>29.170557547083224</v>
      </c>
      <c r="M12" s="189">
        <f t="shared" si="7"/>
        <v>1</v>
      </c>
      <c r="N12" s="189">
        <f t="shared" si="8"/>
        <v>29.598585830473748</v>
      </c>
      <c r="O12" s="189">
        <f t="shared" si="10"/>
        <v>14</v>
      </c>
      <c r="P12" s="188">
        <f t="shared" si="2"/>
        <v>7.8675218884511109</v>
      </c>
      <c r="Q12" s="191">
        <f t="shared" si="9"/>
        <v>414.38020162663247</v>
      </c>
      <c r="S12" s="192">
        <v>225</v>
      </c>
      <c r="T12" s="277">
        <v>5</v>
      </c>
      <c r="U12" s="267">
        <v>0.42499999999999999</v>
      </c>
      <c r="V12" s="99">
        <v>144</v>
      </c>
      <c r="W12" s="268">
        <v>25</v>
      </c>
      <c r="X12" s="95"/>
    </row>
    <row r="13" spans="1:24" x14ac:dyDescent="0.25">
      <c r="A13" s="95">
        <v>0.45</v>
      </c>
      <c r="B13" s="95">
        <v>144</v>
      </c>
      <c r="C13" s="272">
        <f t="shared" si="3"/>
        <v>1.4155555050000002</v>
      </c>
      <c r="D13" s="272">
        <v>5.8700000000000002E-2</v>
      </c>
      <c r="E13" s="272">
        <f t="shared" si="4"/>
        <v>0.2</v>
      </c>
      <c r="F13" s="274">
        <f t="shared" si="0"/>
        <v>3.75</v>
      </c>
      <c r="G13" s="272">
        <f t="shared" si="5"/>
        <v>5.7043999999999997</v>
      </c>
      <c r="H13" s="275">
        <v>225</v>
      </c>
      <c r="I13" s="276"/>
      <c r="J13" s="189">
        <f t="shared" si="1"/>
        <v>30.280855585207505</v>
      </c>
      <c r="K13" s="190">
        <v>0.02</v>
      </c>
      <c r="L13" s="191">
        <f t="shared" si="6"/>
        <v>30.886472696911653</v>
      </c>
      <c r="M13" s="189">
        <f t="shared" si="7"/>
        <v>1</v>
      </c>
      <c r="N13" s="189">
        <f t="shared" si="8"/>
        <v>31.280855585207505</v>
      </c>
      <c r="O13" s="189">
        <f t="shared" si="10"/>
        <v>0</v>
      </c>
      <c r="P13" s="188">
        <f t="shared" si="2"/>
        <v>7.4304373390927143</v>
      </c>
      <c r="Q13" s="191">
        <f t="shared" si="9"/>
        <v>0</v>
      </c>
      <c r="S13" s="192">
        <v>225</v>
      </c>
      <c r="T13" s="277">
        <v>5</v>
      </c>
      <c r="U13" s="265">
        <v>0.45</v>
      </c>
      <c r="V13" s="99">
        <v>144</v>
      </c>
      <c r="W13" s="268">
        <v>25.55</v>
      </c>
      <c r="X13" s="95"/>
    </row>
    <row r="14" spans="1:24" x14ac:dyDescent="0.25">
      <c r="A14" s="95">
        <v>0.5</v>
      </c>
      <c r="B14" s="95">
        <v>144</v>
      </c>
      <c r="C14" s="272">
        <f t="shared" si="3"/>
        <v>1.57283945</v>
      </c>
      <c r="D14" s="272">
        <v>5.8700000000000002E-2</v>
      </c>
      <c r="E14" s="272">
        <f t="shared" si="4"/>
        <v>0.2</v>
      </c>
      <c r="F14" s="274">
        <f t="shared" si="0"/>
        <v>3.75</v>
      </c>
      <c r="G14" s="272">
        <f t="shared" si="5"/>
        <v>5.7043999999999997</v>
      </c>
      <c r="H14" s="275">
        <v>225</v>
      </c>
      <c r="I14" s="276"/>
      <c r="J14" s="189">
        <f t="shared" si="1"/>
        <v>33.645395094675003</v>
      </c>
      <c r="K14" s="190">
        <v>0.02</v>
      </c>
      <c r="L14" s="191">
        <f t="shared" si="6"/>
        <v>34.318302996568505</v>
      </c>
      <c r="M14" s="189">
        <f t="shared" si="7"/>
        <v>1</v>
      </c>
      <c r="N14" s="189">
        <f t="shared" si="8"/>
        <v>34.645395094675003</v>
      </c>
      <c r="O14" s="189">
        <f t="shared" si="10"/>
        <v>0</v>
      </c>
      <c r="P14" s="188">
        <f t="shared" si="2"/>
        <v>6.6873936051834431</v>
      </c>
      <c r="Q14" s="191">
        <f t="shared" si="9"/>
        <v>0</v>
      </c>
      <c r="S14" s="192">
        <v>225</v>
      </c>
      <c r="T14" s="277">
        <v>5</v>
      </c>
      <c r="U14" s="267">
        <v>0.5</v>
      </c>
      <c r="V14" s="99">
        <v>144</v>
      </c>
      <c r="W14" s="268">
        <v>26.75</v>
      </c>
      <c r="X14" s="95"/>
    </row>
    <row r="15" spans="1:24" x14ac:dyDescent="0.25">
      <c r="A15" s="95">
        <v>0.51</v>
      </c>
      <c r="B15" s="95">
        <v>144</v>
      </c>
      <c r="C15" s="272">
        <f t="shared" si="3"/>
        <v>1.604296239</v>
      </c>
      <c r="D15" s="272">
        <v>5.8700000000000002E-2</v>
      </c>
      <c r="E15" s="272">
        <f t="shared" si="4"/>
        <v>0.2</v>
      </c>
      <c r="F15" s="274">
        <f t="shared" si="0"/>
        <v>3.75</v>
      </c>
      <c r="G15" s="272">
        <f t="shared" si="5"/>
        <v>5.7043999999999997</v>
      </c>
      <c r="H15" s="275">
        <v>225</v>
      </c>
      <c r="I15" s="276"/>
      <c r="J15" s="189">
        <f t="shared" si="1"/>
        <v>34.318302996568498</v>
      </c>
      <c r="K15" s="190">
        <v>0.02</v>
      </c>
      <c r="L15" s="191">
        <f t="shared" si="6"/>
        <v>35.004669056499871</v>
      </c>
      <c r="M15" s="189">
        <f t="shared" si="7"/>
        <v>1</v>
      </c>
      <c r="N15" s="189">
        <f t="shared" si="8"/>
        <v>35.318302996568498</v>
      </c>
      <c r="O15" s="189">
        <f t="shared" si="10"/>
        <v>0</v>
      </c>
      <c r="P15" s="188">
        <f t="shared" si="2"/>
        <v>6.5562682403759256</v>
      </c>
      <c r="Q15" s="191">
        <f t="shared" si="9"/>
        <v>0</v>
      </c>
      <c r="S15" s="192">
        <v>225</v>
      </c>
      <c r="T15" s="277">
        <v>5</v>
      </c>
      <c r="U15" s="267">
        <v>0.51</v>
      </c>
      <c r="V15" s="99">
        <v>144</v>
      </c>
      <c r="W15" s="268">
        <v>26.95</v>
      </c>
      <c r="X15" s="95" t="s">
        <v>193</v>
      </c>
    </row>
    <row r="16" spans="1:24" x14ac:dyDescent="0.25">
      <c r="A16" s="95">
        <v>0.55000000000000004</v>
      </c>
      <c r="B16" s="95">
        <v>144</v>
      </c>
      <c r="C16" s="272">
        <f t="shared" si="3"/>
        <v>1.7301233950000001</v>
      </c>
      <c r="D16" s="272">
        <v>5.8700000000000002E-2</v>
      </c>
      <c r="E16" s="272">
        <f t="shared" si="4"/>
        <v>0.2</v>
      </c>
      <c r="F16" s="274">
        <f t="shared" si="0"/>
        <v>3.75</v>
      </c>
      <c r="G16" s="272">
        <f t="shared" si="5"/>
        <v>5.7043999999999997</v>
      </c>
      <c r="H16" s="275">
        <v>225</v>
      </c>
      <c r="I16" s="276">
        <v>7</v>
      </c>
      <c r="J16" s="189">
        <f t="shared" si="1"/>
        <v>37.009934604142501</v>
      </c>
      <c r="K16" s="190">
        <v>0.02</v>
      </c>
      <c r="L16" s="191">
        <f t="shared" si="6"/>
        <v>37.75013329622535</v>
      </c>
      <c r="M16" s="189">
        <f t="shared" si="7"/>
        <v>1</v>
      </c>
      <c r="N16" s="189">
        <f t="shared" si="8"/>
        <v>38.009934604142501</v>
      </c>
      <c r="O16" s="189">
        <f t="shared" si="10"/>
        <v>7</v>
      </c>
      <c r="P16" s="188">
        <f t="shared" si="2"/>
        <v>6.0794487319849484</v>
      </c>
      <c r="Q16" s="191">
        <f t="shared" si="9"/>
        <v>266.06954222899753</v>
      </c>
      <c r="S16" s="192">
        <v>225</v>
      </c>
      <c r="T16" s="277">
        <v>5</v>
      </c>
      <c r="U16" s="267">
        <v>0.55000000000000004</v>
      </c>
      <c r="V16" s="99">
        <v>144</v>
      </c>
      <c r="W16" s="268">
        <v>27.9</v>
      </c>
      <c r="X16" s="95"/>
    </row>
    <row r="17" spans="1:24" x14ac:dyDescent="0.25">
      <c r="A17" s="95">
        <v>0.57199999999999995</v>
      </c>
      <c r="B17" s="95">
        <v>144</v>
      </c>
      <c r="C17" s="272">
        <f t="shared" si="3"/>
        <v>1.7993283307999999</v>
      </c>
      <c r="D17" s="272">
        <v>5.8700000000000002E-2</v>
      </c>
      <c r="E17" s="272">
        <f t="shared" si="4"/>
        <v>0.2</v>
      </c>
      <c r="F17" s="274">
        <f t="shared" si="0"/>
        <v>3.75</v>
      </c>
      <c r="G17" s="272">
        <f t="shared" si="5"/>
        <v>5.7043999999999997</v>
      </c>
      <c r="H17" s="275">
        <v>225</v>
      </c>
      <c r="I17" s="276"/>
      <c r="J17" s="189">
        <f t="shared" si="1"/>
        <v>38.490331988308199</v>
      </c>
      <c r="K17" s="190">
        <v>0.02</v>
      </c>
      <c r="L17" s="191">
        <f t="shared" si="6"/>
        <v>39.260138628074365</v>
      </c>
      <c r="M17" s="189">
        <f t="shared" si="7"/>
        <v>1</v>
      </c>
      <c r="N17" s="189">
        <f t="shared" si="8"/>
        <v>39.490331988308199</v>
      </c>
      <c r="O17" s="189">
        <f t="shared" si="10"/>
        <v>0</v>
      </c>
      <c r="P17" s="188">
        <f t="shared" si="2"/>
        <v>5.8456237807547584</v>
      </c>
      <c r="Q17" s="191">
        <f t="shared" si="9"/>
        <v>0</v>
      </c>
      <c r="S17" s="192">
        <v>225</v>
      </c>
      <c r="T17" s="277">
        <v>5</v>
      </c>
      <c r="U17" s="267">
        <v>0.57199999999999995</v>
      </c>
      <c r="V17" s="99">
        <v>144</v>
      </c>
      <c r="W17" s="268">
        <v>28.4</v>
      </c>
      <c r="X17" s="95"/>
    </row>
    <row r="18" spans="1:24" x14ac:dyDescent="0.25">
      <c r="A18" s="95">
        <v>0.6</v>
      </c>
      <c r="B18" s="95">
        <v>144</v>
      </c>
      <c r="C18" s="272">
        <f t="shared" si="3"/>
        <v>1.88740734</v>
      </c>
      <c r="D18" s="272">
        <v>5.8700000000000002E-2</v>
      </c>
      <c r="E18" s="272">
        <f t="shared" si="4"/>
        <v>0.2</v>
      </c>
      <c r="F18" s="274">
        <f t="shared" si="0"/>
        <v>3.75</v>
      </c>
      <c r="G18" s="272">
        <f t="shared" si="5"/>
        <v>5.7043999999999997</v>
      </c>
      <c r="H18" s="275">
        <v>225</v>
      </c>
      <c r="I18" s="276"/>
      <c r="J18" s="189">
        <f t="shared" si="1"/>
        <v>40.374474113609999</v>
      </c>
      <c r="K18" s="190">
        <v>0.02</v>
      </c>
      <c r="L18" s="191">
        <f t="shared" si="6"/>
        <v>41.181963595882202</v>
      </c>
      <c r="M18" s="189">
        <f t="shared" si="7"/>
        <v>1</v>
      </c>
      <c r="N18" s="189">
        <f t="shared" si="8"/>
        <v>41.374474113609999</v>
      </c>
      <c r="O18" s="189">
        <f t="shared" si="10"/>
        <v>0</v>
      </c>
      <c r="P18" s="188">
        <f t="shared" si="2"/>
        <v>5.5728280043195362</v>
      </c>
      <c r="Q18" s="191">
        <f t="shared" si="9"/>
        <v>0</v>
      </c>
      <c r="S18" s="192">
        <v>225</v>
      </c>
      <c r="T18" s="277">
        <v>5</v>
      </c>
      <c r="U18" s="267">
        <v>0.6</v>
      </c>
      <c r="V18" s="99">
        <v>144</v>
      </c>
      <c r="W18" s="268">
        <v>29.1</v>
      </c>
      <c r="X18" s="95"/>
    </row>
    <row r="19" spans="1:24" x14ac:dyDescent="0.25">
      <c r="A19" s="95">
        <v>0.625</v>
      </c>
      <c r="B19" s="95">
        <v>144</v>
      </c>
      <c r="C19" s="272">
        <f t="shared" si="3"/>
        <v>1.9660493125</v>
      </c>
      <c r="D19" s="272">
        <v>5.8700000000000002E-2</v>
      </c>
      <c r="E19" s="272">
        <f t="shared" si="4"/>
        <v>0.2</v>
      </c>
      <c r="F19" s="274">
        <f t="shared" si="0"/>
        <v>3.75</v>
      </c>
      <c r="G19" s="272">
        <f t="shared" si="5"/>
        <v>5.7043999999999997</v>
      </c>
      <c r="H19" s="275">
        <v>225</v>
      </c>
      <c r="I19" s="276">
        <v>1</v>
      </c>
      <c r="J19" s="189">
        <f t="shared" si="1"/>
        <v>42.056743868343752</v>
      </c>
      <c r="K19" s="190">
        <v>0.02</v>
      </c>
      <c r="L19" s="191">
        <f t="shared" si="6"/>
        <v>42.897878745710628</v>
      </c>
      <c r="M19" s="189">
        <f t="shared" si="7"/>
        <v>1</v>
      </c>
      <c r="N19" s="189">
        <f t="shared" si="8"/>
        <v>43.056743868343752</v>
      </c>
      <c r="O19" s="189">
        <f t="shared" si="10"/>
        <v>1</v>
      </c>
      <c r="P19" s="188">
        <f t="shared" si="2"/>
        <v>5.349914884146755</v>
      </c>
      <c r="Q19" s="191">
        <f t="shared" si="9"/>
        <v>43.056743868343752</v>
      </c>
      <c r="S19" s="192">
        <v>225</v>
      </c>
      <c r="T19" s="277">
        <v>5</v>
      </c>
      <c r="U19" s="265">
        <v>0.625</v>
      </c>
      <c r="V19" s="99">
        <v>144</v>
      </c>
      <c r="W19" s="268">
        <v>29.65</v>
      </c>
      <c r="X19" s="95"/>
    </row>
    <row r="20" spans="1:24" x14ac:dyDescent="0.25">
      <c r="A20" s="95">
        <v>0.63500000000000001</v>
      </c>
      <c r="B20" s="95">
        <v>144</v>
      </c>
      <c r="C20" s="272">
        <f t="shared" si="3"/>
        <v>1.9975061015</v>
      </c>
      <c r="D20" s="272">
        <v>5.8700000000000002E-2</v>
      </c>
      <c r="E20" s="272">
        <f t="shared" si="4"/>
        <v>0.2</v>
      </c>
      <c r="F20" s="274">
        <f t="shared" si="0"/>
        <v>3.75</v>
      </c>
      <c r="G20" s="272">
        <f t="shared" si="5"/>
        <v>5.7043999999999997</v>
      </c>
      <c r="H20" s="275">
        <v>225</v>
      </c>
      <c r="I20" s="276"/>
      <c r="J20" s="189">
        <f t="shared" si="1"/>
        <v>42.729651770237254</v>
      </c>
      <c r="K20" s="190">
        <v>0.02</v>
      </c>
      <c r="L20" s="191">
        <f t="shared" si="6"/>
        <v>43.584244805642001</v>
      </c>
      <c r="M20" s="189">
        <f t="shared" si="7"/>
        <v>1</v>
      </c>
      <c r="N20" s="189">
        <f t="shared" si="8"/>
        <v>43.729651770237254</v>
      </c>
      <c r="O20" s="189">
        <f t="shared" si="10"/>
        <v>0</v>
      </c>
      <c r="P20" s="188">
        <f t="shared" si="2"/>
        <v>5.2656642560499556</v>
      </c>
      <c r="Q20" s="191">
        <f t="shared" si="9"/>
        <v>0</v>
      </c>
      <c r="S20" s="192">
        <v>225</v>
      </c>
      <c r="T20" s="277">
        <v>5</v>
      </c>
      <c r="U20" s="267">
        <v>0.63500000000000001</v>
      </c>
      <c r="V20" s="99">
        <v>144</v>
      </c>
      <c r="W20" s="268">
        <v>29.9</v>
      </c>
      <c r="X20" s="95" t="s">
        <v>194</v>
      </c>
    </row>
    <row r="21" spans="1:24" x14ac:dyDescent="0.25">
      <c r="A21" s="95">
        <v>0.65</v>
      </c>
      <c r="B21" s="95">
        <v>144</v>
      </c>
      <c r="C21" s="272">
        <f t="shared" si="3"/>
        <v>2.0446912850000003</v>
      </c>
      <c r="D21" s="272">
        <v>5.8700000000000002E-2</v>
      </c>
      <c r="E21" s="272">
        <f t="shared" si="4"/>
        <v>0.2</v>
      </c>
      <c r="F21" s="274">
        <f t="shared" si="0"/>
        <v>3.75</v>
      </c>
      <c r="G21" s="272">
        <f t="shared" si="5"/>
        <v>0.70440000000000003</v>
      </c>
      <c r="H21" s="275">
        <v>225</v>
      </c>
      <c r="I21" s="276"/>
      <c r="J21" s="189">
        <f t="shared" si="1"/>
        <v>5.4010520293275013</v>
      </c>
      <c r="K21" s="190">
        <v>0.02</v>
      </c>
      <c r="L21" s="191">
        <f t="shared" si="6"/>
        <v>5.5090730699140513</v>
      </c>
      <c r="M21" s="189">
        <f t="shared" si="7"/>
        <v>1</v>
      </c>
      <c r="N21" s="189">
        <f t="shared" si="8"/>
        <v>6.4010520293275013</v>
      </c>
      <c r="O21" s="189">
        <f t="shared" si="10"/>
        <v>0</v>
      </c>
      <c r="P21" s="189" t="s">
        <v>142</v>
      </c>
      <c r="Q21" s="191">
        <f>SUM(Q3:Q20)</f>
        <v>834.05695928764726</v>
      </c>
      <c r="S21" s="192">
        <v>225</v>
      </c>
      <c r="T21" s="192"/>
      <c r="U21" s="267"/>
      <c r="V21" s="99">
        <v>144</v>
      </c>
      <c r="W21" s="266"/>
      <c r="X21" s="95"/>
    </row>
    <row r="22" spans="1:24" x14ac:dyDescent="0.25">
      <c r="A22" s="95">
        <v>0.69750000000000001</v>
      </c>
      <c r="B22" s="95">
        <v>144</v>
      </c>
      <c r="C22" s="272">
        <f t="shared" si="3"/>
        <v>2.19411103275</v>
      </c>
      <c r="D22" s="272">
        <v>5.8700000000000002E-2</v>
      </c>
      <c r="E22" s="272">
        <f t="shared" si="4"/>
        <v>0.2</v>
      </c>
      <c r="F22" s="274">
        <f t="shared" si="0"/>
        <v>3.75</v>
      </c>
      <c r="G22" s="272">
        <f t="shared" si="5"/>
        <v>0.70440000000000003</v>
      </c>
      <c r="H22" s="275">
        <v>225</v>
      </c>
      <c r="I22" s="276">
        <v>4</v>
      </c>
      <c r="J22" s="189">
        <f t="shared" si="1"/>
        <v>5.7957442930091254</v>
      </c>
      <c r="K22" s="190">
        <v>0.02</v>
      </c>
      <c r="L22" s="191">
        <f t="shared" si="6"/>
        <v>5.911659178869308</v>
      </c>
      <c r="M22" s="189">
        <f t="shared" si="7"/>
        <v>1</v>
      </c>
      <c r="N22" s="189">
        <f t="shared" si="8"/>
        <v>6.7957442930091254</v>
      </c>
      <c r="O22" s="189">
        <f t="shared" si="10"/>
        <v>4</v>
      </c>
      <c r="P22" s="188"/>
      <c r="Q22" s="191">
        <f>SUM(Q4:Q21)</f>
        <v>1649.7143821596696</v>
      </c>
      <c r="U22" s="267"/>
      <c r="V22" s="99">
        <v>144</v>
      </c>
      <c r="W22" s="266"/>
      <c r="X22" s="95"/>
    </row>
    <row r="23" spans="1:24" x14ac:dyDescent="0.25">
      <c r="B23" t="s">
        <v>142</v>
      </c>
      <c r="C23" s="185"/>
      <c r="D23" s="185"/>
      <c r="E23" s="185"/>
      <c r="F23" s="185"/>
      <c r="G23" s="185"/>
      <c r="H23" s="185"/>
      <c r="I23" s="164"/>
      <c r="O23" s="188"/>
      <c r="P23" s="188"/>
      <c r="U23" s="267"/>
      <c r="V23" s="99">
        <v>144</v>
      </c>
      <c r="W23" s="266"/>
      <c r="X23" s="95"/>
    </row>
    <row r="24" spans="1:24" x14ac:dyDescent="0.25">
      <c r="B24" t="s">
        <v>142</v>
      </c>
      <c r="C24" s="185"/>
      <c r="D24" s="185"/>
      <c r="E24" s="185"/>
      <c r="F24" s="185"/>
      <c r="G24" s="185"/>
      <c r="H24" s="185"/>
      <c r="I24" s="164"/>
      <c r="O24" s="188"/>
      <c r="P24" s="188"/>
      <c r="U24" s="267"/>
      <c r="V24" s="99">
        <v>144</v>
      </c>
      <c r="W24" s="266"/>
      <c r="X24" s="95"/>
    </row>
    <row r="25" spans="1:24" x14ac:dyDescent="0.25">
      <c r="B25" t="s">
        <v>142</v>
      </c>
      <c r="C25" s="185"/>
      <c r="D25" s="185"/>
      <c r="E25" s="185"/>
      <c r="F25" s="185"/>
      <c r="G25" s="185"/>
      <c r="H25" s="185"/>
      <c r="I25" s="164"/>
      <c r="O25" s="188"/>
      <c r="P25" s="188"/>
      <c r="U25" s="267"/>
      <c r="V25" s="99">
        <v>144</v>
      </c>
      <c r="W25" s="266"/>
      <c r="X25" s="95"/>
    </row>
    <row r="26" spans="1:24" x14ac:dyDescent="0.25">
      <c r="B26" t="s">
        <v>142</v>
      </c>
      <c r="C26" s="185"/>
      <c r="D26" s="185"/>
      <c r="E26" s="185"/>
      <c r="F26" s="185"/>
      <c r="G26" s="185"/>
      <c r="H26" s="185"/>
      <c r="I26" s="164"/>
      <c r="O26" s="188"/>
      <c r="P26" s="188"/>
      <c r="U26" s="267">
        <v>1.25</v>
      </c>
      <c r="V26" s="99">
        <v>144</v>
      </c>
      <c r="W26" s="266">
        <v>36.75</v>
      </c>
      <c r="X26" s="95"/>
    </row>
    <row r="27" spans="1:24" x14ac:dyDescent="0.25">
      <c r="B27" t="s">
        <v>142</v>
      </c>
      <c r="C27" s="185"/>
      <c r="D27" s="185"/>
      <c r="E27" s="185"/>
      <c r="F27" s="185"/>
      <c r="G27" s="185"/>
      <c r="H27" s="185"/>
      <c r="I27" s="164"/>
      <c r="O27" s="188"/>
      <c r="P27" s="188"/>
      <c r="U27" s="267"/>
      <c r="V27" s="99">
        <v>144</v>
      </c>
      <c r="W27" s="266"/>
      <c r="X27" s="95"/>
    </row>
    <row r="28" spans="1:24" x14ac:dyDescent="0.25">
      <c r="B28" t="s">
        <v>142</v>
      </c>
      <c r="C28" s="185"/>
      <c r="D28" s="185"/>
      <c r="E28" s="185"/>
      <c r="F28" s="185"/>
      <c r="G28" s="185"/>
      <c r="H28" s="185"/>
      <c r="I28" s="164"/>
      <c r="O28" s="188"/>
      <c r="P28" s="188"/>
      <c r="U28" s="267"/>
      <c r="V28" s="99">
        <v>144</v>
      </c>
      <c r="W28" s="266"/>
      <c r="X28" s="95"/>
    </row>
    <row r="29" spans="1:24" x14ac:dyDescent="0.25">
      <c r="B29" t="s">
        <v>142</v>
      </c>
      <c r="C29" s="185"/>
      <c r="D29" s="185"/>
      <c r="E29" s="185"/>
      <c r="F29" s="185"/>
      <c r="G29" s="185"/>
      <c r="H29" s="185"/>
      <c r="I29" s="164"/>
      <c r="O29" s="188"/>
      <c r="P29" s="188"/>
      <c r="U29" s="267"/>
      <c r="V29" s="99">
        <v>144</v>
      </c>
      <c r="W29" s="266"/>
      <c r="X29" s="95"/>
    </row>
    <row r="30" spans="1:24" ht="15.75" thickBot="1" x14ac:dyDescent="0.3">
      <c r="B30" t="s">
        <v>142</v>
      </c>
      <c r="C30" s="185"/>
      <c r="D30" s="185"/>
      <c r="E30" s="185"/>
      <c r="F30" s="185"/>
      <c r="G30" s="185"/>
      <c r="H30" s="185"/>
      <c r="I30" s="164"/>
      <c r="O30" s="188"/>
      <c r="P30" s="188"/>
      <c r="U30" s="269"/>
      <c r="V30" s="261">
        <v>144</v>
      </c>
      <c r="W30" s="270"/>
      <c r="X30" s="95"/>
    </row>
  </sheetData>
  <mergeCells count="2">
    <mergeCell ref="U1:U2"/>
    <mergeCell ref="V1:V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E449-B76E-47DA-AABA-630FA0E4D8B4}">
  <sheetPr>
    <tabColor rgb="FF7030A0"/>
  </sheetPr>
  <dimension ref="A1:Q28"/>
  <sheetViews>
    <sheetView zoomScale="120" zoomScaleNormal="120" workbookViewId="0">
      <selection activeCell="M27" sqref="M27"/>
    </sheetView>
  </sheetViews>
  <sheetFormatPr defaultRowHeight="15" x14ac:dyDescent="0.25"/>
  <cols>
    <col min="3" max="3" width="23.5703125" bestFit="1" customWidth="1"/>
    <col min="4" max="4" width="20.140625" customWidth="1"/>
    <col min="5" max="5" width="16" customWidth="1"/>
    <col min="6" max="6" width="14.28515625" customWidth="1"/>
    <col min="7" max="7" width="14.85546875" customWidth="1"/>
    <col min="14" max="14" width="12.5703125" customWidth="1"/>
  </cols>
  <sheetData>
    <row r="1" spans="1:16" x14ac:dyDescent="0.25">
      <c r="A1" s="171" t="s">
        <v>92</v>
      </c>
      <c r="B1" s="198">
        <f>12^3</f>
        <v>1728</v>
      </c>
      <c r="C1" s="198" t="s">
        <v>93</v>
      </c>
      <c r="D1" s="198"/>
      <c r="E1" s="198"/>
      <c r="F1" s="198"/>
      <c r="G1" s="173"/>
      <c r="M1" t="s">
        <v>94</v>
      </c>
      <c r="N1">
        <v>62.427959999999999</v>
      </c>
    </row>
    <row r="2" spans="1:16" x14ac:dyDescent="0.25">
      <c r="A2" s="174"/>
      <c r="C2" t="s">
        <v>95</v>
      </c>
      <c r="E2" s="161">
        <v>169</v>
      </c>
      <c r="G2" s="176"/>
      <c r="J2" t="s">
        <v>96</v>
      </c>
      <c r="K2" t="s">
        <v>97</v>
      </c>
      <c r="L2" t="s">
        <v>98</v>
      </c>
      <c r="M2" t="s">
        <v>99</v>
      </c>
      <c r="N2" t="s">
        <v>174</v>
      </c>
    </row>
    <row r="3" spans="1:16" x14ac:dyDescent="0.25">
      <c r="A3" s="174"/>
      <c r="C3" t="s">
        <v>100</v>
      </c>
      <c r="E3" s="162">
        <v>0.15</v>
      </c>
      <c r="G3" s="176"/>
      <c r="J3" t="s">
        <v>101</v>
      </c>
      <c r="K3">
        <v>7075</v>
      </c>
      <c r="L3">
        <v>2.81</v>
      </c>
      <c r="M3">
        <f>L3*$N$1</f>
        <v>175.42256760000001</v>
      </c>
    </row>
    <row r="4" spans="1:16" x14ac:dyDescent="0.25">
      <c r="A4" s="174"/>
      <c r="G4" s="176"/>
      <c r="J4" t="s">
        <v>101</v>
      </c>
      <c r="K4">
        <v>2219</v>
      </c>
      <c r="L4">
        <v>2.84</v>
      </c>
      <c r="M4">
        <f>L4*$N$1</f>
        <v>177.29540639999999</v>
      </c>
    </row>
    <row r="5" spans="1:16" x14ac:dyDescent="0.25">
      <c r="A5" s="174"/>
      <c r="G5" s="176"/>
      <c r="J5" t="s">
        <v>101</v>
      </c>
      <c r="K5">
        <v>6061</v>
      </c>
      <c r="L5">
        <v>2.7</v>
      </c>
      <c r="M5">
        <f>L5*$N$1</f>
        <v>168.55549200000002</v>
      </c>
    </row>
    <row r="6" spans="1:16" x14ac:dyDescent="0.25">
      <c r="A6" s="174"/>
      <c r="G6" s="176"/>
      <c r="J6" t="s">
        <v>101</v>
      </c>
      <c r="K6">
        <v>7050</v>
      </c>
      <c r="L6">
        <v>2.83</v>
      </c>
      <c r="M6">
        <f>L6*$N$1</f>
        <v>176.6711268</v>
      </c>
    </row>
    <row r="7" spans="1:16" x14ac:dyDescent="0.25">
      <c r="A7" s="213" t="s">
        <v>102</v>
      </c>
      <c r="B7" s="163" t="s">
        <v>188</v>
      </c>
      <c r="C7" s="163" t="s">
        <v>104</v>
      </c>
      <c r="D7" s="163" t="s">
        <v>105</v>
      </c>
      <c r="E7" s="163" t="s">
        <v>106</v>
      </c>
      <c r="F7" s="163" t="s">
        <v>107</v>
      </c>
      <c r="G7" s="214" t="s">
        <v>108</v>
      </c>
      <c r="H7" s="163"/>
      <c r="I7" s="163"/>
      <c r="J7" s="163" t="s">
        <v>109</v>
      </c>
      <c r="K7" s="163"/>
      <c r="L7" s="163"/>
      <c r="M7" s="163">
        <v>494.21</v>
      </c>
      <c r="N7" s="163" t="s">
        <v>110</v>
      </c>
      <c r="O7" s="163"/>
      <c r="P7">
        <v>0.28999999999999998</v>
      </c>
    </row>
    <row r="8" spans="1:16" x14ac:dyDescent="0.25">
      <c r="A8" s="222">
        <v>44.5</v>
      </c>
      <c r="B8" s="164">
        <v>0.5</v>
      </c>
      <c r="C8" s="164">
        <v>144.5</v>
      </c>
      <c r="D8">
        <f t="shared" ref="D8:D12" si="0">A8*B8*C8</f>
        <v>3215.125</v>
      </c>
      <c r="E8">
        <f t="shared" ref="E8:E12" si="1">D8/$B$1</f>
        <v>1.8606047453703705</v>
      </c>
      <c r="F8">
        <f>E8*$E$2</f>
        <v>314.44220196759261</v>
      </c>
      <c r="G8" s="223">
        <f>F8*$E$3</f>
        <v>47.166330295138891</v>
      </c>
      <c r="J8" t="s">
        <v>111</v>
      </c>
      <c r="M8">
        <v>283.39</v>
      </c>
      <c r="N8" t="s">
        <v>112</v>
      </c>
      <c r="P8">
        <v>0.16</v>
      </c>
    </row>
    <row r="9" spans="1:16" x14ac:dyDescent="0.25">
      <c r="A9" s="224">
        <v>13.62</v>
      </c>
      <c r="B9" s="165">
        <v>26.5</v>
      </c>
      <c r="C9" s="165">
        <v>64.5</v>
      </c>
      <c r="D9">
        <f t="shared" si="0"/>
        <v>23279.985000000001</v>
      </c>
      <c r="E9">
        <f t="shared" si="1"/>
        <v>13.472213541666667</v>
      </c>
      <c r="F9">
        <f>E9*$E$2</f>
        <v>2276.8040885416667</v>
      </c>
      <c r="G9" s="225">
        <f>F9*$E$3</f>
        <v>341.52061328125001</v>
      </c>
      <c r="J9" t="s">
        <v>113</v>
      </c>
      <c r="M9">
        <v>490</v>
      </c>
      <c r="N9">
        <v>0.28299999999999997</v>
      </c>
    </row>
    <row r="10" spans="1:16" x14ac:dyDescent="0.25">
      <c r="A10" s="226">
        <v>13.62</v>
      </c>
      <c r="B10" s="166">
        <v>26.5</v>
      </c>
      <c r="C10" s="166">
        <v>42</v>
      </c>
      <c r="D10">
        <f t="shared" si="0"/>
        <v>15159.06</v>
      </c>
      <c r="E10">
        <f t="shared" si="1"/>
        <v>8.7726041666666656</v>
      </c>
      <c r="F10">
        <f>E10*$E$2</f>
        <v>1482.5701041666664</v>
      </c>
      <c r="G10" s="227">
        <f>F10*$E$3</f>
        <v>222.38551562499995</v>
      </c>
      <c r="J10" t="s">
        <v>114</v>
      </c>
      <c r="M10">
        <v>1204.4100000000001</v>
      </c>
    </row>
    <row r="11" spans="1:16" x14ac:dyDescent="0.25">
      <c r="A11" s="228">
        <v>11.75</v>
      </c>
      <c r="B11" s="167">
        <v>5.75</v>
      </c>
      <c r="C11" s="167">
        <v>55.875</v>
      </c>
      <c r="D11">
        <f t="shared" si="0"/>
        <v>3775.0546875</v>
      </c>
      <c r="E11">
        <f t="shared" si="1"/>
        <v>2.1846381293402777</v>
      </c>
      <c r="F11">
        <f>E11*$E$2</f>
        <v>369.2038438585069</v>
      </c>
      <c r="G11" s="229">
        <f>F11*$E$3</f>
        <v>55.380576578776036</v>
      </c>
      <c r="J11" t="s">
        <v>115</v>
      </c>
      <c r="M11">
        <v>568.5</v>
      </c>
      <c r="N11">
        <v>0.32</v>
      </c>
      <c r="P11">
        <v>0.29649999999999999</v>
      </c>
    </row>
    <row r="12" spans="1:16" x14ac:dyDescent="0.25">
      <c r="A12" s="230">
        <v>10</v>
      </c>
      <c r="B12" s="231">
        <v>10</v>
      </c>
      <c r="C12" s="231">
        <v>10</v>
      </c>
      <c r="D12" s="178">
        <f t="shared" si="0"/>
        <v>1000</v>
      </c>
      <c r="E12" s="178">
        <f t="shared" si="1"/>
        <v>0.57870370370370372</v>
      </c>
      <c r="F12" s="178">
        <f t="shared" ref="F12" si="2">E12*$E$2</f>
        <v>97.800925925925924</v>
      </c>
      <c r="G12" s="179">
        <f t="shared" ref="G12" si="3">F12*$E$3</f>
        <v>14.670138888888888</v>
      </c>
      <c r="I12">
        <f>A8*B8*C8</f>
        <v>3215.125</v>
      </c>
      <c r="N12" t="s">
        <v>183</v>
      </c>
    </row>
    <row r="13" spans="1:16" x14ac:dyDescent="0.25">
      <c r="A13" s="174"/>
      <c r="G13" s="97"/>
    </row>
    <row r="14" spans="1:16" x14ac:dyDescent="0.25">
      <c r="A14" s="174"/>
      <c r="G14" s="97">
        <f>G8+G9+G10</f>
        <v>611.07245920138882</v>
      </c>
    </row>
    <row r="15" spans="1:16" x14ac:dyDescent="0.25">
      <c r="A15" s="174"/>
      <c r="G15" s="97"/>
    </row>
    <row r="16" spans="1:16" x14ac:dyDescent="0.25">
      <c r="A16" s="174"/>
      <c r="G16" s="97"/>
    </row>
    <row r="17" spans="3:17" x14ac:dyDescent="0.25">
      <c r="G17" s="97"/>
    </row>
    <row r="23" spans="3:17" ht="45" x14ac:dyDescent="0.25">
      <c r="C23" s="95" t="s">
        <v>178</v>
      </c>
      <c r="D23" s="246" t="s">
        <v>176</v>
      </c>
      <c r="E23" s="95" t="s">
        <v>173</v>
      </c>
      <c r="F23" s="95" t="s">
        <v>170</v>
      </c>
      <c r="G23" s="95" t="s">
        <v>171</v>
      </c>
      <c r="H23" s="246" t="s">
        <v>175</v>
      </c>
      <c r="I23" s="95" t="s">
        <v>172</v>
      </c>
      <c r="J23" s="95" t="s">
        <v>174</v>
      </c>
      <c r="K23" s="246" t="s">
        <v>177</v>
      </c>
      <c r="M23" s="184" t="s">
        <v>185</v>
      </c>
      <c r="N23" s="184" t="s">
        <v>186</v>
      </c>
      <c r="Q23" s="250" t="s">
        <v>184</v>
      </c>
    </row>
    <row r="24" spans="3:17" x14ac:dyDescent="0.25">
      <c r="C24" s="232" t="s">
        <v>179</v>
      </c>
      <c r="D24" s="251">
        <v>7</v>
      </c>
      <c r="E24" s="161">
        <v>48</v>
      </c>
      <c r="F24" s="251">
        <f>D24/2</f>
        <v>3.5</v>
      </c>
      <c r="G24" s="161">
        <v>3.1415926535900001</v>
      </c>
      <c r="H24" s="161">
        <f>G24*(F24^2)</f>
        <v>38.4845100064775</v>
      </c>
      <c r="I24" s="161">
        <f>H24*E24</f>
        <v>1847.2564803109199</v>
      </c>
      <c r="J24" s="161">
        <v>0.28299999999999997</v>
      </c>
      <c r="K24" s="233">
        <f>I24*J24</f>
        <v>522.77358392799033</v>
      </c>
      <c r="M24" s="257">
        <v>0.14000000000000001</v>
      </c>
      <c r="N24" s="256">
        <f>ROUND(M24*K24, 2)</f>
        <v>73.19</v>
      </c>
      <c r="Q24" s="95">
        <v>6000</v>
      </c>
    </row>
    <row r="25" spans="3:17" x14ac:dyDescent="0.25">
      <c r="C25" s="234" t="s">
        <v>180</v>
      </c>
      <c r="D25" s="252">
        <v>4.5</v>
      </c>
      <c r="E25" s="235">
        <v>36</v>
      </c>
      <c r="F25" s="252">
        <f>D25/2</f>
        <v>2.25</v>
      </c>
      <c r="G25" s="235">
        <v>3.1415926535900001</v>
      </c>
      <c r="H25" s="235">
        <f t="shared" ref="H25:H28" si="4">G25*(F25^2)</f>
        <v>15.904312808799375</v>
      </c>
      <c r="I25" s="235">
        <f>H25*E25</f>
        <v>572.5552611167775</v>
      </c>
      <c r="J25" s="235">
        <v>0.28999999999999998</v>
      </c>
      <c r="K25" s="236">
        <f>I25*J25</f>
        <v>166.04102572386546</v>
      </c>
      <c r="M25" s="257">
        <v>0.14000000000000001</v>
      </c>
      <c r="N25" s="256">
        <f t="shared" ref="N25:N28" si="5">ROUND(M25*K25, 2)</f>
        <v>23.25</v>
      </c>
    </row>
    <row r="26" spans="3:17" x14ac:dyDescent="0.25">
      <c r="C26" s="237" t="s">
        <v>181</v>
      </c>
      <c r="D26" s="253">
        <v>12</v>
      </c>
      <c r="E26" s="238">
        <v>68</v>
      </c>
      <c r="F26" s="253">
        <f>D26/2</f>
        <v>6</v>
      </c>
      <c r="G26" s="238">
        <v>3.1415926535900001</v>
      </c>
      <c r="H26" s="238">
        <f t="shared" si="4"/>
        <v>113.09733552924</v>
      </c>
      <c r="I26" s="238">
        <f>H26*E26</f>
        <v>7690.6188159883195</v>
      </c>
      <c r="J26" s="238">
        <v>0.1</v>
      </c>
      <c r="K26" s="239">
        <f>I26*J26</f>
        <v>769.06188159883197</v>
      </c>
      <c r="M26" s="257">
        <v>0.14000000000000001</v>
      </c>
      <c r="N26" s="256">
        <f t="shared" si="5"/>
        <v>107.67</v>
      </c>
    </row>
    <row r="27" spans="3:17" x14ac:dyDescent="0.25">
      <c r="C27" s="240" t="s">
        <v>182</v>
      </c>
      <c r="D27" s="254">
        <v>8</v>
      </c>
      <c r="E27" s="241">
        <v>109.375</v>
      </c>
      <c r="F27" s="254">
        <f>D27/2</f>
        <v>4</v>
      </c>
      <c r="G27" s="241">
        <v>3.1415926535900001</v>
      </c>
      <c r="H27" s="241">
        <f t="shared" si="4"/>
        <v>50.265482457440001</v>
      </c>
      <c r="I27" s="241">
        <f>H27*E27</f>
        <v>5497.7871437824997</v>
      </c>
      <c r="J27" s="241">
        <v>0.16</v>
      </c>
      <c r="K27" s="242">
        <f>I27*J27</f>
        <v>879.64594300520002</v>
      </c>
      <c r="M27" s="257">
        <v>0.25</v>
      </c>
      <c r="N27" s="256">
        <f t="shared" si="5"/>
        <v>219.91</v>
      </c>
    </row>
    <row r="28" spans="3:17" x14ac:dyDescent="0.25">
      <c r="C28" s="243" t="s">
        <v>187</v>
      </c>
      <c r="D28" s="255">
        <v>9</v>
      </c>
      <c r="E28" s="244">
        <v>39.25</v>
      </c>
      <c r="F28" s="255">
        <f>D28/2</f>
        <v>4.5</v>
      </c>
      <c r="G28" s="244">
        <v>3.1415926535900001</v>
      </c>
      <c r="H28" s="244">
        <f t="shared" si="4"/>
        <v>63.6172512351975</v>
      </c>
      <c r="I28" s="244">
        <f>H28*E28</f>
        <v>2496.9771109815019</v>
      </c>
      <c r="J28" s="244">
        <v>0.29949999999999999</v>
      </c>
      <c r="K28" s="245">
        <f>I28*J28</f>
        <v>747.8446447389598</v>
      </c>
      <c r="M28" s="257">
        <v>0.14000000000000001</v>
      </c>
      <c r="N28" s="256">
        <f t="shared" si="5"/>
        <v>104.7</v>
      </c>
    </row>
  </sheetData>
  <conditionalFormatting sqref="K24:K28">
    <cfRule type="cellIs" dxfId="87" priority="1" operator="greaterThan">
      <formula>$Q$24</formula>
    </cfRule>
  </conditionalFormatting>
  <conditionalFormatting sqref="K28">
    <cfRule type="cellIs" dxfId="86" priority="8" operator="greaterThan">
      <formula>6296.819819</formula>
    </cfRule>
    <cfRule type="cellIs" dxfId="85" priority="9" operator="greaterThan">
      <formula>$Q$24</formula>
    </cfRule>
  </conditionalFormatting>
  <conditionalFormatting sqref="N28">
    <cfRule type="cellIs" dxfId="84" priority="2" operator="greaterThan">
      <formula>960</formula>
    </cfRule>
    <cfRule type="cellIs" priority="3" operator="greaterThan">
      <formula>960</formula>
    </cfRule>
    <cfRule type="expression" priority="4">
      <formula>$K$28</formula>
    </cfRule>
    <cfRule type="aboveAverage" priority="5" aboveAverage="0"/>
    <cfRule type="expression" priority="6">
      <formula>"IF K28 IS RED"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E65D-FC9A-409B-8610-CFA7B4C8FB33}">
  <sheetPr>
    <tabColor rgb="FF7030A0"/>
  </sheetPr>
  <dimension ref="A1:AG17"/>
  <sheetViews>
    <sheetView zoomScaleNormal="100" workbookViewId="0">
      <selection activeCell="G16" sqref="G16"/>
    </sheetView>
  </sheetViews>
  <sheetFormatPr defaultRowHeight="15" x14ac:dyDescent="0.25"/>
  <cols>
    <col min="3" max="3" width="12.28515625" customWidth="1"/>
    <col min="4" max="5" width="12" customWidth="1"/>
    <col min="8" max="14" width="9.140625" customWidth="1"/>
    <col min="21" max="21" width="12.140625" customWidth="1"/>
    <col min="22" max="22" width="12.5703125" customWidth="1"/>
    <col min="23" max="23" width="12.140625" customWidth="1"/>
    <col min="25" max="25" width="15.5703125" customWidth="1"/>
    <col min="28" max="28" width="12" customWidth="1"/>
    <col min="30" max="30" width="13.85546875" customWidth="1"/>
    <col min="32" max="32" width="14.85546875" customWidth="1"/>
  </cols>
  <sheetData>
    <row r="1" spans="1:33" ht="21" x14ac:dyDescent="0.25">
      <c r="A1" s="9" t="s">
        <v>240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93"/>
      <c r="W1" s="21"/>
      <c r="X1" s="21"/>
      <c r="Y1" s="22"/>
      <c r="Z1" s="22"/>
      <c r="AA1" s="22"/>
      <c r="AB1" s="22"/>
      <c r="AC1" s="75"/>
      <c r="AD1" s="22"/>
      <c r="AE1" s="22"/>
      <c r="AF1" s="88"/>
    </row>
    <row r="2" spans="1:33" ht="60" x14ac:dyDescent="0.25">
      <c r="A2" s="2" t="s">
        <v>217</v>
      </c>
      <c r="B2" s="2" t="s">
        <v>218</v>
      </c>
      <c r="C2" s="2" t="s">
        <v>173</v>
      </c>
      <c r="D2" s="322" t="s">
        <v>2</v>
      </c>
      <c r="E2" s="322" t="s">
        <v>219</v>
      </c>
      <c r="F2" s="322" t="s">
        <v>20</v>
      </c>
      <c r="G2" s="2" t="s">
        <v>1</v>
      </c>
      <c r="H2" s="2" t="s">
        <v>220</v>
      </c>
      <c r="I2" s="322" t="s">
        <v>221</v>
      </c>
      <c r="J2" s="322" t="s">
        <v>222</v>
      </c>
      <c r="K2" s="322" t="s">
        <v>223</v>
      </c>
      <c r="L2" s="322" t="s">
        <v>224</v>
      </c>
      <c r="M2" s="322" t="s">
        <v>225</v>
      </c>
      <c r="N2" s="322" t="s">
        <v>226</v>
      </c>
      <c r="O2" s="322" t="s">
        <v>9</v>
      </c>
      <c r="P2" s="322" t="s">
        <v>228</v>
      </c>
      <c r="Q2" s="322" t="s">
        <v>227</v>
      </c>
      <c r="R2" s="322" t="s">
        <v>10</v>
      </c>
      <c r="S2" s="322" t="s">
        <v>24</v>
      </c>
      <c r="T2" s="322" t="s">
        <v>25</v>
      </c>
      <c r="U2" s="195" t="s">
        <v>230</v>
      </c>
      <c r="V2" s="195"/>
      <c r="W2" s="323"/>
      <c r="X2" s="38" t="s">
        <v>29</v>
      </c>
      <c r="Y2" s="37" t="s">
        <v>34</v>
      </c>
      <c r="Z2" s="37" t="s">
        <v>27</v>
      </c>
      <c r="AA2" s="38" t="s">
        <v>39</v>
      </c>
      <c r="AB2" s="38" t="s">
        <v>30</v>
      </c>
      <c r="AC2" s="74" t="s">
        <v>36</v>
      </c>
      <c r="AD2" s="38" t="s">
        <v>31</v>
      </c>
      <c r="AE2" s="37" t="s">
        <v>32</v>
      </c>
      <c r="AF2" s="41" t="s">
        <v>33</v>
      </c>
    </row>
    <row r="3" spans="1:33" x14ac:dyDescent="0.25">
      <c r="A3" s="65">
        <v>37.130000000000003</v>
      </c>
      <c r="B3" s="65">
        <v>21</v>
      </c>
      <c r="C3" s="65">
        <v>35.625</v>
      </c>
      <c r="D3" s="66" t="s">
        <v>0</v>
      </c>
      <c r="E3" s="66">
        <f>(A3-B3)/2</f>
        <v>8.0650000000000013</v>
      </c>
      <c r="F3" s="66">
        <f>A3*3.14159265359</f>
        <v>116.64733522779672</v>
      </c>
      <c r="G3" s="66">
        <v>0.05</v>
      </c>
      <c r="H3" s="66">
        <v>3.1415926535900001</v>
      </c>
      <c r="I3" s="66">
        <f>(A3+B3)*C3</f>
        <v>2070.8812499999999</v>
      </c>
      <c r="J3" s="66">
        <f>E3*F3</f>
        <v>940.76075861218067</v>
      </c>
      <c r="K3" s="66">
        <f>C3/G3</f>
        <v>712.5</v>
      </c>
      <c r="L3" s="66">
        <f>E3/G3</f>
        <v>161.30000000000001</v>
      </c>
      <c r="M3" s="66">
        <f>F3/10</f>
        <v>11.664733522779672</v>
      </c>
      <c r="N3" s="66">
        <f>F3/10</f>
        <v>11.664733522779672</v>
      </c>
      <c r="O3" s="66">
        <v>5.75</v>
      </c>
      <c r="P3" s="67">
        <f t="shared" ref="P3:Q4" si="0">M3*K3/60</f>
        <v>138.51871058300861</v>
      </c>
      <c r="Q3" s="67">
        <f t="shared" si="0"/>
        <v>31.358691953739356</v>
      </c>
      <c r="R3" s="67">
        <f>P3+O3+Q3</f>
        <v>175.62740253674798</v>
      </c>
      <c r="S3" s="68">
        <v>250</v>
      </c>
      <c r="T3" s="69">
        <f>S3/60</f>
        <v>4.166666666666667</v>
      </c>
      <c r="U3" s="70">
        <f>ROUNDUP(R3*T3,1)</f>
        <v>731.80000000000007</v>
      </c>
      <c r="V3" s="70"/>
      <c r="W3" s="324" t="s">
        <v>229</v>
      </c>
      <c r="X3" s="32">
        <v>5</v>
      </c>
      <c r="Y3" s="33">
        <f>U3*X3</f>
        <v>3659.0000000000005</v>
      </c>
      <c r="Z3" s="30">
        <v>150</v>
      </c>
      <c r="AA3" s="79">
        <v>0.02</v>
      </c>
      <c r="AB3" s="33">
        <f>Y3+Z3</f>
        <v>3809.0000000000005</v>
      </c>
      <c r="AC3" s="77">
        <f>ROUNDUP(AB3*AA3,0)</f>
        <v>77</v>
      </c>
      <c r="AD3" s="33">
        <f>AB3+AC3</f>
        <v>3886.0000000000005</v>
      </c>
      <c r="AE3" s="57">
        <v>225</v>
      </c>
      <c r="AF3" s="78">
        <f>ROUNDDOWN(AE3/U3,0)</f>
        <v>0</v>
      </c>
    </row>
    <row r="4" spans="1:33" x14ac:dyDescent="0.25">
      <c r="A4" s="65">
        <v>2.5</v>
      </c>
      <c r="B4" s="65">
        <v>1.6</v>
      </c>
      <c r="C4" s="65">
        <v>0.5</v>
      </c>
      <c r="D4" s="66" t="s">
        <v>0</v>
      </c>
      <c r="E4" s="66">
        <f>(A4-B4)/2</f>
        <v>0.44999999999999996</v>
      </c>
      <c r="F4" s="66">
        <f>A4*3.14159265359</f>
        <v>7.8539816339749997</v>
      </c>
      <c r="G4" s="66">
        <v>0.03</v>
      </c>
      <c r="H4" s="66">
        <v>3.1415926535900001</v>
      </c>
      <c r="I4" s="66">
        <f t="shared" ref="I4" si="1">(A4+B4)*C4</f>
        <v>2.0499999999999998</v>
      </c>
      <c r="J4" s="66">
        <f>E4*F4</f>
        <v>3.5342917352887495</v>
      </c>
      <c r="K4" s="66">
        <f>C4/G4</f>
        <v>16.666666666666668</v>
      </c>
      <c r="L4" s="66">
        <f>E4/G4</f>
        <v>14.999999999999998</v>
      </c>
      <c r="M4" s="66">
        <f>F4/10</f>
        <v>0.78539816339750002</v>
      </c>
      <c r="N4" s="66">
        <f>F4/10</f>
        <v>0.78539816339750002</v>
      </c>
      <c r="O4" s="66">
        <v>10</v>
      </c>
      <c r="P4" s="67">
        <f t="shared" si="0"/>
        <v>0.21816615649930557</v>
      </c>
      <c r="Q4" s="67">
        <f t="shared" si="0"/>
        <v>0.196349540849375</v>
      </c>
      <c r="R4" s="67">
        <f>P4+O4+Q4</f>
        <v>10.414515697348682</v>
      </c>
      <c r="S4" s="68">
        <v>250</v>
      </c>
      <c r="T4" s="69">
        <f t="shared" ref="T4" si="2">S4/60</f>
        <v>4.166666666666667</v>
      </c>
      <c r="U4" s="70">
        <f t="shared" ref="U4" si="3">ROUNDUP(R4*T4,1)</f>
        <v>43.4</v>
      </c>
      <c r="V4" s="70"/>
      <c r="W4" s="324" t="s">
        <v>229</v>
      </c>
      <c r="X4" s="32">
        <v>38</v>
      </c>
      <c r="Y4" s="33">
        <f>U4*X4</f>
        <v>1649.2</v>
      </c>
      <c r="Z4" s="30">
        <v>150</v>
      </c>
      <c r="AA4" s="79">
        <v>0.02</v>
      </c>
      <c r="AB4" s="33">
        <f t="shared" ref="AB4" si="4">Y4+Z4</f>
        <v>1799.2</v>
      </c>
      <c r="AC4" s="77">
        <f>ROUNDUP(AB4*AA4,0)</f>
        <v>36</v>
      </c>
      <c r="AD4" s="33">
        <f t="shared" ref="AD4" si="5">AB4+AC4</f>
        <v>1835.2</v>
      </c>
      <c r="AE4" s="57">
        <v>225</v>
      </c>
      <c r="AF4" s="78">
        <f t="shared" ref="AF4" si="6">ROUNDDOWN(AE4/U4,0)</f>
        <v>5</v>
      </c>
    </row>
    <row r="7" spans="1:33" x14ac:dyDescent="0.25">
      <c r="E7" t="s">
        <v>306</v>
      </c>
      <c r="V7" t="s">
        <v>307</v>
      </c>
      <c r="AG7" t="s">
        <v>308</v>
      </c>
    </row>
    <row r="8" spans="1:33" x14ac:dyDescent="0.25">
      <c r="A8" s="65">
        <v>2.5</v>
      </c>
      <c r="B8" s="65">
        <v>1.6</v>
      </c>
      <c r="C8" s="65">
        <v>0.5</v>
      </c>
      <c r="D8" s="66" t="s">
        <v>0</v>
      </c>
      <c r="E8" s="66">
        <f>(A8-B8)/2</f>
        <v>0.44999999999999996</v>
      </c>
      <c r="F8" s="66">
        <f>A8*3.14159265359</f>
        <v>7.8539816339749997</v>
      </c>
      <c r="G8" s="66">
        <v>2.5000000000000001E-2</v>
      </c>
      <c r="H8" s="66">
        <v>3.1415926535900001</v>
      </c>
      <c r="I8" s="66">
        <f t="shared" ref="I8" si="7">(A8+B8)*C8</f>
        <v>2.0499999999999998</v>
      </c>
      <c r="J8" s="66">
        <f>E8*F8</f>
        <v>3.5342917352887495</v>
      </c>
      <c r="K8" s="66">
        <f>C8/G8</f>
        <v>20</v>
      </c>
      <c r="L8" s="66">
        <f>E8/G8</f>
        <v>17.999999999999996</v>
      </c>
      <c r="M8" s="66">
        <f>F8/10</f>
        <v>0.78539816339750002</v>
      </c>
      <c r="N8" s="66">
        <f>F8/10</f>
        <v>0.78539816339750002</v>
      </c>
      <c r="O8" s="66">
        <v>5.5</v>
      </c>
      <c r="P8" s="67">
        <f t="shared" ref="P8:Q8" si="8">M8*K8/60</f>
        <v>0.26179938779916667</v>
      </c>
      <c r="Q8" s="67">
        <f t="shared" si="8"/>
        <v>0.23561944901924997</v>
      </c>
      <c r="R8" s="67">
        <f>P8+O8+Q8</f>
        <v>5.9974188368184169</v>
      </c>
      <c r="S8" s="68">
        <v>300</v>
      </c>
      <c r="T8" s="69">
        <f t="shared" ref="T8" si="9">S8/60</f>
        <v>5</v>
      </c>
      <c r="U8" s="381">
        <f t="shared" ref="U8" si="10">ROUNDUP(R8*T8,1)</f>
        <v>30</v>
      </c>
      <c r="V8" s="70">
        <f>AG8</f>
        <v>60</v>
      </c>
      <c r="W8" s="324" t="s">
        <v>229</v>
      </c>
      <c r="X8" s="32">
        <v>4</v>
      </c>
      <c r="Y8" s="33">
        <f>V8*X8</f>
        <v>240</v>
      </c>
      <c r="Z8" s="30">
        <v>150</v>
      </c>
      <c r="AA8" s="79">
        <v>0.02</v>
      </c>
      <c r="AB8" s="33">
        <f t="shared" ref="AB8" si="11">Y8+Z8</f>
        <v>390</v>
      </c>
      <c r="AC8" s="77">
        <f>ROUNDUP(AB8*AA8,0)</f>
        <v>8</v>
      </c>
      <c r="AD8" s="33">
        <f t="shared" ref="AD8" si="12">AB8+AC8</f>
        <v>398</v>
      </c>
      <c r="AE8" s="57">
        <v>225</v>
      </c>
      <c r="AF8" s="78">
        <f t="shared" ref="AF8" si="13">ROUNDDOWN(AE8/U8,0)</f>
        <v>7</v>
      </c>
      <c r="AG8" s="97">
        <f>U8*2</f>
        <v>60</v>
      </c>
    </row>
    <row r="13" spans="1:33" ht="21" x14ac:dyDescent="0.25">
      <c r="A13" s="9" t="s">
        <v>240</v>
      </c>
      <c r="B13" s="10"/>
      <c r="C13" s="10"/>
      <c r="D13" s="10" t="s">
        <v>468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93"/>
      <c r="W13" s="21"/>
      <c r="X13" s="21"/>
      <c r="Y13" s="22"/>
      <c r="Z13" s="22"/>
      <c r="AA13" s="22"/>
      <c r="AB13" s="22"/>
      <c r="AC13" s="75"/>
      <c r="AD13" s="22"/>
      <c r="AE13" s="22"/>
      <c r="AF13" s="88"/>
    </row>
    <row r="14" spans="1:33" ht="60" x14ac:dyDescent="0.25">
      <c r="A14" s="2" t="s">
        <v>217</v>
      </c>
      <c r="B14" s="2" t="s">
        <v>218</v>
      </c>
      <c r="C14" s="2" t="s">
        <v>173</v>
      </c>
      <c r="D14" s="322" t="s">
        <v>2</v>
      </c>
      <c r="E14" s="322" t="s">
        <v>219</v>
      </c>
      <c r="F14" s="322" t="s">
        <v>20</v>
      </c>
      <c r="G14" s="2" t="s">
        <v>1</v>
      </c>
      <c r="H14" s="2" t="s">
        <v>220</v>
      </c>
      <c r="I14" s="322" t="s">
        <v>221</v>
      </c>
      <c r="J14" s="322" t="s">
        <v>222</v>
      </c>
      <c r="K14" s="322" t="s">
        <v>223</v>
      </c>
      <c r="L14" s="322" t="s">
        <v>224</v>
      </c>
      <c r="M14" s="322" t="s">
        <v>225</v>
      </c>
      <c r="N14" s="322" t="s">
        <v>226</v>
      </c>
      <c r="O14" s="322" t="s">
        <v>9</v>
      </c>
      <c r="P14" s="322" t="s">
        <v>228</v>
      </c>
      <c r="Q14" s="322" t="s">
        <v>227</v>
      </c>
      <c r="R14" s="322" t="s">
        <v>10</v>
      </c>
      <c r="S14" s="322" t="s">
        <v>24</v>
      </c>
      <c r="T14" s="322" t="s">
        <v>25</v>
      </c>
      <c r="U14" s="195" t="s">
        <v>230</v>
      </c>
      <c r="V14" s="195"/>
      <c r="W14" s="323"/>
      <c r="X14" s="38" t="s">
        <v>29</v>
      </c>
      <c r="Y14" s="37" t="s">
        <v>34</v>
      </c>
      <c r="Z14" s="37" t="s">
        <v>27</v>
      </c>
      <c r="AA14" s="38" t="s">
        <v>39</v>
      </c>
      <c r="AB14" s="38" t="s">
        <v>30</v>
      </c>
      <c r="AC14" s="74" t="s">
        <v>36</v>
      </c>
      <c r="AD14" s="38" t="s">
        <v>31</v>
      </c>
      <c r="AE14" s="37" t="s">
        <v>32</v>
      </c>
      <c r="AF14" s="41" t="s">
        <v>33</v>
      </c>
    </row>
    <row r="15" spans="1:33" x14ac:dyDescent="0.25">
      <c r="A15" s="65">
        <v>21.594000000000001</v>
      </c>
      <c r="B15" s="65">
        <v>17.998000000000001</v>
      </c>
      <c r="C15" s="65">
        <v>1.7</v>
      </c>
      <c r="D15" s="66" t="s">
        <v>0</v>
      </c>
      <c r="E15" s="66">
        <f>(A15-B15)/2</f>
        <v>1.798</v>
      </c>
      <c r="F15" s="66">
        <f>A15*3.14159265359</f>
        <v>67.839551761622459</v>
      </c>
      <c r="G15" s="66">
        <v>0.06</v>
      </c>
      <c r="H15" s="66">
        <v>3.1415926535900001</v>
      </c>
      <c r="I15" s="66">
        <f>(A15+B15)*C15</f>
        <v>67.306399999999996</v>
      </c>
      <c r="J15" s="66">
        <f>E15*F15</f>
        <v>121.97551406739719</v>
      </c>
      <c r="K15" s="66">
        <f>C15/G15</f>
        <v>28.333333333333332</v>
      </c>
      <c r="L15" s="66">
        <f>E15/G15</f>
        <v>29.966666666666669</v>
      </c>
      <c r="M15" s="66">
        <f>F15/10</f>
        <v>6.7839551761622463</v>
      </c>
      <c r="N15" s="66">
        <f>F15/10</f>
        <v>6.7839551761622463</v>
      </c>
      <c r="O15" s="66">
        <v>3.5</v>
      </c>
      <c r="P15" s="67">
        <f t="shared" ref="P15:P16" si="14">M15*K15/60</f>
        <v>3.2035343887432832</v>
      </c>
      <c r="Q15" s="67">
        <f t="shared" ref="Q15:Q16" si="15">N15*L15/60</f>
        <v>3.3882087240943668</v>
      </c>
      <c r="R15" s="67">
        <f>P15+O15+Q15</f>
        <v>10.09174311283765</v>
      </c>
      <c r="S15" s="68">
        <v>150</v>
      </c>
      <c r="T15" s="69">
        <f>S15/60</f>
        <v>2.5</v>
      </c>
      <c r="U15" s="70">
        <f>ROUNDUP(R15*T15,1)</f>
        <v>25.3</v>
      </c>
      <c r="V15" s="70"/>
      <c r="W15" s="324" t="s">
        <v>229</v>
      </c>
      <c r="X15" s="32">
        <v>5</v>
      </c>
      <c r="Y15" s="33">
        <f>U15*X15</f>
        <v>126.5</v>
      </c>
      <c r="Z15" s="30">
        <v>150</v>
      </c>
      <c r="AA15" s="79">
        <v>0.02</v>
      </c>
      <c r="AB15" s="33">
        <f>Y15+Z15</f>
        <v>276.5</v>
      </c>
      <c r="AC15" s="77">
        <f>ROUNDUP(AB15*AA15,0)</f>
        <v>6</v>
      </c>
      <c r="AD15" s="33">
        <f>AB15+AC15</f>
        <v>282.5</v>
      </c>
      <c r="AE15" s="57">
        <v>225</v>
      </c>
      <c r="AF15" s="78">
        <f>ROUNDDOWN(AE15/U15,0)</f>
        <v>8</v>
      </c>
    </row>
    <row r="16" spans="1:33" x14ac:dyDescent="0.25">
      <c r="A16" s="65">
        <v>21.594000000000001</v>
      </c>
      <c r="B16" s="65">
        <v>17.998000000000001</v>
      </c>
      <c r="C16" s="65">
        <v>1.7</v>
      </c>
      <c r="D16" s="66" t="s">
        <v>0</v>
      </c>
      <c r="E16" s="66">
        <f>(A16-B16)/2</f>
        <v>1.798</v>
      </c>
      <c r="F16" s="66">
        <f>A16*3.14159265359</f>
        <v>67.839551761622459</v>
      </c>
      <c r="G16" s="66">
        <v>0.06</v>
      </c>
      <c r="H16" s="66">
        <v>3.1415926535900001</v>
      </c>
      <c r="I16" s="66">
        <f t="shared" ref="I16" si="16">(A16+B16)*C16</f>
        <v>67.306399999999996</v>
      </c>
      <c r="J16" s="66">
        <f>E16*F16</f>
        <v>121.97551406739719</v>
      </c>
      <c r="K16" s="66">
        <f>C16/G16</f>
        <v>28.333333333333332</v>
      </c>
      <c r="L16" s="66">
        <f>E16/G16</f>
        <v>29.966666666666669</v>
      </c>
      <c r="M16" s="66">
        <f>F16/10</f>
        <v>6.7839551761622463</v>
      </c>
      <c r="N16" s="66">
        <f>F16/10</f>
        <v>6.7839551761622463</v>
      </c>
      <c r="O16" s="66">
        <v>3.5</v>
      </c>
      <c r="P16" s="67">
        <f t="shared" si="14"/>
        <v>3.2035343887432832</v>
      </c>
      <c r="Q16" s="67">
        <f t="shared" si="15"/>
        <v>3.3882087240943668</v>
      </c>
      <c r="R16" s="67">
        <f>P16+O16+Q16</f>
        <v>10.09174311283765</v>
      </c>
      <c r="S16" s="68">
        <v>150</v>
      </c>
      <c r="T16" s="69">
        <f t="shared" ref="T16" si="17">S16/60</f>
        <v>2.5</v>
      </c>
      <c r="U16" s="70">
        <f t="shared" ref="U16" si="18">ROUNDUP(R16*T16,1)</f>
        <v>25.3</v>
      </c>
      <c r="V16" s="70"/>
      <c r="W16" s="324" t="s">
        <v>229</v>
      </c>
      <c r="X16" s="32">
        <v>38</v>
      </c>
      <c r="Y16" s="33">
        <f>U16*X16</f>
        <v>961.4</v>
      </c>
      <c r="Z16" s="30">
        <v>150</v>
      </c>
      <c r="AA16" s="79">
        <v>0.02</v>
      </c>
      <c r="AB16" s="33">
        <f t="shared" ref="AB16" si="19">Y16+Z16</f>
        <v>1111.4000000000001</v>
      </c>
      <c r="AC16" s="77">
        <f>ROUNDUP(AB16*AA16,0)</f>
        <v>23</v>
      </c>
      <c r="AD16" s="33">
        <f t="shared" ref="AD16" si="20">AB16+AC16</f>
        <v>1134.4000000000001</v>
      </c>
      <c r="AE16" s="57">
        <v>225</v>
      </c>
      <c r="AF16" s="78">
        <f t="shared" ref="AF16" si="21">ROUNDDOWN(AE16/U16,0)</f>
        <v>8</v>
      </c>
    </row>
    <row r="17" spans="2:2" x14ac:dyDescent="0.25">
      <c r="B17">
        <v>3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56C7-EBC9-4158-8595-F9E1A6D5B12A}">
  <sheetPr>
    <tabColor rgb="FF7030A0"/>
  </sheetPr>
  <dimension ref="A1:AA31"/>
  <sheetViews>
    <sheetView zoomScale="90" zoomScaleNormal="90" workbookViewId="0">
      <selection activeCell="P21" sqref="P21"/>
    </sheetView>
  </sheetViews>
  <sheetFormatPr defaultRowHeight="15" x14ac:dyDescent="0.25"/>
  <cols>
    <col min="1" max="1" width="24.5703125" customWidth="1"/>
    <col min="4" max="4" width="19.85546875" customWidth="1"/>
    <col min="5" max="6" width="9.140625" customWidth="1"/>
    <col min="7" max="7" width="11.42578125" customWidth="1"/>
    <col min="9" max="12" width="9.140625" customWidth="1"/>
    <col min="13" max="13" width="12" customWidth="1"/>
    <col min="16" max="16" width="12.28515625" customWidth="1"/>
    <col min="19" max="19" width="12.5703125" customWidth="1"/>
    <col min="20" max="20" width="15.28515625" customWidth="1"/>
    <col min="21" max="21" width="18.85546875" customWidth="1"/>
    <col min="23" max="23" width="19.85546875" customWidth="1"/>
    <col min="25" max="25" width="11.140625" customWidth="1"/>
  </cols>
  <sheetData>
    <row r="1" spans="1:27" ht="21" x14ac:dyDescent="0.25">
      <c r="A1" s="15" t="s">
        <v>417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60"/>
      <c r="R1" s="60"/>
      <c r="S1" s="63"/>
      <c r="T1" s="63"/>
      <c r="U1" s="61"/>
      <c r="V1" s="209"/>
      <c r="W1" s="63"/>
      <c r="X1" s="210"/>
      <c r="Y1" s="63"/>
      <c r="Z1" s="60"/>
      <c r="AA1" s="211"/>
    </row>
    <row r="2" spans="1:27" ht="45" x14ac:dyDescent="0.25">
      <c r="A2" s="4" t="s">
        <v>13</v>
      </c>
      <c r="B2" s="4" t="s">
        <v>7</v>
      </c>
      <c r="C2" s="2" t="s">
        <v>2</v>
      </c>
      <c r="D2" s="4" t="s">
        <v>1</v>
      </c>
      <c r="E2" s="5" t="s">
        <v>20</v>
      </c>
      <c r="F2" s="4" t="s">
        <v>14</v>
      </c>
      <c r="G2" s="4" t="s">
        <v>15</v>
      </c>
      <c r="H2" s="4" t="s">
        <v>17</v>
      </c>
      <c r="I2" s="4" t="s">
        <v>16</v>
      </c>
      <c r="J2" s="4" t="s">
        <v>18</v>
      </c>
      <c r="K2" s="2" t="s">
        <v>24</v>
      </c>
      <c r="L2" s="2" t="s">
        <v>25</v>
      </c>
      <c r="M2" s="329" t="s">
        <v>233</v>
      </c>
      <c r="N2" s="331" t="s">
        <v>234</v>
      </c>
      <c r="O2" s="331"/>
      <c r="P2" s="329" t="s">
        <v>235</v>
      </c>
      <c r="Q2" s="37"/>
      <c r="R2" s="38" t="s">
        <v>29</v>
      </c>
      <c r="S2" s="44" t="s">
        <v>34</v>
      </c>
      <c r="T2" s="44" t="s">
        <v>291</v>
      </c>
      <c r="U2" s="42" t="s">
        <v>27</v>
      </c>
      <c r="V2" s="73" t="s">
        <v>39</v>
      </c>
      <c r="W2" s="44" t="s">
        <v>30</v>
      </c>
      <c r="X2" s="45" t="s">
        <v>36</v>
      </c>
      <c r="Y2" s="44" t="s">
        <v>31</v>
      </c>
      <c r="Z2" s="37" t="s">
        <v>32</v>
      </c>
      <c r="AA2" s="41" t="s">
        <v>33</v>
      </c>
    </row>
    <row r="3" spans="1:27" x14ac:dyDescent="0.25">
      <c r="A3" s="14">
        <v>0.375</v>
      </c>
      <c r="B3" s="14">
        <v>8.25</v>
      </c>
      <c r="C3" s="66" t="s">
        <v>0</v>
      </c>
      <c r="D3" s="16">
        <v>0.04</v>
      </c>
      <c r="E3" s="16">
        <f>A3*3.14</f>
        <v>1.1775</v>
      </c>
      <c r="F3" s="17">
        <f>E3/D3</f>
        <v>29.4375</v>
      </c>
      <c r="G3" s="16">
        <f>B3/10</f>
        <v>0.82499999999999996</v>
      </c>
      <c r="H3" s="16">
        <v>3.25</v>
      </c>
      <c r="I3" s="19">
        <f>G3*F3/60</f>
        <v>0.40476562499999996</v>
      </c>
      <c r="J3" s="20">
        <f>I3+H3</f>
        <v>3.654765625</v>
      </c>
      <c r="K3" s="68">
        <v>250</v>
      </c>
      <c r="L3" s="69">
        <f>K3/60</f>
        <v>4.166666666666667</v>
      </c>
      <c r="M3" s="18">
        <f>ROUNDUP(J3*L3,1)</f>
        <v>15.299999999999999</v>
      </c>
      <c r="N3" s="330">
        <v>2</v>
      </c>
      <c r="O3" s="330"/>
      <c r="P3" s="212">
        <f>M3*N3</f>
        <v>30.599999999999998</v>
      </c>
      <c r="Q3" s="56" t="s">
        <v>236</v>
      </c>
      <c r="R3" s="32">
        <v>216</v>
      </c>
      <c r="S3" s="496">
        <f>IF(T3&gt;Z3, T3,Z3)</f>
        <v>6609.5999999999995</v>
      </c>
      <c r="T3" s="33">
        <f>P3*R3</f>
        <v>6609.5999999999995</v>
      </c>
      <c r="U3" s="30">
        <v>125</v>
      </c>
      <c r="V3" s="79">
        <v>0.02</v>
      </c>
      <c r="W3" s="33">
        <f>S3+U3</f>
        <v>6734.5999999999995</v>
      </c>
      <c r="X3" s="77">
        <f>ROUNDUP(W3*V3,0)</f>
        <v>135</v>
      </c>
      <c r="Y3" s="33">
        <f t="shared" ref="Y3" si="0">W3+X3</f>
        <v>6869.5999999999995</v>
      </c>
      <c r="Z3" s="57">
        <v>250</v>
      </c>
      <c r="AA3" s="78">
        <f>ROUNDDOWN(Z3/M3,0)</f>
        <v>16</v>
      </c>
    </row>
    <row r="6" spans="1:27" ht="21" x14ac:dyDescent="0.25">
      <c r="A6" s="9" t="s">
        <v>418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93"/>
      <c r="P6" s="21"/>
      <c r="Q6" s="21"/>
      <c r="R6" s="22"/>
      <c r="S6" s="22"/>
      <c r="T6" s="22"/>
      <c r="U6" s="22"/>
      <c r="V6" s="22"/>
      <c r="W6" s="75"/>
      <c r="X6" s="22"/>
      <c r="Y6" s="22"/>
      <c r="Z6" s="88"/>
    </row>
    <row r="7" spans="1:27" ht="45" x14ac:dyDescent="0.25">
      <c r="A7" s="2" t="s">
        <v>23</v>
      </c>
      <c r="B7" s="2" t="s">
        <v>8</v>
      </c>
      <c r="C7" s="2" t="s">
        <v>7</v>
      </c>
      <c r="D7" s="2" t="s">
        <v>2</v>
      </c>
      <c r="E7" s="2" t="s">
        <v>1</v>
      </c>
      <c r="F7" s="2" t="s">
        <v>6</v>
      </c>
      <c r="G7" s="2" t="s">
        <v>3</v>
      </c>
      <c r="H7" s="2" t="s">
        <v>21</v>
      </c>
      <c r="I7" s="2" t="s">
        <v>9</v>
      </c>
      <c r="J7" s="2" t="s">
        <v>4</v>
      </c>
      <c r="K7" s="2" t="s">
        <v>10</v>
      </c>
      <c r="L7" s="322" t="s">
        <v>24</v>
      </c>
      <c r="M7" s="322" t="s">
        <v>25</v>
      </c>
      <c r="N7" s="329" t="s">
        <v>233</v>
      </c>
      <c r="O7" s="331" t="s">
        <v>234</v>
      </c>
      <c r="P7" s="195" t="s">
        <v>5</v>
      </c>
      <c r="Q7" s="34"/>
      <c r="R7" s="38" t="s">
        <v>29</v>
      </c>
      <c r="S7" s="37" t="s">
        <v>34</v>
      </c>
      <c r="T7" s="37" t="s">
        <v>420</v>
      </c>
      <c r="U7" s="37" t="s">
        <v>27</v>
      </c>
      <c r="V7" s="38" t="s">
        <v>39</v>
      </c>
      <c r="W7" s="38" t="s">
        <v>30</v>
      </c>
      <c r="X7" s="74" t="s">
        <v>36</v>
      </c>
      <c r="Y7" s="38" t="s">
        <v>31</v>
      </c>
      <c r="Z7" s="37" t="s">
        <v>32</v>
      </c>
      <c r="AA7" s="41" t="s">
        <v>33</v>
      </c>
    </row>
    <row r="8" spans="1:27" x14ac:dyDescent="0.25">
      <c r="A8" s="65">
        <v>2.2999999999999998</v>
      </c>
      <c r="B8" s="65">
        <v>1.42</v>
      </c>
      <c r="C8" s="65">
        <v>144</v>
      </c>
      <c r="D8" s="66" t="s">
        <v>0</v>
      </c>
      <c r="E8" s="66">
        <v>4.4999999999999998E-2</v>
      </c>
      <c r="F8" s="66">
        <f>(A8+B8)*C8</f>
        <v>535.67999999999995</v>
      </c>
      <c r="G8" s="66">
        <f>(A8+B8)/E8</f>
        <v>82.666666666666657</v>
      </c>
      <c r="H8" s="66">
        <f t="shared" ref="H8" si="1">C8/10</f>
        <v>14.4</v>
      </c>
      <c r="I8" s="66">
        <v>2.5</v>
      </c>
      <c r="J8" s="67">
        <f t="shared" ref="J8" si="2">H8*G8/60</f>
        <v>19.839999999999996</v>
      </c>
      <c r="K8" s="67">
        <f>J8+I8</f>
        <v>22.339999999999996</v>
      </c>
      <c r="L8" s="68">
        <v>225</v>
      </c>
      <c r="M8" s="69">
        <f>L8/60</f>
        <v>3.75</v>
      </c>
      <c r="N8" s="18">
        <f>ROUNDUP(K8*M8,1)</f>
        <v>83.8</v>
      </c>
      <c r="O8" s="330">
        <v>2</v>
      </c>
      <c r="P8" s="70">
        <f>ROUNDUP(N8*O8,1)</f>
        <v>167.6</v>
      </c>
      <c r="Q8" s="23" t="s">
        <v>419</v>
      </c>
      <c r="R8" s="32">
        <v>12</v>
      </c>
      <c r="S8" s="33">
        <f>IF(T8&gt;Z8,T8,Z8)</f>
        <v>2011.1999999999998</v>
      </c>
      <c r="T8" s="33">
        <f>P8*R8</f>
        <v>2011.1999999999998</v>
      </c>
      <c r="U8" s="30">
        <v>150</v>
      </c>
      <c r="V8" s="79">
        <v>0.02</v>
      </c>
      <c r="W8" s="33">
        <f>S8+U8</f>
        <v>2161.1999999999998</v>
      </c>
      <c r="X8" s="77">
        <f>ROUNDUP(W8*V8,0)</f>
        <v>44</v>
      </c>
      <c r="Y8" s="33">
        <f>W8+X8</f>
        <v>2205.1999999999998</v>
      </c>
      <c r="Z8" s="57">
        <v>250</v>
      </c>
      <c r="AA8" s="78">
        <f>ROUNDDOWN(Z8/P8,0)</f>
        <v>1</v>
      </c>
    </row>
    <row r="11" spans="1:27" ht="24" thickBot="1" x14ac:dyDescent="0.4">
      <c r="R11" s="541" t="s">
        <v>427</v>
      </c>
      <c r="S11" s="541"/>
      <c r="T11" s="541"/>
      <c r="U11" s="541"/>
    </row>
    <row r="12" spans="1:27" ht="16.5" thickTop="1" x14ac:dyDescent="0.25">
      <c r="R12" s="362" t="s">
        <v>207</v>
      </c>
      <c r="S12" s="363"/>
      <c r="T12" s="352"/>
      <c r="U12" s="364">
        <f>P8</f>
        <v>167.6</v>
      </c>
    </row>
    <row r="13" spans="1:27" ht="15.75" x14ac:dyDescent="0.25">
      <c r="R13" s="365" t="s">
        <v>208</v>
      </c>
      <c r="S13" s="1"/>
      <c r="U13" s="366">
        <f>R8</f>
        <v>12</v>
      </c>
    </row>
    <row r="14" spans="1:27" ht="15.75" x14ac:dyDescent="0.25">
      <c r="R14" s="365" t="s">
        <v>209</v>
      </c>
      <c r="S14" s="1"/>
      <c r="U14" s="367">
        <f>S8</f>
        <v>2011.1999999999998</v>
      </c>
    </row>
    <row r="15" spans="1:27" ht="15.75" x14ac:dyDescent="0.25">
      <c r="R15" s="365" t="s">
        <v>210</v>
      </c>
      <c r="S15" s="1"/>
      <c r="U15" s="367">
        <f>X8</f>
        <v>44</v>
      </c>
    </row>
    <row r="16" spans="1:27" ht="15.75" x14ac:dyDescent="0.25">
      <c r="R16" s="365" t="s">
        <v>216</v>
      </c>
      <c r="U16" s="368">
        <f>U8</f>
        <v>150</v>
      </c>
    </row>
    <row r="17" spans="1:21" ht="15.75" x14ac:dyDescent="0.25">
      <c r="R17" s="365" t="s">
        <v>211</v>
      </c>
      <c r="S17" s="1"/>
      <c r="U17" s="367">
        <f>Y8</f>
        <v>2205.1999999999998</v>
      </c>
    </row>
    <row r="18" spans="1:21" ht="16.5" thickBot="1" x14ac:dyDescent="0.3">
      <c r="R18" s="369" t="s">
        <v>346</v>
      </c>
      <c r="S18" s="354"/>
      <c r="T18" s="539" t="s">
        <v>347</v>
      </c>
      <c r="U18" s="540"/>
    </row>
    <row r="19" spans="1:21" ht="15.75" thickTop="1" x14ac:dyDescent="0.25">
      <c r="T19" s="1"/>
      <c r="U19" s="1"/>
    </row>
    <row r="20" spans="1:21" ht="24" thickBot="1" x14ac:dyDescent="0.4">
      <c r="R20" s="541" t="s">
        <v>428</v>
      </c>
      <c r="S20" s="541"/>
      <c r="T20" s="541"/>
      <c r="U20" s="541"/>
    </row>
    <row r="21" spans="1:21" ht="16.5" thickTop="1" x14ac:dyDescent="0.25">
      <c r="R21" s="362" t="s">
        <v>207</v>
      </c>
      <c r="S21" s="363"/>
      <c r="T21" s="352"/>
      <c r="U21" s="364">
        <f>P3</f>
        <v>30.599999999999998</v>
      </c>
    </row>
    <row r="22" spans="1:21" ht="15.75" x14ac:dyDescent="0.25">
      <c r="R22" s="365" t="s">
        <v>208</v>
      </c>
      <c r="S22" s="1"/>
      <c r="U22" s="366">
        <f>R3</f>
        <v>216</v>
      </c>
    </row>
    <row r="23" spans="1:21" ht="16.5" customHeight="1" thickBot="1" x14ac:dyDescent="0.4">
      <c r="A23" s="541" t="s">
        <v>427</v>
      </c>
      <c r="B23" s="541"/>
      <c r="C23" s="541"/>
      <c r="D23" s="541"/>
      <c r="R23" s="365" t="s">
        <v>209</v>
      </c>
      <c r="S23" s="1"/>
      <c r="U23" s="523">
        <f>S3</f>
        <v>6609.5999999999995</v>
      </c>
    </row>
    <row r="24" spans="1:21" ht="16.5" thickTop="1" x14ac:dyDescent="0.25">
      <c r="A24" s="362" t="s">
        <v>207</v>
      </c>
      <c r="B24" s="363"/>
      <c r="C24" s="352"/>
      <c r="D24" s="364">
        <v>132.19999999999999</v>
      </c>
      <c r="F24" t="s">
        <v>429</v>
      </c>
      <c r="G24" s="97">
        <f>D26+D28</f>
        <v>3851.5999999999995</v>
      </c>
      <c r="R24" s="365" t="s">
        <v>210</v>
      </c>
      <c r="S24" s="1"/>
      <c r="U24" s="367">
        <f>X3</f>
        <v>135</v>
      </c>
    </row>
    <row r="25" spans="1:21" ht="15.75" x14ac:dyDescent="0.25">
      <c r="A25" s="365" t="s">
        <v>208</v>
      </c>
      <c r="B25" s="1"/>
      <c r="D25" s="366">
        <v>28</v>
      </c>
      <c r="R25" s="365" t="s">
        <v>216</v>
      </c>
      <c r="U25" s="368">
        <f>U3</f>
        <v>125</v>
      </c>
    </row>
    <row r="26" spans="1:21" ht="15.75" x14ac:dyDescent="0.25">
      <c r="A26" s="365" t="s">
        <v>209</v>
      </c>
      <c r="B26" s="1"/>
      <c r="D26" s="367">
        <f>D24*D25</f>
        <v>3701.5999999999995</v>
      </c>
      <c r="R26" s="365" t="s">
        <v>211</v>
      </c>
      <c r="S26" s="1"/>
      <c r="U26" s="367">
        <f>Y3</f>
        <v>6869.5999999999995</v>
      </c>
    </row>
    <row r="27" spans="1:21" ht="16.5" thickBot="1" x14ac:dyDescent="0.3">
      <c r="A27" s="365" t="s">
        <v>210</v>
      </c>
      <c r="B27" s="1"/>
      <c r="D27" s="367">
        <f>ROUNDUP(G24*V3,0)</f>
        <v>78</v>
      </c>
      <c r="R27" s="369" t="s">
        <v>346</v>
      </c>
      <c r="S27" s="354"/>
      <c r="T27" s="539" t="s">
        <v>347</v>
      </c>
      <c r="U27" s="540"/>
    </row>
    <row r="28" spans="1:21" ht="16.5" thickTop="1" x14ac:dyDescent="0.25">
      <c r="A28" s="365" t="s">
        <v>216</v>
      </c>
      <c r="D28" s="368">
        <v>150</v>
      </c>
    </row>
    <row r="29" spans="1:21" ht="15.75" x14ac:dyDescent="0.25">
      <c r="A29" s="365" t="s">
        <v>211</v>
      </c>
      <c r="B29" s="1"/>
      <c r="D29" s="367">
        <f>G24+D27</f>
        <v>3929.5999999999995</v>
      </c>
    </row>
    <row r="30" spans="1:21" ht="16.5" thickBot="1" x14ac:dyDescent="0.3">
      <c r="A30" s="369" t="s">
        <v>346</v>
      </c>
      <c r="B30" s="354"/>
      <c r="C30" s="539" t="s">
        <v>347</v>
      </c>
      <c r="D30" s="540"/>
    </row>
    <row r="31" spans="1:21" ht="15.75" thickTop="1" x14ac:dyDescent="0.25"/>
  </sheetData>
  <mergeCells count="6">
    <mergeCell ref="C30:D30"/>
    <mergeCell ref="R11:U11"/>
    <mergeCell ref="T18:U18"/>
    <mergeCell ref="R20:U20"/>
    <mergeCell ref="T27:U27"/>
    <mergeCell ref="A23:D2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F6B-784E-4257-ACF3-7C0DAB5C4426}">
  <sheetPr>
    <tabColor rgb="FF92D050"/>
  </sheetPr>
  <dimension ref="A1:AE19"/>
  <sheetViews>
    <sheetView zoomScale="145" zoomScaleNormal="145" workbookViewId="0">
      <selection activeCell="N16" sqref="N16"/>
    </sheetView>
  </sheetViews>
  <sheetFormatPr defaultRowHeight="15" x14ac:dyDescent="0.25"/>
  <cols>
    <col min="2" max="2" width="0" hidden="1" customWidth="1"/>
    <col min="5" max="10" width="0" hidden="1" customWidth="1"/>
  </cols>
  <sheetData>
    <row r="1" spans="1:31" ht="21" x14ac:dyDescent="0.35">
      <c r="A1" s="542" t="s">
        <v>363</v>
      </c>
      <c r="B1" s="543"/>
      <c r="C1" s="543"/>
      <c r="D1" s="543"/>
      <c r="E1" s="543"/>
      <c r="F1" s="543"/>
      <c r="G1" s="543"/>
      <c r="H1" s="543"/>
      <c r="I1" s="543"/>
      <c r="J1" s="543"/>
      <c r="K1" s="544"/>
      <c r="N1" s="171"/>
      <c r="O1" s="172" t="s">
        <v>119</v>
      </c>
      <c r="P1" s="173"/>
      <c r="V1" s="171"/>
      <c r="W1" s="198"/>
      <c r="X1" s="198"/>
      <c r="Y1" s="198"/>
      <c r="Z1" s="198"/>
      <c r="AA1" s="172" t="s">
        <v>149</v>
      </c>
      <c r="AB1" s="198"/>
      <c r="AC1" s="198"/>
      <c r="AD1" s="198"/>
      <c r="AE1" s="173"/>
    </row>
    <row r="2" spans="1:31" x14ac:dyDescent="0.25">
      <c r="A2" s="2" t="s">
        <v>214</v>
      </c>
      <c r="B2" s="2" t="s">
        <v>1</v>
      </c>
      <c r="C2" s="2" t="s">
        <v>8</v>
      </c>
      <c r="D2" s="2" t="s">
        <v>7</v>
      </c>
      <c r="E2" s="2" t="s">
        <v>6</v>
      </c>
      <c r="F2" s="2" t="s">
        <v>3</v>
      </c>
      <c r="G2" s="2" t="s">
        <v>21</v>
      </c>
      <c r="H2" s="2" t="s">
        <v>4</v>
      </c>
      <c r="I2" s="2" t="s">
        <v>9</v>
      </c>
      <c r="J2" s="2" t="s">
        <v>10</v>
      </c>
      <c r="K2" s="3" t="s">
        <v>5</v>
      </c>
      <c r="N2" s="174" t="s">
        <v>32</v>
      </c>
      <c r="P2" s="175">
        <v>250</v>
      </c>
      <c r="V2" s="174" t="s">
        <v>150</v>
      </c>
      <c r="AE2" s="176"/>
    </row>
    <row r="3" spans="1:31" x14ac:dyDescent="0.25">
      <c r="A3" s="298">
        <v>0.13</v>
      </c>
      <c r="B3" s="293">
        <v>4.1000000000000002E-2</v>
      </c>
      <c r="C3" s="308">
        <v>20</v>
      </c>
      <c r="D3" s="308">
        <v>100</v>
      </c>
      <c r="E3" s="293">
        <f t="shared" ref="E3:E9" si="0">C3*D3</f>
        <v>2000</v>
      </c>
      <c r="F3" s="293">
        <f t="shared" ref="F3:F18" si="1">C3/B3</f>
        <v>487.80487804878049</v>
      </c>
      <c r="G3" s="293">
        <f t="shared" ref="G3:G18" si="2">D3/10</f>
        <v>10</v>
      </c>
      <c r="H3" s="293">
        <f t="shared" ref="H3:H18" si="3">G3*F3/60</f>
        <v>81.300813008130078</v>
      </c>
      <c r="I3" s="293">
        <v>8</v>
      </c>
      <c r="J3" s="293">
        <f t="shared" ref="J3:J18" si="4">H3+I3</f>
        <v>89.300813008130078</v>
      </c>
      <c r="K3" s="303">
        <f>J3* 2.92</f>
        <v>260.75837398373983</v>
      </c>
      <c r="N3" s="174" t="s">
        <v>120</v>
      </c>
      <c r="P3" s="175">
        <v>125</v>
      </c>
      <c r="V3" s="174" t="s">
        <v>151</v>
      </c>
      <c r="AE3" s="176"/>
    </row>
    <row r="4" spans="1:31" x14ac:dyDescent="0.25">
      <c r="A4" s="298">
        <v>0.125</v>
      </c>
      <c r="B4" s="293">
        <v>0.04</v>
      </c>
      <c r="C4" s="308">
        <v>20</v>
      </c>
      <c r="D4" s="308">
        <v>100</v>
      </c>
      <c r="E4" s="293">
        <v>150</v>
      </c>
      <c r="F4" s="293">
        <f t="shared" si="1"/>
        <v>500</v>
      </c>
      <c r="G4" s="293">
        <f t="shared" si="2"/>
        <v>10</v>
      </c>
      <c r="H4" s="293">
        <f t="shared" si="3"/>
        <v>83.333333333333329</v>
      </c>
      <c r="I4" s="293">
        <v>8</v>
      </c>
      <c r="J4" s="293">
        <f t="shared" si="4"/>
        <v>91.333333333333329</v>
      </c>
      <c r="K4" s="303">
        <f>J4*2.92</f>
        <v>266.69333333333333</v>
      </c>
      <c r="N4" s="174" t="s">
        <v>36</v>
      </c>
      <c r="P4" s="176" t="s">
        <v>122</v>
      </c>
      <c r="V4" s="174"/>
      <c r="AE4" s="176"/>
    </row>
    <row r="5" spans="1:31" x14ac:dyDescent="0.25">
      <c r="A5" s="298">
        <v>0.12</v>
      </c>
      <c r="B5" s="293">
        <v>3.9E-2</v>
      </c>
      <c r="C5" s="308">
        <v>20</v>
      </c>
      <c r="D5" s="308">
        <v>100</v>
      </c>
      <c r="E5" s="293">
        <f t="shared" si="0"/>
        <v>2000</v>
      </c>
      <c r="F5" s="293">
        <f t="shared" si="1"/>
        <v>512.82051282051282</v>
      </c>
      <c r="G5" s="293">
        <f t="shared" si="2"/>
        <v>10</v>
      </c>
      <c r="H5" s="293">
        <f t="shared" si="3"/>
        <v>85.470085470085465</v>
      </c>
      <c r="I5" s="293">
        <v>8</v>
      </c>
      <c r="J5" s="293">
        <f t="shared" si="4"/>
        <v>93.470085470085465</v>
      </c>
      <c r="K5" s="303">
        <f>J5*2.92</f>
        <v>272.93264957264955</v>
      </c>
      <c r="N5" s="174" t="s">
        <v>121</v>
      </c>
      <c r="P5" s="176" t="s">
        <v>123</v>
      </c>
      <c r="V5" s="174" t="s">
        <v>152</v>
      </c>
      <c r="AE5" s="176"/>
    </row>
    <row r="6" spans="1:31" x14ac:dyDescent="0.25">
      <c r="A6" s="298">
        <v>0.115</v>
      </c>
      <c r="B6" s="293">
        <v>3.7999999999999999E-2</v>
      </c>
      <c r="C6" s="308">
        <v>20</v>
      </c>
      <c r="D6" s="308">
        <v>100</v>
      </c>
      <c r="E6" s="293">
        <f t="shared" si="0"/>
        <v>2000</v>
      </c>
      <c r="F6" s="293">
        <f t="shared" si="1"/>
        <v>526.31578947368428</v>
      </c>
      <c r="G6" s="293">
        <f t="shared" si="2"/>
        <v>10</v>
      </c>
      <c r="H6" s="293">
        <f t="shared" si="3"/>
        <v>87.719298245614041</v>
      </c>
      <c r="I6" s="293">
        <v>8</v>
      </c>
      <c r="J6" s="293">
        <f t="shared" si="4"/>
        <v>95.719298245614041</v>
      </c>
      <c r="K6" s="303">
        <f>J6*2.92</f>
        <v>279.500350877193</v>
      </c>
      <c r="N6" s="177" t="s">
        <v>124</v>
      </c>
      <c r="O6" s="178"/>
      <c r="P6" s="179">
        <v>150</v>
      </c>
      <c r="V6" s="174" t="s">
        <v>153</v>
      </c>
      <c r="AE6" s="176"/>
    </row>
    <row r="7" spans="1:31" x14ac:dyDescent="0.25">
      <c r="A7" s="298">
        <v>0.11</v>
      </c>
      <c r="B7" s="293">
        <v>3.6999999999999998E-2</v>
      </c>
      <c r="C7" s="308">
        <v>20</v>
      </c>
      <c r="D7" s="308">
        <v>100</v>
      </c>
      <c r="E7" s="293">
        <f t="shared" si="0"/>
        <v>2000</v>
      </c>
      <c r="F7" s="293">
        <f t="shared" si="1"/>
        <v>540.54054054054052</v>
      </c>
      <c r="G7" s="293">
        <f t="shared" si="2"/>
        <v>10</v>
      </c>
      <c r="H7" s="293">
        <f t="shared" si="3"/>
        <v>90.090090090090087</v>
      </c>
      <c r="I7" s="293">
        <v>8</v>
      </c>
      <c r="J7" s="293">
        <f t="shared" si="4"/>
        <v>98.090090090090087</v>
      </c>
      <c r="K7" s="303">
        <f>J7*2.92</f>
        <v>286.42306306306307</v>
      </c>
      <c r="V7" s="174"/>
      <c r="AE7" s="176"/>
    </row>
    <row r="8" spans="1:31" x14ac:dyDescent="0.25">
      <c r="A8" s="299">
        <v>0.105</v>
      </c>
      <c r="B8" s="294">
        <v>3.5999999999999997E-2</v>
      </c>
      <c r="C8" s="308">
        <v>20</v>
      </c>
      <c r="D8" s="308">
        <v>100</v>
      </c>
      <c r="E8" s="294">
        <f t="shared" si="0"/>
        <v>2000</v>
      </c>
      <c r="F8" s="294">
        <f t="shared" si="1"/>
        <v>555.55555555555554</v>
      </c>
      <c r="G8" s="294">
        <f t="shared" si="2"/>
        <v>10</v>
      </c>
      <c r="H8" s="294">
        <f t="shared" si="3"/>
        <v>92.592592592592595</v>
      </c>
      <c r="I8" s="294">
        <v>8</v>
      </c>
      <c r="J8" s="294">
        <f t="shared" si="4"/>
        <v>100.5925925925926</v>
      </c>
      <c r="K8" s="304">
        <f>J8*2.92</f>
        <v>293.73037037037039</v>
      </c>
      <c r="V8" s="174" t="s">
        <v>154</v>
      </c>
      <c r="AE8" s="176"/>
    </row>
    <row r="9" spans="1:31" x14ac:dyDescent="0.25">
      <c r="A9" s="298">
        <v>0.1</v>
      </c>
      <c r="B9" s="293">
        <v>3.5000000000000003E-2</v>
      </c>
      <c r="C9" s="308">
        <v>20</v>
      </c>
      <c r="D9" s="308">
        <v>100</v>
      </c>
      <c r="E9" s="293">
        <f t="shared" si="0"/>
        <v>2000</v>
      </c>
      <c r="F9" s="293">
        <f t="shared" si="1"/>
        <v>571.42857142857133</v>
      </c>
      <c r="G9" s="293">
        <f t="shared" si="2"/>
        <v>10</v>
      </c>
      <c r="H9" s="293">
        <f t="shared" si="3"/>
        <v>95.238095238095227</v>
      </c>
      <c r="I9" s="293">
        <v>8</v>
      </c>
      <c r="J9" s="293">
        <f t="shared" si="4"/>
        <v>103.23809523809523</v>
      </c>
      <c r="K9" s="303">
        <f>J9* 2.92</f>
        <v>301.45523809523803</v>
      </c>
      <c r="V9" s="177" t="s">
        <v>155</v>
      </c>
      <c r="W9" s="178"/>
      <c r="X9" s="178"/>
      <c r="Y9" s="178"/>
      <c r="Z9" s="178"/>
      <c r="AA9" s="178"/>
      <c r="AB9" s="178"/>
      <c r="AC9" s="178"/>
      <c r="AD9" s="178"/>
      <c r="AE9" s="199"/>
    </row>
    <row r="10" spans="1:31" x14ac:dyDescent="0.25">
      <c r="A10" s="300">
        <v>9.5000000000000001E-2</v>
      </c>
      <c r="B10" s="295">
        <v>3.3000000000000002E-2</v>
      </c>
      <c r="C10" s="308">
        <v>20</v>
      </c>
      <c r="D10" s="308">
        <v>100</v>
      </c>
      <c r="E10" s="295">
        <v>150</v>
      </c>
      <c r="F10" s="295">
        <f t="shared" si="1"/>
        <v>606.06060606060601</v>
      </c>
      <c r="G10" s="295">
        <f t="shared" si="2"/>
        <v>10</v>
      </c>
      <c r="H10" s="295">
        <f t="shared" si="3"/>
        <v>101.010101010101</v>
      </c>
      <c r="I10" s="295">
        <v>8</v>
      </c>
      <c r="J10" s="295">
        <f t="shared" si="4"/>
        <v>109.010101010101</v>
      </c>
      <c r="K10" s="305">
        <f>J10*2.92</f>
        <v>318.30949494949488</v>
      </c>
    </row>
    <row r="11" spans="1:31" x14ac:dyDescent="0.25">
      <c r="A11" s="300">
        <v>0.09</v>
      </c>
      <c r="B11" s="295">
        <v>3.2000000000000001E-2</v>
      </c>
      <c r="C11" s="308">
        <v>20</v>
      </c>
      <c r="D11" s="308">
        <v>100</v>
      </c>
      <c r="E11" s="295">
        <f t="shared" ref="E11:E18" si="5">C11*D11</f>
        <v>2000</v>
      </c>
      <c r="F11" s="295">
        <f t="shared" si="1"/>
        <v>625</v>
      </c>
      <c r="G11" s="295">
        <f t="shared" si="2"/>
        <v>10</v>
      </c>
      <c r="H11" s="295">
        <f t="shared" si="3"/>
        <v>104.16666666666667</v>
      </c>
      <c r="I11" s="295">
        <v>8</v>
      </c>
      <c r="J11" s="295">
        <f t="shared" si="4"/>
        <v>112.16666666666667</v>
      </c>
      <c r="K11" s="305">
        <f>J11*2.92</f>
        <v>327.5266666666667</v>
      </c>
      <c r="M11" s="188"/>
    </row>
    <row r="12" spans="1:31" x14ac:dyDescent="0.25">
      <c r="A12" s="300">
        <v>8.5000000000000006E-2</v>
      </c>
      <c r="B12" s="295">
        <v>3.1E-2</v>
      </c>
      <c r="C12" s="308">
        <v>20</v>
      </c>
      <c r="D12" s="308">
        <v>100</v>
      </c>
      <c r="E12" s="295">
        <f t="shared" si="5"/>
        <v>2000</v>
      </c>
      <c r="F12" s="295">
        <f t="shared" si="1"/>
        <v>645.16129032258061</v>
      </c>
      <c r="G12" s="295">
        <f t="shared" si="2"/>
        <v>10</v>
      </c>
      <c r="H12" s="295">
        <f t="shared" si="3"/>
        <v>107.5268817204301</v>
      </c>
      <c r="I12" s="295">
        <v>8</v>
      </c>
      <c r="J12" s="295">
        <f t="shared" si="4"/>
        <v>115.5268817204301</v>
      </c>
      <c r="K12" s="305">
        <f>J12*2.92</f>
        <v>337.33849462365589</v>
      </c>
    </row>
    <row r="13" spans="1:31" x14ac:dyDescent="0.25">
      <c r="A13" s="301">
        <v>0.08</v>
      </c>
      <c r="B13" s="296">
        <v>0.03</v>
      </c>
      <c r="C13" s="308">
        <v>20</v>
      </c>
      <c r="D13" s="308">
        <v>100</v>
      </c>
      <c r="E13" s="296">
        <f t="shared" si="5"/>
        <v>2000</v>
      </c>
      <c r="F13" s="296">
        <f t="shared" si="1"/>
        <v>666.66666666666674</v>
      </c>
      <c r="G13" s="296">
        <f t="shared" si="2"/>
        <v>10</v>
      </c>
      <c r="H13" s="296">
        <f t="shared" si="3"/>
        <v>111.11111111111113</v>
      </c>
      <c r="I13" s="296">
        <v>8</v>
      </c>
      <c r="J13" s="296">
        <f t="shared" si="4"/>
        <v>119.11111111111113</v>
      </c>
      <c r="K13" s="306">
        <f>J13*2.92</f>
        <v>347.80444444444447</v>
      </c>
    </row>
    <row r="14" spans="1:31" x14ac:dyDescent="0.25">
      <c r="A14" s="302">
        <v>7.4999999999999997E-2</v>
      </c>
      <c r="B14" s="297">
        <v>2.9000000000000001E-2</v>
      </c>
      <c r="C14" s="308">
        <v>20</v>
      </c>
      <c r="D14" s="308">
        <v>100</v>
      </c>
      <c r="E14" s="297">
        <f t="shared" si="5"/>
        <v>2000</v>
      </c>
      <c r="F14" s="297">
        <f t="shared" si="1"/>
        <v>689.65517241379303</v>
      </c>
      <c r="G14" s="297">
        <f t="shared" si="2"/>
        <v>10</v>
      </c>
      <c r="H14" s="297">
        <f t="shared" si="3"/>
        <v>114.94252873563217</v>
      </c>
      <c r="I14" s="297">
        <v>8</v>
      </c>
      <c r="J14" s="297">
        <f t="shared" si="4"/>
        <v>122.94252873563217</v>
      </c>
      <c r="K14" s="307">
        <f>J14*2.92</f>
        <v>358.99218390804589</v>
      </c>
    </row>
    <row r="15" spans="1:31" x14ac:dyDescent="0.25">
      <c r="A15" s="301">
        <v>7.0000000000000007E-2</v>
      </c>
      <c r="B15" s="296">
        <v>2.8000000000000001E-2</v>
      </c>
      <c r="C15" s="308">
        <v>20</v>
      </c>
      <c r="D15" s="308">
        <v>100</v>
      </c>
      <c r="E15" s="296">
        <f t="shared" si="5"/>
        <v>2000</v>
      </c>
      <c r="F15" s="296">
        <f t="shared" si="1"/>
        <v>714.28571428571422</v>
      </c>
      <c r="G15" s="296">
        <f t="shared" si="2"/>
        <v>10</v>
      </c>
      <c r="H15" s="296">
        <f t="shared" si="3"/>
        <v>119.04761904761904</v>
      </c>
      <c r="I15" s="296">
        <v>8</v>
      </c>
      <c r="J15" s="296">
        <f t="shared" si="4"/>
        <v>127.04761904761904</v>
      </c>
      <c r="K15" s="306">
        <f>J15* 2.92</f>
        <v>370.97904761904761</v>
      </c>
    </row>
    <row r="16" spans="1:31" x14ac:dyDescent="0.25">
      <c r="A16" s="301">
        <v>0.06</v>
      </c>
      <c r="B16" s="296">
        <v>2.7E-2</v>
      </c>
      <c r="C16" s="308">
        <v>20</v>
      </c>
      <c r="D16" s="308">
        <v>100</v>
      </c>
      <c r="E16" s="296">
        <f t="shared" si="5"/>
        <v>2000</v>
      </c>
      <c r="F16" s="296">
        <f t="shared" si="1"/>
        <v>740.74074074074076</v>
      </c>
      <c r="G16" s="296">
        <f t="shared" si="2"/>
        <v>10</v>
      </c>
      <c r="H16" s="296">
        <f t="shared" si="3"/>
        <v>123.4567901234568</v>
      </c>
      <c r="I16" s="296">
        <v>8</v>
      </c>
      <c r="J16" s="296">
        <f t="shared" si="4"/>
        <v>131.45679012345681</v>
      </c>
      <c r="K16" s="306">
        <f>J16*2.92</f>
        <v>383.85382716049389</v>
      </c>
    </row>
    <row r="17" spans="1:11" x14ac:dyDescent="0.25">
      <c r="A17" s="301">
        <v>5.5E-2</v>
      </c>
      <c r="B17" s="296">
        <v>2.5999999999999999E-2</v>
      </c>
      <c r="C17" s="308">
        <v>20</v>
      </c>
      <c r="D17" s="308">
        <v>100</v>
      </c>
      <c r="E17" s="296">
        <f t="shared" si="5"/>
        <v>2000</v>
      </c>
      <c r="F17" s="296">
        <f t="shared" si="1"/>
        <v>769.23076923076928</v>
      </c>
      <c r="G17" s="296">
        <f t="shared" si="2"/>
        <v>10</v>
      </c>
      <c r="H17" s="296">
        <f t="shared" si="3"/>
        <v>128.20512820512823</v>
      </c>
      <c r="I17" s="296">
        <v>8</v>
      </c>
      <c r="J17" s="296">
        <f t="shared" si="4"/>
        <v>136.20512820512823</v>
      </c>
      <c r="K17" s="306">
        <f>J17*2.92</f>
        <v>397.71897435897444</v>
      </c>
    </row>
    <row r="18" spans="1:11" x14ac:dyDescent="0.25">
      <c r="A18" s="301">
        <v>0.05</v>
      </c>
      <c r="B18" s="296">
        <v>2.5000000000000001E-2</v>
      </c>
      <c r="C18" s="308">
        <v>20</v>
      </c>
      <c r="D18" s="308">
        <v>100</v>
      </c>
      <c r="E18" s="296">
        <f t="shared" si="5"/>
        <v>2000</v>
      </c>
      <c r="F18" s="296">
        <f t="shared" si="1"/>
        <v>800</v>
      </c>
      <c r="G18" s="296">
        <f t="shared" si="2"/>
        <v>10</v>
      </c>
      <c r="H18" s="296">
        <f t="shared" si="3"/>
        <v>133.33333333333334</v>
      </c>
      <c r="I18" s="296">
        <v>8</v>
      </c>
      <c r="J18" s="296">
        <f t="shared" si="4"/>
        <v>141.33333333333334</v>
      </c>
      <c r="K18" s="306">
        <f>J18*2.92</f>
        <v>412.69333333333333</v>
      </c>
    </row>
    <row r="19" spans="1:11" x14ac:dyDescent="0.25">
      <c r="A19" s="545" t="s">
        <v>364</v>
      </c>
      <c r="B19" s="545"/>
      <c r="C19" s="545"/>
      <c r="D19" s="545"/>
      <c r="E19" s="545"/>
      <c r="F19" s="545"/>
      <c r="G19" s="545"/>
      <c r="H19" s="545"/>
      <c r="I19" s="545"/>
      <c r="J19" s="545"/>
      <c r="K19" s="545"/>
    </row>
  </sheetData>
  <mergeCells count="2">
    <mergeCell ref="A1:K1"/>
    <mergeCell ref="A19:K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4EE2-F503-4304-B606-BB98F1430464}">
  <sheetPr>
    <tabColor rgb="FF92D050"/>
  </sheetPr>
  <dimension ref="A1:AC34"/>
  <sheetViews>
    <sheetView zoomScaleNormal="100" workbookViewId="0">
      <selection activeCell="A9" sqref="A9:Z14"/>
    </sheetView>
  </sheetViews>
  <sheetFormatPr defaultRowHeight="15" x14ac:dyDescent="0.25"/>
  <cols>
    <col min="4" max="13" width="9.140625" hidden="1" customWidth="1"/>
    <col min="14" max="16" width="9.140625" customWidth="1"/>
    <col min="18" max="18" width="9.140625" customWidth="1"/>
    <col min="20" max="20" width="14.7109375" customWidth="1"/>
    <col min="21" max="21" width="10.5703125" bestFit="1" customWidth="1"/>
    <col min="22" max="22" width="9.140625" customWidth="1"/>
    <col min="23" max="23" width="9.85546875" customWidth="1"/>
    <col min="24" max="24" width="12.42578125" customWidth="1"/>
    <col min="29" max="29" width="12.42578125" bestFit="1" customWidth="1"/>
  </cols>
  <sheetData>
    <row r="1" spans="1:26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82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45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112" t="s">
        <v>351</v>
      </c>
      <c r="P2" s="416" t="s">
        <v>235</v>
      </c>
      <c r="Q2" s="113" t="s">
        <v>27</v>
      </c>
      <c r="R2" s="113" t="s">
        <v>38</v>
      </c>
      <c r="S2" s="114" t="s">
        <v>35</v>
      </c>
      <c r="T2" s="114" t="s">
        <v>34</v>
      </c>
      <c r="U2" s="4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2</v>
      </c>
      <c r="B3" s="65">
        <v>4.125</v>
      </c>
      <c r="C3" s="65">
        <v>4.125</v>
      </c>
      <c r="D3" s="66">
        <v>0.125</v>
      </c>
      <c r="E3" s="66">
        <v>6.5000000000000002E-2</v>
      </c>
      <c r="F3" s="66">
        <f>(A3+B3)*C3</f>
        <v>25.265625</v>
      </c>
      <c r="G3" s="66">
        <f>(A3+B3)/E3</f>
        <v>94.230769230769226</v>
      </c>
      <c r="H3" s="66">
        <f t="shared" ref="H3" si="0">C3/10</f>
        <v>0.41249999999999998</v>
      </c>
      <c r="I3" s="66">
        <v>3</v>
      </c>
      <c r="J3" s="67">
        <f t="shared" ref="J3" si="1">H3*G3/60</f>
        <v>0.64783653846153844</v>
      </c>
      <c r="K3" s="67">
        <f>J3+I3</f>
        <v>3.6478365384615383</v>
      </c>
      <c r="L3" s="68">
        <v>225</v>
      </c>
      <c r="M3" s="69">
        <f>L3/60</f>
        <v>3.75</v>
      </c>
      <c r="N3" s="70">
        <f>ROUNDUP(K3*M3,1)</f>
        <v>13.7</v>
      </c>
      <c r="O3" s="415">
        <f>N3*R3</f>
        <v>0.27399999999999997</v>
      </c>
      <c r="P3" s="415">
        <f>ROUNDUP(N3+O3,1)</f>
        <v>14</v>
      </c>
      <c r="Q3" s="30">
        <v>125</v>
      </c>
      <c r="R3" s="71">
        <v>0.02</v>
      </c>
      <c r="S3" s="32">
        <v>28</v>
      </c>
      <c r="T3" s="33">
        <f>P3*S3</f>
        <v>392</v>
      </c>
      <c r="U3" s="33">
        <f>T3+Q3</f>
        <v>517</v>
      </c>
      <c r="V3" s="33">
        <f>ROUNDUP(U3*R3,0)</f>
        <v>11</v>
      </c>
      <c r="W3" s="33">
        <f>U3+V3</f>
        <v>528</v>
      </c>
      <c r="X3" s="34"/>
      <c r="Y3" s="57">
        <v>225</v>
      </c>
      <c r="Z3" s="36">
        <f>ROUNDDOWN(Y3/N3,0)</f>
        <v>16</v>
      </c>
    </row>
    <row r="4" spans="1:26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0"/>
      <c r="Q4" s="61"/>
      <c r="R4" s="62"/>
      <c r="S4" s="60"/>
      <c r="T4" s="63"/>
      <c r="U4" s="63"/>
      <c r="V4" s="63"/>
      <c r="W4" s="63"/>
      <c r="X4" s="60"/>
      <c r="Y4" s="60"/>
      <c r="Z4" s="64"/>
    </row>
    <row r="5" spans="1:26" ht="45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112" t="s">
        <v>351</v>
      </c>
      <c r="P5" s="416" t="s">
        <v>235</v>
      </c>
      <c r="Q5" s="42" t="s">
        <v>27</v>
      </c>
      <c r="R5" s="43" t="s">
        <v>38</v>
      </c>
      <c r="S5" s="49" t="s">
        <v>35</v>
      </c>
      <c r="T5" s="52" t="s">
        <v>34</v>
      </c>
      <c r="U5" s="44" t="s">
        <v>30</v>
      </c>
      <c r="V5" s="53" t="s">
        <v>36</v>
      </c>
      <c r="W5" s="46" t="s">
        <v>37</v>
      </c>
      <c r="X5" s="21"/>
      <c r="Y5" s="37" t="s">
        <v>32</v>
      </c>
      <c r="Z5" s="37" t="s">
        <v>33</v>
      </c>
    </row>
    <row r="6" spans="1:26" x14ac:dyDescent="0.25">
      <c r="B6" s="14">
        <v>5</v>
      </c>
      <c r="C6" s="14">
        <v>3.5</v>
      </c>
      <c r="D6" s="66" t="s">
        <v>0</v>
      </c>
      <c r="E6" s="16">
        <v>0.06</v>
      </c>
      <c r="F6" s="16">
        <f>B6*3.14</f>
        <v>15.700000000000001</v>
      </c>
      <c r="G6" s="17">
        <f>F6/E6</f>
        <v>261.66666666666669</v>
      </c>
      <c r="H6" s="16">
        <f>C6/10</f>
        <v>0.35</v>
      </c>
      <c r="I6" s="16">
        <v>3.5</v>
      </c>
      <c r="J6" s="19">
        <f>H6*G6/60</f>
        <v>1.5263888888888888</v>
      </c>
      <c r="K6" s="20">
        <f>J6+I6</f>
        <v>5.0263888888888886</v>
      </c>
      <c r="L6" s="68">
        <v>225</v>
      </c>
      <c r="M6" s="69">
        <f>L6/60</f>
        <v>3.75</v>
      </c>
      <c r="N6" s="18">
        <f>ROUNDUP(K6*M6,1)</f>
        <v>18.900000000000002</v>
      </c>
      <c r="O6" s="415">
        <f>N6*R6</f>
        <v>0.37800000000000006</v>
      </c>
      <c r="P6" s="415">
        <f>ROUNDUP(N6+O6,1)</f>
        <v>19.3</v>
      </c>
      <c r="Q6" s="30">
        <v>125</v>
      </c>
      <c r="R6" s="71">
        <v>0.02</v>
      </c>
      <c r="S6" s="32">
        <v>9</v>
      </c>
      <c r="T6" s="55">
        <f>P6*S6</f>
        <v>173.70000000000002</v>
      </c>
      <c r="U6" s="55">
        <f>T6+Q6</f>
        <v>298.70000000000005</v>
      </c>
      <c r="V6" s="33">
        <f>ROUNDUP(U6*R6,0)</f>
        <v>6</v>
      </c>
      <c r="W6" s="33">
        <f t="shared" ref="W6" si="2">U6+V6</f>
        <v>304.70000000000005</v>
      </c>
      <c r="X6" s="56"/>
      <c r="Y6" s="58">
        <v>225</v>
      </c>
      <c r="Z6" s="47">
        <f>ROUNDDOWN(Y6/N6,0)</f>
        <v>11</v>
      </c>
    </row>
    <row r="7" spans="1:26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4"/>
      <c r="Q7" s="28"/>
      <c r="R7" s="29"/>
      <c r="S7" s="21"/>
      <c r="T7" s="27"/>
      <c r="U7" s="27"/>
      <c r="V7" s="27"/>
      <c r="W7" s="27"/>
      <c r="X7" s="25"/>
      <c r="Y7" s="21"/>
      <c r="Z7" s="21"/>
    </row>
    <row r="8" spans="1:26" x14ac:dyDescent="0.25">
      <c r="A8" s="1"/>
    </row>
    <row r="9" spans="1:26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82"/>
      <c r="Q9" s="181"/>
      <c r="R9" s="181"/>
      <c r="S9" s="181"/>
      <c r="T9" s="181"/>
      <c r="U9" s="181"/>
      <c r="V9" s="181"/>
      <c r="W9" s="181"/>
      <c r="X9" s="181"/>
      <c r="Y9" s="181"/>
      <c r="Z9" s="88"/>
    </row>
    <row r="10" spans="1:26" ht="45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112" t="s">
        <v>351</v>
      </c>
      <c r="P10" s="416" t="s">
        <v>235</v>
      </c>
      <c r="Q10" s="113" t="s">
        <v>27</v>
      </c>
      <c r="R10" s="113" t="s">
        <v>38</v>
      </c>
      <c r="S10" s="114" t="s">
        <v>35</v>
      </c>
      <c r="T10" s="114" t="s">
        <v>34</v>
      </c>
      <c r="U10" s="44" t="s">
        <v>30</v>
      </c>
      <c r="V10" s="113" t="s">
        <v>36</v>
      </c>
      <c r="W10" s="115" t="s">
        <v>31</v>
      </c>
      <c r="X10" s="113"/>
      <c r="Y10" s="113" t="s">
        <v>32</v>
      </c>
      <c r="Z10" s="114" t="s">
        <v>33</v>
      </c>
    </row>
    <row r="11" spans="1:26" x14ac:dyDescent="0.25">
      <c r="A11" s="65">
        <v>1.25</v>
      </c>
      <c r="B11" s="65">
        <v>10.25</v>
      </c>
      <c r="C11" s="65">
        <v>13.5</v>
      </c>
      <c r="D11" s="66">
        <v>0.125</v>
      </c>
      <c r="E11" s="66">
        <v>6.5000000000000002E-2</v>
      </c>
      <c r="F11" s="66">
        <f>(A11+B11)*C11</f>
        <v>155.25</v>
      </c>
      <c r="G11" s="66">
        <f>(A11+B11)/E11</f>
        <v>176.92307692307691</v>
      </c>
      <c r="H11" s="66">
        <f t="shared" ref="H11" si="3">C11/10</f>
        <v>1.35</v>
      </c>
      <c r="I11" s="66">
        <v>3</v>
      </c>
      <c r="J11" s="67">
        <f t="shared" ref="J11" si="4">H11*G11/60</f>
        <v>3.9807692307692308</v>
      </c>
      <c r="K11" s="67">
        <f>J11+I11</f>
        <v>6.9807692307692308</v>
      </c>
      <c r="L11" s="68">
        <v>250</v>
      </c>
      <c r="M11" s="69">
        <f>L11/60</f>
        <v>4.166666666666667</v>
      </c>
      <c r="N11" s="70">
        <f>ROUNDUP(K11*M11,1)</f>
        <v>29.1</v>
      </c>
      <c r="O11" s="415">
        <f>N11*R11</f>
        <v>0.58200000000000007</v>
      </c>
      <c r="P11" s="415">
        <f>ROUNDUP(N11+O11,1)</f>
        <v>29.700000000000003</v>
      </c>
      <c r="Q11" s="30">
        <v>125</v>
      </c>
      <c r="R11" s="71">
        <v>0.02</v>
      </c>
      <c r="S11" s="32">
        <v>55</v>
      </c>
      <c r="T11" s="33">
        <f>P11*S11</f>
        <v>1633.5000000000002</v>
      </c>
      <c r="U11" s="33">
        <f>T11+Q11</f>
        <v>1758.5000000000002</v>
      </c>
      <c r="V11" s="33">
        <f>ROUNDUP(U11*R11,0)</f>
        <v>36</v>
      </c>
      <c r="W11" s="33">
        <f>U11+V11</f>
        <v>1794.5000000000002</v>
      </c>
      <c r="X11" s="34"/>
      <c r="Y11" s="57">
        <v>250</v>
      </c>
      <c r="Z11" s="36">
        <f>ROUNDDOWN(Y11/N11,0)</f>
        <v>8</v>
      </c>
    </row>
    <row r="12" spans="1:26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0"/>
      <c r="Q12" s="61"/>
      <c r="R12" s="62"/>
      <c r="S12" s="60"/>
      <c r="T12" s="63"/>
      <c r="U12" s="63"/>
      <c r="V12" s="63"/>
      <c r="W12" s="63"/>
      <c r="X12" s="60"/>
      <c r="Y12" s="60"/>
      <c r="Z12" s="64"/>
    </row>
    <row r="13" spans="1:26" ht="45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112" t="s">
        <v>351</v>
      </c>
      <c r="P13" s="416" t="s">
        <v>235</v>
      </c>
      <c r="Q13" s="42" t="s">
        <v>27</v>
      </c>
      <c r="R13" s="43" t="s">
        <v>38</v>
      </c>
      <c r="S13" s="49" t="s">
        <v>35</v>
      </c>
      <c r="T13" s="52" t="s">
        <v>34</v>
      </c>
      <c r="U13" s="44" t="s">
        <v>30</v>
      </c>
      <c r="V13" s="53" t="s">
        <v>36</v>
      </c>
      <c r="W13" s="46" t="s">
        <v>37</v>
      </c>
      <c r="X13" s="21"/>
      <c r="Y13" s="37" t="s">
        <v>32</v>
      </c>
      <c r="Z13" s="37" t="s">
        <v>33</v>
      </c>
    </row>
    <row r="14" spans="1:26" x14ac:dyDescent="0.25">
      <c r="A14" s="1"/>
      <c r="B14" s="14">
        <v>3.25</v>
      </c>
      <c r="C14" s="14">
        <v>17.25</v>
      </c>
      <c r="D14" s="66" t="s">
        <v>0</v>
      </c>
      <c r="E14" s="16">
        <v>0.06</v>
      </c>
      <c r="F14" s="16">
        <f>B14*3.14</f>
        <v>10.205</v>
      </c>
      <c r="G14" s="17">
        <f>F14/E14</f>
        <v>170.08333333333334</v>
      </c>
      <c r="H14" s="16">
        <f>C14/10</f>
        <v>1.7250000000000001</v>
      </c>
      <c r="I14" s="16">
        <v>3.5</v>
      </c>
      <c r="J14" s="19">
        <f>H14*G14/60</f>
        <v>4.8898958333333331</v>
      </c>
      <c r="K14" s="20">
        <f>J14+I14</f>
        <v>8.389895833333334</v>
      </c>
      <c r="L14" s="68">
        <v>250</v>
      </c>
      <c r="M14" s="69">
        <f>L14/60</f>
        <v>4.166666666666667</v>
      </c>
      <c r="N14" s="18">
        <f>ROUNDUP(K14*M14,1)</f>
        <v>35</v>
      </c>
      <c r="O14" s="415">
        <f>N14*R14</f>
        <v>0.70000000000000007</v>
      </c>
      <c r="P14" s="415">
        <f>ROUNDUP(N14+O14,1)</f>
        <v>35.700000000000003</v>
      </c>
      <c r="Q14" s="30">
        <v>125</v>
      </c>
      <c r="R14" s="71">
        <v>0.02</v>
      </c>
      <c r="S14" s="32">
        <v>36</v>
      </c>
      <c r="T14" s="55">
        <f>P14*S14</f>
        <v>1285.2</v>
      </c>
      <c r="U14" s="55">
        <f>T14+Q14</f>
        <v>1410.2</v>
      </c>
      <c r="V14" s="33">
        <f>ROUNDUP(U14*R14,0)</f>
        <v>29</v>
      </c>
      <c r="W14" s="33">
        <f t="shared" ref="W14" si="5">U14+V14</f>
        <v>1439.2</v>
      </c>
      <c r="X14" s="56"/>
      <c r="Y14" s="58">
        <v>250</v>
      </c>
      <c r="Z14" s="47">
        <f>ROUNDDOWN(Y14/N14,0)</f>
        <v>7</v>
      </c>
    </row>
    <row r="16" spans="1:26" ht="15.75" thickBot="1" x14ac:dyDescent="0.3"/>
    <row r="17" spans="1:29" ht="24" thickBot="1" x14ac:dyDescent="0.4">
      <c r="A17" s="171"/>
      <c r="B17" s="172" t="s">
        <v>119</v>
      </c>
      <c r="C17" s="173"/>
      <c r="N17" s="439"/>
      <c r="O17" s="440" t="s">
        <v>149</v>
      </c>
      <c r="P17" s="441"/>
      <c r="Q17" s="441"/>
      <c r="R17" s="441"/>
      <c r="S17" s="488"/>
      <c r="U17" s="541" t="s">
        <v>348</v>
      </c>
      <c r="V17" s="541"/>
      <c r="W17" s="541"/>
      <c r="X17" s="541"/>
      <c r="Z17" s="546" t="s">
        <v>409</v>
      </c>
      <c r="AA17" s="546"/>
      <c r="AB17" s="546"/>
      <c r="AC17" s="546"/>
    </row>
    <row r="18" spans="1:29" ht="16.5" thickTop="1" x14ac:dyDescent="0.25">
      <c r="A18" s="174" t="s">
        <v>32</v>
      </c>
      <c r="C18" s="175">
        <v>225</v>
      </c>
      <c r="N18" s="443" t="s">
        <v>150</v>
      </c>
      <c r="S18" s="444"/>
      <c r="U18" s="362" t="s">
        <v>207</v>
      </c>
      <c r="V18" s="363"/>
      <c r="W18" s="352"/>
      <c r="X18" s="364">
        <f>P3</f>
        <v>14</v>
      </c>
      <c r="Z18" s="362" t="s">
        <v>207</v>
      </c>
      <c r="AA18" s="363"/>
      <c r="AB18" s="352"/>
      <c r="AC18" s="364">
        <f>P11</f>
        <v>29.700000000000003</v>
      </c>
    </row>
    <row r="19" spans="1:29" ht="15.75" x14ac:dyDescent="0.25">
      <c r="A19" s="174" t="s">
        <v>120</v>
      </c>
      <c r="C19" s="175">
        <v>125</v>
      </c>
      <c r="N19" s="443" t="s">
        <v>151</v>
      </c>
      <c r="S19" s="444"/>
      <c r="U19" s="365" t="s">
        <v>208</v>
      </c>
      <c r="V19" s="1"/>
      <c r="X19" s="366">
        <f>S3</f>
        <v>28</v>
      </c>
      <c r="Z19" s="365" t="s">
        <v>208</v>
      </c>
      <c r="AA19" s="1"/>
      <c r="AC19" s="366">
        <f>S11</f>
        <v>55</v>
      </c>
    </row>
    <row r="20" spans="1:29" ht="15.75" x14ac:dyDescent="0.25">
      <c r="A20" s="174" t="s">
        <v>36</v>
      </c>
      <c r="C20" s="200" t="s">
        <v>122</v>
      </c>
      <c r="N20" s="443"/>
      <c r="S20" s="444"/>
      <c r="U20" s="365" t="s">
        <v>209</v>
      </c>
      <c r="V20" s="1"/>
      <c r="X20" s="367">
        <f>T3</f>
        <v>392</v>
      </c>
      <c r="Z20" s="365" t="s">
        <v>209</v>
      </c>
      <c r="AA20" s="1"/>
      <c r="AC20" s="367">
        <f>T11</f>
        <v>1633.5000000000002</v>
      </c>
    </row>
    <row r="21" spans="1:29" ht="15.75" x14ac:dyDescent="0.25">
      <c r="A21" s="174" t="s">
        <v>121</v>
      </c>
      <c r="C21" s="200" t="s">
        <v>123</v>
      </c>
      <c r="N21" s="443" t="s">
        <v>152</v>
      </c>
      <c r="S21" s="444"/>
      <c r="U21" s="365" t="s">
        <v>210</v>
      </c>
      <c r="V21" s="1"/>
      <c r="X21" s="367">
        <f>V3</f>
        <v>11</v>
      </c>
      <c r="Z21" s="365" t="s">
        <v>210</v>
      </c>
      <c r="AA21" s="1"/>
      <c r="AC21" s="367">
        <f>V11</f>
        <v>36</v>
      </c>
    </row>
    <row r="22" spans="1:29" ht="15.75" x14ac:dyDescent="0.25">
      <c r="A22" s="177" t="s">
        <v>124</v>
      </c>
      <c r="B22" s="178"/>
      <c r="C22" s="201" t="s">
        <v>156</v>
      </c>
      <c r="N22" s="443" t="s">
        <v>153</v>
      </c>
      <c r="S22" s="444"/>
      <c r="U22" s="365" t="s">
        <v>216</v>
      </c>
      <c r="X22" s="368">
        <f>Q3</f>
        <v>125</v>
      </c>
      <c r="Z22" s="365" t="s">
        <v>216</v>
      </c>
      <c r="AC22" s="368">
        <f>Q11</f>
        <v>125</v>
      </c>
    </row>
    <row r="23" spans="1:29" ht="15.75" x14ac:dyDescent="0.25">
      <c r="N23" s="443"/>
      <c r="S23" s="444"/>
      <c r="U23" s="365" t="s">
        <v>211</v>
      </c>
      <c r="V23" s="1"/>
      <c r="X23" s="367">
        <f>W3</f>
        <v>528</v>
      </c>
      <c r="Z23" s="365" t="s">
        <v>211</v>
      </c>
      <c r="AA23" s="1"/>
      <c r="AC23" s="367">
        <f>W11</f>
        <v>1794.5000000000002</v>
      </c>
    </row>
    <row r="24" spans="1:29" ht="16.5" thickBot="1" x14ac:dyDescent="0.3">
      <c r="N24" s="443" t="s">
        <v>154</v>
      </c>
      <c r="S24" s="444"/>
      <c r="U24" s="369" t="s">
        <v>346</v>
      </c>
      <c r="V24" s="354"/>
      <c r="W24" s="539" t="s">
        <v>347</v>
      </c>
      <c r="X24" s="540"/>
      <c r="Z24" s="369" t="s">
        <v>346</v>
      </c>
      <c r="AA24" s="354"/>
      <c r="AB24" s="539" t="s">
        <v>347</v>
      </c>
      <c r="AC24" s="540"/>
    </row>
    <row r="25" spans="1:29" ht="16.5" thickTop="1" thickBot="1" x14ac:dyDescent="0.3">
      <c r="N25" s="445" t="s">
        <v>155</v>
      </c>
      <c r="O25" s="446"/>
      <c r="P25" s="446"/>
      <c r="Q25" s="446"/>
      <c r="R25" s="446"/>
      <c r="S25" s="447"/>
      <c r="W25" s="1"/>
      <c r="X25" s="1"/>
      <c r="AB25" s="1"/>
      <c r="AC25" s="1"/>
    </row>
    <row r="26" spans="1:29" ht="24" thickBot="1" x14ac:dyDescent="0.4">
      <c r="U26" s="541" t="s">
        <v>284</v>
      </c>
      <c r="V26" s="541"/>
      <c r="W26" s="541"/>
      <c r="X26" s="541"/>
      <c r="Z26" s="547" t="s">
        <v>410</v>
      </c>
      <c r="AA26" s="547"/>
      <c r="AB26" s="547"/>
      <c r="AC26" s="547"/>
    </row>
    <row r="27" spans="1:29" ht="16.5" thickTop="1" x14ac:dyDescent="0.25">
      <c r="U27" s="362" t="s">
        <v>207</v>
      </c>
      <c r="V27" s="363"/>
      <c r="W27" s="352"/>
      <c r="X27" s="364">
        <f>P6</f>
        <v>19.3</v>
      </c>
      <c r="Z27" s="362" t="s">
        <v>207</v>
      </c>
      <c r="AA27" s="363"/>
      <c r="AB27" s="352"/>
      <c r="AC27" s="364">
        <f>P14</f>
        <v>35.700000000000003</v>
      </c>
    </row>
    <row r="28" spans="1:29" ht="15.75" x14ac:dyDescent="0.25">
      <c r="U28" s="365" t="s">
        <v>208</v>
      </c>
      <c r="V28" s="1"/>
      <c r="X28" s="366">
        <f>S6</f>
        <v>9</v>
      </c>
      <c r="Z28" s="365" t="s">
        <v>208</v>
      </c>
      <c r="AA28" s="1"/>
      <c r="AC28" s="366">
        <f>S14</f>
        <v>36</v>
      </c>
    </row>
    <row r="29" spans="1:29" ht="15.75" x14ac:dyDescent="0.25">
      <c r="U29" s="365" t="s">
        <v>209</v>
      </c>
      <c r="V29" s="1"/>
      <c r="X29" s="367">
        <f>T6</f>
        <v>173.70000000000002</v>
      </c>
      <c r="Z29" s="365" t="s">
        <v>209</v>
      </c>
      <c r="AA29" s="1"/>
      <c r="AC29" s="367">
        <f>T14</f>
        <v>1285.2</v>
      </c>
    </row>
    <row r="30" spans="1:29" ht="15.75" x14ac:dyDescent="0.25">
      <c r="U30" s="365" t="s">
        <v>210</v>
      </c>
      <c r="V30" s="1"/>
      <c r="X30" s="367">
        <f>V6</f>
        <v>6</v>
      </c>
      <c r="Z30" s="365" t="s">
        <v>210</v>
      </c>
      <c r="AA30" s="1"/>
      <c r="AC30" s="367">
        <f>V14</f>
        <v>29</v>
      </c>
    </row>
    <row r="31" spans="1:29" ht="15.75" x14ac:dyDescent="0.25">
      <c r="U31" s="365" t="s">
        <v>216</v>
      </c>
      <c r="X31" s="368">
        <f>Q6</f>
        <v>125</v>
      </c>
      <c r="Z31" s="365" t="s">
        <v>216</v>
      </c>
      <c r="AC31" s="368">
        <f>Q14</f>
        <v>125</v>
      </c>
    </row>
    <row r="32" spans="1:29" ht="15.75" x14ac:dyDescent="0.25">
      <c r="U32" s="365" t="s">
        <v>211</v>
      </c>
      <c r="V32" s="1"/>
      <c r="X32" s="367">
        <f>W6</f>
        <v>304.70000000000005</v>
      </c>
      <c r="Z32" s="365" t="s">
        <v>211</v>
      </c>
      <c r="AA32" s="1"/>
      <c r="AC32" s="367">
        <f>W14</f>
        <v>1439.2</v>
      </c>
    </row>
    <row r="33" spans="21:29" ht="16.5" thickBot="1" x14ac:dyDescent="0.3">
      <c r="U33" s="369" t="s">
        <v>346</v>
      </c>
      <c r="V33" s="354"/>
      <c r="W33" s="539" t="s">
        <v>347</v>
      </c>
      <c r="X33" s="540"/>
      <c r="Z33" s="369" t="s">
        <v>346</v>
      </c>
      <c r="AA33" s="354"/>
      <c r="AB33" s="539" t="s">
        <v>347</v>
      </c>
      <c r="AC33" s="540"/>
    </row>
    <row r="34" spans="21:29" ht="15.75" thickTop="1" x14ac:dyDescent="0.25"/>
  </sheetData>
  <mergeCells count="8">
    <mergeCell ref="U17:X17"/>
    <mergeCell ref="W24:X24"/>
    <mergeCell ref="U26:X26"/>
    <mergeCell ref="W33:X33"/>
    <mergeCell ref="Z17:AC17"/>
    <mergeCell ref="AB24:AC24"/>
    <mergeCell ref="Z26:AC26"/>
    <mergeCell ref="AB33:AC33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A263-FF90-45A0-8290-90CA662DF522}">
  <sheetPr>
    <tabColor rgb="FF92D050"/>
  </sheetPr>
  <dimension ref="A1:Z25"/>
  <sheetViews>
    <sheetView zoomScale="85" zoomScaleNormal="85" workbookViewId="0">
      <selection activeCell="A9" sqref="A9:Z14"/>
    </sheetView>
  </sheetViews>
  <sheetFormatPr defaultRowHeight="15" x14ac:dyDescent="0.25"/>
  <cols>
    <col min="19" max="19" width="9.85546875" bestFit="1" customWidth="1"/>
    <col min="20" max="20" width="13.28515625" customWidth="1"/>
    <col min="21" max="21" width="10.5703125" bestFit="1" customWidth="1"/>
    <col min="23" max="23" width="9.85546875" bestFit="1" customWidth="1"/>
  </cols>
  <sheetData>
    <row r="1" spans="1:26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286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2.5</v>
      </c>
      <c r="B3" s="65">
        <v>10.625</v>
      </c>
      <c r="C3" s="65">
        <v>6</v>
      </c>
      <c r="D3" s="66">
        <v>0.125</v>
      </c>
      <c r="E3" s="66">
        <v>4.4999999999999998E-2</v>
      </c>
      <c r="F3" s="66">
        <f>(A3+B3)*C3</f>
        <v>78.75</v>
      </c>
      <c r="G3" s="66">
        <f>(A3+B3)/E3</f>
        <v>291.66666666666669</v>
      </c>
      <c r="H3" s="66">
        <f t="shared" ref="H3" si="0">C3/10</f>
        <v>0.6</v>
      </c>
      <c r="I3" s="66">
        <v>4</v>
      </c>
      <c r="J3" s="67">
        <f t="shared" ref="J3" si="1">H3*G3/60</f>
        <v>2.9166666666666665</v>
      </c>
      <c r="K3" s="67">
        <f>J3+I3</f>
        <v>6.9166666666666661</v>
      </c>
      <c r="L3" s="68">
        <v>225</v>
      </c>
      <c r="M3" s="69">
        <f>L3/60</f>
        <v>3.75</v>
      </c>
      <c r="N3" s="70">
        <f>ROUNDUP(K3*M3,1)</f>
        <v>26</v>
      </c>
      <c r="O3" s="56"/>
      <c r="P3" s="30">
        <v>125</v>
      </c>
      <c r="Q3" s="71">
        <v>0.02</v>
      </c>
      <c r="R3" s="32">
        <v>10</v>
      </c>
      <c r="S3" s="35">
        <f>N3*R3</f>
        <v>260</v>
      </c>
      <c r="T3" s="33">
        <f>IF(S3&gt;Y3, S3, Y3)</f>
        <v>260</v>
      </c>
      <c r="U3" s="33">
        <f>T3+P3</f>
        <v>385</v>
      </c>
      <c r="V3" s="33">
        <f>ROUNDUP(U3*Q3,0)</f>
        <v>8</v>
      </c>
      <c r="W3" s="33">
        <f>U3+V3</f>
        <v>393</v>
      </c>
      <c r="X3" s="34"/>
      <c r="Y3" s="57">
        <v>225</v>
      </c>
      <c r="Z3" s="36">
        <f>ROUNDDOWN(Y3/N3,0)</f>
        <v>8</v>
      </c>
    </row>
    <row r="4" spans="1:26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0"/>
      <c r="T4" s="63"/>
      <c r="U4" s="63"/>
      <c r="V4" s="63"/>
      <c r="W4" s="63"/>
      <c r="X4" s="60"/>
      <c r="Y4" s="60"/>
      <c r="Z4" s="64"/>
    </row>
    <row r="5" spans="1:26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286" t="s">
        <v>204</v>
      </c>
      <c r="T5" s="52" t="s">
        <v>34</v>
      </c>
      <c r="U5" s="44" t="s">
        <v>30</v>
      </c>
      <c r="V5" s="53" t="s">
        <v>36</v>
      </c>
      <c r="W5" s="46" t="s">
        <v>37</v>
      </c>
      <c r="X5" s="21"/>
      <c r="Y5" s="37" t="s">
        <v>32</v>
      </c>
      <c r="Z5" s="37" t="s">
        <v>33</v>
      </c>
    </row>
    <row r="6" spans="1:26" x14ac:dyDescent="0.25">
      <c r="B6" s="14">
        <v>7.5830000000000002</v>
      </c>
      <c r="C6" s="14">
        <v>27</v>
      </c>
      <c r="D6" s="66" t="s">
        <v>0</v>
      </c>
      <c r="E6" s="16">
        <v>4.4999999999999998E-2</v>
      </c>
      <c r="F6" s="16">
        <f>B6*3.14</f>
        <v>23.81062</v>
      </c>
      <c r="G6" s="17">
        <f>F6/E6</f>
        <v>529.1248888888889</v>
      </c>
      <c r="H6" s="16">
        <f>C6/10</f>
        <v>2.7</v>
      </c>
      <c r="I6" s="16">
        <v>4</v>
      </c>
      <c r="J6" s="19">
        <f>H6*G6/60</f>
        <v>23.810620000000004</v>
      </c>
      <c r="K6" s="20">
        <f>J6+I6</f>
        <v>27.810620000000004</v>
      </c>
      <c r="L6" s="68">
        <v>225</v>
      </c>
      <c r="M6" s="69">
        <f>L6/60</f>
        <v>3.75</v>
      </c>
      <c r="N6" s="18">
        <f>ROUNDUP(K6*M6,1)</f>
        <v>104.3</v>
      </c>
      <c r="O6" s="56"/>
      <c r="P6" s="30">
        <v>125</v>
      </c>
      <c r="Q6" s="71">
        <v>0.02</v>
      </c>
      <c r="R6" s="32">
        <v>10</v>
      </c>
      <c r="S6" s="51">
        <f>N6*R6</f>
        <v>1043</v>
      </c>
      <c r="T6" s="55">
        <f>IF(S6&gt;Y6, S6, Y6)</f>
        <v>1043</v>
      </c>
      <c r="U6" s="55">
        <f>T6+P6</f>
        <v>1168</v>
      </c>
      <c r="V6" s="33">
        <f>ROUNDUP(U6*Q6,0)</f>
        <v>24</v>
      </c>
      <c r="W6" s="33">
        <f t="shared" ref="W6" si="2">U6+V6</f>
        <v>1192</v>
      </c>
      <c r="X6" s="56"/>
      <c r="Y6" s="58">
        <v>225</v>
      </c>
      <c r="Z6" s="47">
        <f>ROUNDDOWN(Y6/N6,0)</f>
        <v>2</v>
      </c>
    </row>
    <row r="7" spans="1:26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8"/>
      <c r="Q7" s="29"/>
      <c r="R7" s="21"/>
      <c r="S7" s="21"/>
      <c r="T7" s="27"/>
      <c r="U7" s="27"/>
      <c r="V7" s="27"/>
      <c r="W7" s="27"/>
      <c r="X7" s="25"/>
      <c r="Y7" s="21"/>
      <c r="Z7" s="21"/>
    </row>
    <row r="8" spans="1:26" x14ac:dyDescent="0.25">
      <c r="A8" s="1"/>
    </row>
    <row r="9" spans="1:26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88"/>
    </row>
    <row r="10" spans="1:26" ht="30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39"/>
      <c r="P10" s="113" t="s">
        <v>27</v>
      </c>
      <c r="Q10" s="113" t="s">
        <v>38</v>
      </c>
      <c r="R10" s="114" t="s">
        <v>35</v>
      </c>
      <c r="S10" s="286" t="s">
        <v>204</v>
      </c>
      <c r="T10" s="114" t="s">
        <v>34</v>
      </c>
      <c r="U10" s="114" t="s">
        <v>30</v>
      </c>
      <c r="V10" s="113" t="s">
        <v>36</v>
      </c>
      <c r="W10" s="115" t="s">
        <v>31</v>
      </c>
      <c r="X10" s="113"/>
      <c r="Y10" s="113" t="s">
        <v>32</v>
      </c>
      <c r="Z10" s="114" t="s">
        <v>33</v>
      </c>
    </row>
    <row r="11" spans="1:26" x14ac:dyDescent="0.25">
      <c r="A11" s="65">
        <v>1.5</v>
      </c>
      <c r="B11" s="65">
        <v>36</v>
      </c>
      <c r="C11" s="65">
        <v>2</v>
      </c>
      <c r="D11" s="66">
        <v>0.125</v>
      </c>
      <c r="E11" s="66">
        <v>4.4999999999999998E-2</v>
      </c>
      <c r="F11" s="66">
        <f>(A11+B11)*C11</f>
        <v>75</v>
      </c>
      <c r="G11" s="66">
        <f>(A11+B11)/E11</f>
        <v>833.33333333333337</v>
      </c>
      <c r="H11" s="66">
        <f t="shared" ref="H11" si="3">C11/10</f>
        <v>0.2</v>
      </c>
      <c r="I11" s="66">
        <v>4</v>
      </c>
      <c r="J11" s="67">
        <f t="shared" ref="J11" si="4">H11*G11/60</f>
        <v>2.7777777777777781</v>
      </c>
      <c r="K11" s="67">
        <f>J11+I11</f>
        <v>6.7777777777777786</v>
      </c>
      <c r="L11" s="68">
        <v>250</v>
      </c>
      <c r="M11" s="69">
        <f>L11/60</f>
        <v>4.166666666666667</v>
      </c>
      <c r="N11" s="70">
        <f>ROUNDUP(K11*M11,1)</f>
        <v>28.3</v>
      </c>
      <c r="O11" s="56"/>
      <c r="P11" s="30">
        <v>125</v>
      </c>
      <c r="Q11" s="71">
        <v>0.02</v>
      </c>
      <c r="R11" s="32">
        <v>2</v>
      </c>
      <c r="S11" s="35">
        <f>N11*R11</f>
        <v>56.6</v>
      </c>
      <c r="T11" s="33">
        <f>IF(S11&gt;Y11, S11, Y11)</f>
        <v>250</v>
      </c>
      <c r="U11" s="33">
        <f>T11+P11</f>
        <v>375</v>
      </c>
      <c r="V11" s="33">
        <f>ROUNDUP(U11*Q11,0)</f>
        <v>8</v>
      </c>
      <c r="W11" s="33">
        <f>U11+V11</f>
        <v>383</v>
      </c>
      <c r="X11" s="34"/>
      <c r="Y11" s="57">
        <v>250</v>
      </c>
      <c r="Z11" s="36">
        <f>ROUNDDOWN(Y11/N11,0)</f>
        <v>8</v>
      </c>
    </row>
    <row r="12" spans="1:26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0"/>
      <c r="S12" s="60"/>
      <c r="T12" s="63"/>
      <c r="U12" s="63"/>
      <c r="V12" s="63"/>
      <c r="W12" s="63"/>
      <c r="X12" s="60"/>
      <c r="Y12" s="60"/>
      <c r="Z12" s="64"/>
    </row>
    <row r="13" spans="1:26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40"/>
      <c r="P13" s="42" t="s">
        <v>27</v>
      </c>
      <c r="Q13" s="43" t="s">
        <v>38</v>
      </c>
      <c r="R13" s="49" t="s">
        <v>35</v>
      </c>
      <c r="S13" s="286" t="s">
        <v>204</v>
      </c>
      <c r="T13" s="52" t="s">
        <v>34</v>
      </c>
      <c r="U13" s="44" t="s">
        <v>30</v>
      </c>
      <c r="V13" s="53" t="s">
        <v>36</v>
      </c>
      <c r="W13" s="46" t="s">
        <v>37</v>
      </c>
      <c r="X13" s="21"/>
      <c r="Y13" s="37" t="s">
        <v>32</v>
      </c>
      <c r="Z13" s="37" t="s">
        <v>33</v>
      </c>
    </row>
    <row r="14" spans="1:26" x14ac:dyDescent="0.25">
      <c r="A14" s="1"/>
      <c r="B14" s="14">
        <v>1.25</v>
      </c>
      <c r="C14" s="14">
        <v>36</v>
      </c>
      <c r="D14" s="66" t="s">
        <v>0</v>
      </c>
      <c r="E14" s="16">
        <v>4.4999999999999998E-2</v>
      </c>
      <c r="F14" s="16">
        <f>B14*3.14</f>
        <v>3.9250000000000003</v>
      </c>
      <c r="G14" s="17">
        <f>F14/E14</f>
        <v>87.222222222222229</v>
      </c>
      <c r="H14" s="16">
        <f>C14/10</f>
        <v>3.6</v>
      </c>
      <c r="I14" s="16">
        <v>4</v>
      </c>
      <c r="J14" s="19">
        <f>H14*G14/60</f>
        <v>5.2333333333333343</v>
      </c>
      <c r="K14" s="20">
        <f>J14+I14</f>
        <v>9.2333333333333343</v>
      </c>
      <c r="L14" s="68">
        <v>250</v>
      </c>
      <c r="M14" s="69">
        <f>L14/60</f>
        <v>4.166666666666667</v>
      </c>
      <c r="N14" s="18">
        <f>ROUNDUP(K14*M14,1)</f>
        <v>38.5</v>
      </c>
      <c r="O14" s="56"/>
      <c r="P14" s="30">
        <v>125</v>
      </c>
      <c r="Q14" s="71">
        <v>0.02</v>
      </c>
      <c r="R14" s="32">
        <v>2</v>
      </c>
      <c r="S14" s="51">
        <f>N14*R14</f>
        <v>77</v>
      </c>
      <c r="T14" s="55">
        <f>IF(S14&gt;Y14, S14, Y14)</f>
        <v>250</v>
      </c>
      <c r="U14" s="55">
        <f>T14+P14</f>
        <v>375</v>
      </c>
      <c r="V14" s="33">
        <f>ROUNDUP(U14*Q14,0)</f>
        <v>8</v>
      </c>
      <c r="W14" s="33">
        <f t="shared" ref="W14" si="5">U14+V14</f>
        <v>383</v>
      </c>
      <c r="X14" s="56"/>
      <c r="Y14" s="58">
        <v>250</v>
      </c>
      <c r="Z14" s="47">
        <f>ROUNDDOWN(Y14/N14,0)</f>
        <v>6</v>
      </c>
    </row>
    <row r="17" spans="1:23" ht="21" x14ac:dyDescent="0.35">
      <c r="A17" s="171"/>
      <c r="B17" s="172" t="s">
        <v>119</v>
      </c>
      <c r="C17" s="173"/>
      <c r="I17" s="171"/>
      <c r="J17" s="198"/>
      <c r="K17" s="198"/>
      <c r="L17" s="198"/>
      <c r="M17" s="198"/>
      <c r="N17" s="172" t="s">
        <v>149</v>
      </c>
      <c r="O17" s="198"/>
      <c r="P17" s="198"/>
      <c r="Q17" s="198"/>
      <c r="R17" s="173"/>
    </row>
    <row r="18" spans="1:23" x14ac:dyDescent="0.25">
      <c r="A18" s="174" t="s">
        <v>32</v>
      </c>
      <c r="C18" s="175">
        <v>225</v>
      </c>
      <c r="I18" s="174" t="s">
        <v>150</v>
      </c>
      <c r="R18" s="176"/>
    </row>
    <row r="19" spans="1:23" ht="15.75" x14ac:dyDescent="0.25">
      <c r="A19" s="174" t="s">
        <v>120</v>
      </c>
      <c r="C19" s="175">
        <v>125</v>
      </c>
      <c r="I19" s="174" t="s">
        <v>151</v>
      </c>
      <c r="R19" s="176"/>
      <c r="W19" s="169"/>
    </row>
    <row r="20" spans="1:23" ht="15.75" x14ac:dyDescent="0.25">
      <c r="A20" s="174" t="s">
        <v>36</v>
      </c>
      <c r="C20" s="200" t="s">
        <v>160</v>
      </c>
      <c r="I20" s="174"/>
      <c r="R20" s="176"/>
      <c r="W20" s="170"/>
    </row>
    <row r="21" spans="1:23" ht="15.75" x14ac:dyDescent="0.25">
      <c r="A21" s="174" t="s">
        <v>121</v>
      </c>
      <c r="C21" s="176" t="s">
        <v>123</v>
      </c>
      <c r="I21" s="174" t="s">
        <v>152</v>
      </c>
      <c r="R21" s="176"/>
      <c r="W21" s="170"/>
    </row>
    <row r="22" spans="1:23" ht="15.75" x14ac:dyDescent="0.25">
      <c r="A22" s="177" t="s">
        <v>124</v>
      </c>
      <c r="B22" s="178"/>
      <c r="C22" s="179">
        <v>100</v>
      </c>
      <c r="I22" s="174" t="s">
        <v>153</v>
      </c>
      <c r="R22" s="176"/>
      <c r="W22" s="170"/>
    </row>
    <row r="23" spans="1:23" ht="15.75" x14ac:dyDescent="0.25">
      <c r="I23" s="174"/>
      <c r="R23" s="176"/>
      <c r="W23" s="170"/>
    </row>
    <row r="24" spans="1:23" x14ac:dyDescent="0.25">
      <c r="I24" s="174" t="s">
        <v>154</v>
      </c>
      <c r="R24" s="176"/>
    </row>
    <row r="25" spans="1:23" x14ac:dyDescent="0.25">
      <c r="I25" s="177" t="s">
        <v>155</v>
      </c>
      <c r="J25" s="178"/>
      <c r="K25" s="178"/>
      <c r="L25" s="178"/>
      <c r="M25" s="178"/>
      <c r="N25" s="178"/>
      <c r="O25" s="178"/>
      <c r="P25" s="178"/>
      <c r="Q25" s="178"/>
      <c r="R25" s="199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D447-4E94-4981-902F-36755A965016}">
  <sheetPr>
    <tabColor rgb="FF92D050"/>
  </sheetPr>
  <dimension ref="A1:Z37"/>
  <sheetViews>
    <sheetView zoomScaleNormal="100" workbookViewId="0">
      <selection activeCell="A20" sqref="A20:R28"/>
    </sheetView>
  </sheetViews>
  <sheetFormatPr defaultRowHeight="15" x14ac:dyDescent="0.25"/>
  <cols>
    <col min="3" max="3" width="10.140625" customWidth="1"/>
    <col min="4" max="4" width="9.140625" hidden="1" customWidth="1"/>
    <col min="5" max="5" width="0" hidden="1" customWidth="1"/>
    <col min="6" max="6" width="10.85546875" hidden="1" customWidth="1"/>
    <col min="7" max="7" width="9.140625" hidden="1" customWidth="1"/>
    <col min="8" max="8" width="15.28515625" hidden="1" customWidth="1"/>
    <col min="9" max="9" width="13.140625" hidden="1" customWidth="1"/>
    <col min="10" max="13" width="9.140625" hidden="1" customWidth="1"/>
    <col min="14" max="14" width="13.140625" bestFit="1" customWidth="1"/>
    <col min="16" max="16" width="14.85546875" bestFit="1" customWidth="1"/>
    <col min="17" max="17" width="8.140625" hidden="1" customWidth="1"/>
    <col min="18" max="18" width="10.28515625" bestFit="1" customWidth="1"/>
    <col min="19" max="19" width="10.28515625" hidden="1" customWidth="1"/>
    <col min="20" max="20" width="10.7109375" customWidth="1"/>
    <col min="21" max="21" width="10.5703125" customWidth="1"/>
    <col min="22" max="22" width="11.140625" customWidth="1"/>
    <col min="23" max="23" width="12" customWidth="1"/>
    <col min="24" max="24" width="17.140625" customWidth="1"/>
    <col min="25" max="26" width="12.5703125" bestFit="1" customWidth="1"/>
    <col min="28" max="28" width="11.28515625" customWidth="1"/>
    <col min="29" max="30" width="9.14062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203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2.5</v>
      </c>
      <c r="B3" s="65">
        <v>5</v>
      </c>
      <c r="C3" s="65">
        <v>5.25</v>
      </c>
      <c r="D3" s="66">
        <v>0.125</v>
      </c>
      <c r="E3" s="66">
        <v>0.11</v>
      </c>
      <c r="F3" s="66">
        <f>(A3+B3)*C3</f>
        <v>39.375</v>
      </c>
      <c r="G3" s="66">
        <f>(A3+B3)/E3</f>
        <v>68.181818181818187</v>
      </c>
      <c r="H3" s="66">
        <f t="shared" ref="H3" si="0">C3/10</f>
        <v>0.52500000000000002</v>
      </c>
      <c r="I3" s="66">
        <v>6</v>
      </c>
      <c r="J3" s="67">
        <f t="shared" ref="J3" si="1">H3*G3/60</f>
        <v>0.59659090909090906</v>
      </c>
      <c r="K3" s="67">
        <f>J3+I3</f>
        <v>6.5965909090909092</v>
      </c>
      <c r="L3" s="68">
        <v>250</v>
      </c>
      <c r="M3" s="69">
        <f>L3/60</f>
        <v>4.166666666666667</v>
      </c>
      <c r="N3" s="70">
        <f>ROUNDUP(K3*M3,1)</f>
        <v>27.5</v>
      </c>
      <c r="O3" s="56"/>
      <c r="P3" s="30">
        <v>125</v>
      </c>
      <c r="Q3" s="71">
        <v>0.02</v>
      </c>
      <c r="R3" s="32">
        <v>15</v>
      </c>
      <c r="S3" s="35">
        <f>N3*R3</f>
        <v>412.5</v>
      </c>
      <c r="T3" s="33">
        <f>IF(S3&gt;Y3, S3, Y3)</f>
        <v>412.5</v>
      </c>
      <c r="U3" s="33">
        <f>T3+P3</f>
        <v>537.5</v>
      </c>
      <c r="V3" s="33">
        <f>ROUNDUP(U3*Q3,0)</f>
        <v>11</v>
      </c>
      <c r="W3" s="33">
        <f>U3+V3</f>
        <v>548.5</v>
      </c>
      <c r="X3" s="34"/>
      <c r="Y3" s="57">
        <v>250</v>
      </c>
      <c r="Z3" s="36">
        <f>ROUNDDOWN(Y3/N3,0)</f>
        <v>9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203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2.5</v>
      </c>
      <c r="B6" s="65">
        <v>5</v>
      </c>
      <c r="C6" s="65">
        <v>5.25</v>
      </c>
      <c r="D6" s="66">
        <v>0.125</v>
      </c>
      <c r="E6" s="66">
        <v>6.5000000000000002E-2</v>
      </c>
      <c r="F6" s="66">
        <f>(A6+B6)*C6</f>
        <v>39.375</v>
      </c>
      <c r="G6" s="66">
        <f>(A6+B6)/E6</f>
        <v>115.38461538461539</v>
      </c>
      <c r="H6" s="66">
        <f t="shared" ref="H6" si="2">C6/10</f>
        <v>0.52500000000000002</v>
      </c>
      <c r="I6" s="66">
        <v>4</v>
      </c>
      <c r="J6" s="67">
        <f t="shared" ref="J6" si="3">H6*G6/60</f>
        <v>1.0096153846153846</v>
      </c>
      <c r="K6" s="67">
        <f>J6+I6</f>
        <v>5.009615384615385</v>
      </c>
      <c r="L6" s="68">
        <v>250</v>
      </c>
      <c r="M6" s="69">
        <f>L6/60</f>
        <v>4.166666666666667</v>
      </c>
      <c r="N6" s="70">
        <f>ROUNDUP(K6*M6,1)</f>
        <v>20.900000000000002</v>
      </c>
      <c r="O6" s="56"/>
      <c r="P6" s="30">
        <v>125</v>
      </c>
      <c r="Q6" s="71">
        <v>0.02</v>
      </c>
      <c r="R6" s="32">
        <v>15</v>
      </c>
      <c r="S6" s="35">
        <f>N6*R6</f>
        <v>313.50000000000006</v>
      </c>
      <c r="T6" s="33">
        <f>IF(S6&gt;Y6, S6, Y6)</f>
        <v>313.50000000000006</v>
      </c>
      <c r="U6" s="33">
        <f>T6+P6</f>
        <v>438.50000000000006</v>
      </c>
      <c r="V6" s="33">
        <f>ROUNDUP(U6*Q6,0)</f>
        <v>9</v>
      </c>
      <c r="W6" s="33">
        <f>U6+V6</f>
        <v>447.50000000000006</v>
      </c>
      <c r="X6" s="34"/>
      <c r="Y6" s="57">
        <v>250</v>
      </c>
      <c r="Z6" s="36">
        <f>ROUNDDOWN(Y6/N6,0)</f>
        <v>11</v>
      </c>
    </row>
    <row r="7" spans="1:26" ht="26.25" x14ac:dyDescent="0.25">
      <c r="B7" s="168" t="s">
        <v>12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49" t="s">
        <v>204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4.28</v>
      </c>
      <c r="C9" s="14">
        <v>36</v>
      </c>
      <c r="D9" s="66" t="s">
        <v>0</v>
      </c>
      <c r="E9" s="16">
        <v>4.4999999999999998E-2</v>
      </c>
      <c r="F9" s="16">
        <f>B9*3.14</f>
        <v>13.439200000000001</v>
      </c>
      <c r="G9" s="17">
        <f>F9/E9</f>
        <v>298.64888888888891</v>
      </c>
      <c r="H9" s="16">
        <f>C9/10</f>
        <v>3.6</v>
      </c>
      <c r="I9" s="16">
        <v>4</v>
      </c>
      <c r="J9" s="19">
        <f>H9*G9/60</f>
        <v>17.918933333333335</v>
      </c>
      <c r="K9" s="20">
        <f>J9+I9</f>
        <v>21.918933333333335</v>
      </c>
      <c r="L9" s="68">
        <v>250</v>
      </c>
      <c r="M9" s="69">
        <f>L9/60</f>
        <v>4.166666666666667</v>
      </c>
      <c r="N9" s="18">
        <f>ROUNDUP(K9*M9,1)</f>
        <v>91.399999999999991</v>
      </c>
      <c r="O9" s="56"/>
      <c r="P9" s="30">
        <v>125</v>
      </c>
      <c r="Q9" s="71">
        <v>0.02</v>
      </c>
      <c r="R9" s="32">
        <v>2</v>
      </c>
      <c r="S9" s="51">
        <f>N9*R9</f>
        <v>182.79999999999998</v>
      </c>
      <c r="T9" s="55">
        <f>IF(S9&gt;Y9, S9, Y9)</f>
        <v>250</v>
      </c>
      <c r="U9" s="55">
        <f>T9+P9</f>
        <v>375</v>
      </c>
      <c r="V9" s="33">
        <f>ROUNDUP(U9*Q9,0)</f>
        <v>8</v>
      </c>
      <c r="W9" s="33">
        <f t="shared" ref="W9" si="4">U9+V9</f>
        <v>383</v>
      </c>
      <c r="X9" s="56"/>
      <c r="Y9" s="58">
        <v>250</v>
      </c>
      <c r="Z9" s="47">
        <f>ROUNDDOWN(Y9/N9,0)</f>
        <v>2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116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205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1.5</v>
      </c>
      <c r="B14" s="65">
        <v>36</v>
      </c>
      <c r="C14" s="65">
        <v>2</v>
      </c>
      <c r="D14" s="66">
        <v>0.125</v>
      </c>
      <c r="E14" s="66">
        <v>6.5000000000000002E-2</v>
      </c>
      <c r="F14" s="66">
        <f>(A14+B14)*C14</f>
        <v>75</v>
      </c>
      <c r="G14" s="66">
        <f>(A14+B14)/E14</f>
        <v>576.92307692307691</v>
      </c>
      <c r="H14" s="66">
        <f t="shared" ref="H14" si="5">C14/10</f>
        <v>0.2</v>
      </c>
      <c r="I14" s="66">
        <v>4</v>
      </c>
      <c r="J14" s="67">
        <f t="shared" ref="J14" si="6">H14*G14/60</f>
        <v>1.9230769230769231</v>
      </c>
      <c r="K14" s="67">
        <f>J14+I14</f>
        <v>5.9230769230769234</v>
      </c>
      <c r="L14" s="68">
        <v>275</v>
      </c>
      <c r="M14" s="69">
        <f>L14/60</f>
        <v>4.583333333333333</v>
      </c>
      <c r="N14" s="70">
        <f>ROUNDUP(K14*M14,1)</f>
        <v>27.200000000000003</v>
      </c>
      <c r="O14" s="56"/>
      <c r="P14" s="30">
        <v>125</v>
      </c>
      <c r="Q14" s="71">
        <v>0.02</v>
      </c>
      <c r="R14" s="32">
        <v>30</v>
      </c>
      <c r="S14" s="35">
        <f>N14*R14</f>
        <v>816.00000000000011</v>
      </c>
      <c r="T14" s="33">
        <f>IF(S14&gt;Y14, S14, Y14)</f>
        <v>816.00000000000011</v>
      </c>
      <c r="U14" s="33">
        <f>T14+P14</f>
        <v>941.00000000000011</v>
      </c>
      <c r="V14" s="33">
        <f>ROUNDUP(U14*Q14,0)</f>
        <v>19</v>
      </c>
      <c r="W14" s="33">
        <f>U14+V14</f>
        <v>960.00000000000011</v>
      </c>
      <c r="X14" s="34"/>
      <c r="Y14" s="57">
        <v>275</v>
      </c>
      <c r="Z14" s="36">
        <f>ROUNDDOWN(Y14/N14,0)</f>
        <v>10</v>
      </c>
    </row>
    <row r="15" spans="1:26" ht="26.25" x14ac:dyDescent="0.25">
      <c r="A15" s="1"/>
      <c r="B15" s="168" t="s">
        <v>117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49" t="s">
        <v>204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26" x14ac:dyDescent="0.25">
      <c r="A17" s="1"/>
      <c r="B17" s="14">
        <v>4.28</v>
      </c>
      <c r="C17" s="14">
        <v>146</v>
      </c>
      <c r="D17" s="66" t="s">
        <v>0</v>
      </c>
      <c r="E17" s="16">
        <v>4.4999999999999998E-2</v>
      </c>
      <c r="F17" s="16">
        <f>B17*3.14</f>
        <v>13.439200000000001</v>
      </c>
      <c r="G17" s="17">
        <f>F17/E17</f>
        <v>298.64888888888891</v>
      </c>
      <c r="H17" s="16">
        <f>C17/10</f>
        <v>14.6</v>
      </c>
      <c r="I17" s="16">
        <v>4</v>
      </c>
      <c r="J17" s="19">
        <f>H17*G17/60</f>
        <v>72.671229629629622</v>
      </c>
      <c r="K17" s="20">
        <f>J17+I17</f>
        <v>76.671229629629622</v>
      </c>
      <c r="L17" s="68">
        <v>275</v>
      </c>
      <c r="M17" s="69">
        <f>L17/60</f>
        <v>4.583333333333333</v>
      </c>
      <c r="N17" s="18">
        <f>ROUNDUP(K17*M17,1)</f>
        <v>351.5</v>
      </c>
      <c r="O17" s="56"/>
      <c r="P17" s="30">
        <v>125</v>
      </c>
      <c r="Q17" s="71">
        <v>0.02</v>
      </c>
      <c r="R17" s="32">
        <v>143</v>
      </c>
      <c r="S17" s="51">
        <f>N17*R17</f>
        <v>50264.5</v>
      </c>
      <c r="T17" s="55">
        <f>IF(S17&gt;Y17, S17, Y17)</f>
        <v>50264.5</v>
      </c>
      <c r="U17" s="55">
        <f>T17+P17</f>
        <v>50389.5</v>
      </c>
      <c r="V17" s="33">
        <f>ROUNDUP(U17*Q17,0)</f>
        <v>1008</v>
      </c>
      <c r="W17" s="33">
        <f t="shared" ref="W17" si="7">U17+V17</f>
        <v>51397.5</v>
      </c>
      <c r="X17" s="56"/>
      <c r="Y17" s="58">
        <v>275</v>
      </c>
      <c r="Z17" s="47">
        <f>ROUNDDOWN(Y17/N17,0)</f>
        <v>0</v>
      </c>
    </row>
    <row r="19" spans="1:26" ht="15.75" thickBot="1" x14ac:dyDescent="0.3"/>
    <row r="20" spans="1:26" ht="24" thickBot="1" x14ac:dyDescent="0.4">
      <c r="A20" s="171"/>
      <c r="B20" s="172" t="s">
        <v>119</v>
      </c>
      <c r="C20" s="173"/>
      <c r="N20" s="439"/>
      <c r="O20" s="440" t="s">
        <v>149</v>
      </c>
      <c r="P20" s="441"/>
      <c r="Q20" s="441"/>
      <c r="R20" s="442"/>
      <c r="U20" s="541" t="s">
        <v>348</v>
      </c>
      <c r="V20" s="541"/>
      <c r="W20" s="541"/>
      <c r="X20" s="541"/>
    </row>
    <row r="21" spans="1:26" ht="16.5" thickTop="1" x14ac:dyDescent="0.25">
      <c r="A21" s="174" t="s">
        <v>32</v>
      </c>
      <c r="C21" s="175">
        <v>250</v>
      </c>
      <c r="N21" s="443" t="s">
        <v>150</v>
      </c>
      <c r="R21" s="444"/>
      <c r="U21" s="362" t="s">
        <v>207</v>
      </c>
      <c r="V21" s="363"/>
      <c r="W21" s="352"/>
      <c r="X21" s="364">
        <f>N6</f>
        <v>20.900000000000002</v>
      </c>
    </row>
    <row r="22" spans="1:26" ht="15.75" x14ac:dyDescent="0.25">
      <c r="A22" s="174" t="s">
        <v>120</v>
      </c>
      <c r="C22" s="175">
        <v>125</v>
      </c>
      <c r="N22" s="443" t="s">
        <v>151</v>
      </c>
      <c r="R22" s="444"/>
      <c r="U22" s="365" t="s">
        <v>208</v>
      </c>
      <c r="V22" s="1"/>
      <c r="X22" s="366">
        <f>R6</f>
        <v>15</v>
      </c>
    </row>
    <row r="23" spans="1:26" ht="15.75" x14ac:dyDescent="0.25">
      <c r="A23" s="174" t="s">
        <v>36</v>
      </c>
      <c r="C23" s="176" t="s">
        <v>122</v>
      </c>
      <c r="N23" s="443"/>
      <c r="R23" s="444"/>
      <c r="U23" s="365" t="s">
        <v>209</v>
      </c>
      <c r="V23" s="1"/>
      <c r="X23" s="367">
        <f>T6</f>
        <v>313.50000000000006</v>
      </c>
    </row>
    <row r="24" spans="1:26" ht="15.75" x14ac:dyDescent="0.25">
      <c r="A24" s="174" t="s">
        <v>121</v>
      </c>
      <c r="C24" s="176" t="s">
        <v>123</v>
      </c>
      <c r="N24" s="443" t="s">
        <v>152</v>
      </c>
      <c r="R24" s="444"/>
      <c r="U24" s="365" t="s">
        <v>210</v>
      </c>
      <c r="V24" s="1"/>
      <c r="X24" s="367">
        <f>V6</f>
        <v>9</v>
      </c>
    </row>
    <row r="25" spans="1:26" ht="15.75" x14ac:dyDescent="0.25">
      <c r="A25" s="177" t="s">
        <v>124</v>
      </c>
      <c r="B25" s="178"/>
      <c r="C25" s="179">
        <v>75</v>
      </c>
      <c r="N25" s="443" t="s">
        <v>153</v>
      </c>
      <c r="R25" s="444"/>
      <c r="U25" s="365" t="s">
        <v>216</v>
      </c>
      <c r="X25" s="368">
        <f>P6</f>
        <v>125</v>
      </c>
    </row>
    <row r="26" spans="1:26" ht="15.75" x14ac:dyDescent="0.25">
      <c r="N26" s="443"/>
      <c r="R26" s="444"/>
      <c r="U26" s="365" t="s">
        <v>211</v>
      </c>
      <c r="V26" s="1"/>
      <c r="X26" s="367">
        <f>W6</f>
        <v>447.50000000000006</v>
      </c>
    </row>
    <row r="27" spans="1:26" ht="16.5" thickBot="1" x14ac:dyDescent="0.3">
      <c r="N27" s="443" t="s">
        <v>154</v>
      </c>
      <c r="R27" s="444"/>
      <c r="U27" s="369" t="s">
        <v>346</v>
      </c>
      <c r="V27" s="354"/>
      <c r="W27" s="539" t="s">
        <v>347</v>
      </c>
      <c r="X27" s="540"/>
    </row>
    <row r="28" spans="1:26" ht="16.5" thickTop="1" thickBot="1" x14ac:dyDescent="0.3">
      <c r="N28" s="445" t="s">
        <v>155</v>
      </c>
      <c r="O28" s="446"/>
      <c r="P28" s="446"/>
      <c r="Q28" s="446"/>
      <c r="R28" s="447"/>
      <c r="W28" s="1"/>
      <c r="X28" s="1"/>
    </row>
    <row r="29" spans="1:26" ht="24" thickBot="1" x14ac:dyDescent="0.4">
      <c r="U29" s="541" t="s">
        <v>284</v>
      </c>
      <c r="V29" s="541"/>
      <c r="W29" s="541"/>
      <c r="X29" s="541"/>
    </row>
    <row r="30" spans="1:26" ht="20.25" customHeight="1" thickTop="1" thickBot="1" x14ac:dyDescent="0.3">
      <c r="A30" s="356" t="s">
        <v>241</v>
      </c>
      <c r="B30" s="358" t="s">
        <v>29</v>
      </c>
      <c r="C30" s="343" t="s">
        <v>34</v>
      </c>
      <c r="D30" s="343" t="s">
        <v>27</v>
      </c>
      <c r="E30" s="341" t="s">
        <v>39</v>
      </c>
      <c r="F30" s="341" t="s">
        <v>30</v>
      </c>
      <c r="G30" s="349" t="s">
        <v>36</v>
      </c>
      <c r="H30" s="347" t="s">
        <v>31</v>
      </c>
      <c r="I30" s="360" t="s">
        <v>289</v>
      </c>
      <c r="J30" s="360" t="s">
        <v>290</v>
      </c>
      <c r="U30" s="362" t="s">
        <v>207</v>
      </c>
      <c r="V30" s="363"/>
      <c r="W30" s="352"/>
      <c r="X30" s="364">
        <f>N9</f>
        <v>91.399999999999991</v>
      </c>
    </row>
    <row r="31" spans="1:26" ht="17.25" thickTop="1" thickBot="1" x14ac:dyDescent="0.3">
      <c r="A31" s="357">
        <v>32.549999999999997</v>
      </c>
      <c r="B31" s="342">
        <v>42</v>
      </c>
      <c r="C31" s="344">
        <f>IF(I31&gt;J31,I31,J31)</f>
        <v>1367.1</v>
      </c>
      <c r="D31" s="345">
        <v>125</v>
      </c>
      <c r="E31" s="346">
        <v>0.02</v>
      </c>
      <c r="F31" s="344">
        <f>C31+D31</f>
        <v>1492.1</v>
      </c>
      <c r="G31" s="350">
        <f>ROUNDUP(F31*E31,0)</f>
        <v>30</v>
      </c>
      <c r="H31" s="348">
        <f>F31+G31</f>
        <v>1522.1</v>
      </c>
      <c r="I31" s="97">
        <f>A31*B31</f>
        <v>1367.1</v>
      </c>
      <c r="J31">
        <v>225</v>
      </c>
      <c r="U31" s="365" t="s">
        <v>208</v>
      </c>
      <c r="V31" s="1"/>
      <c r="X31" s="366">
        <f>R9</f>
        <v>2</v>
      </c>
    </row>
    <row r="32" spans="1:26" ht="16.5" thickTop="1" x14ac:dyDescent="0.25">
      <c r="U32" s="365" t="s">
        <v>209</v>
      </c>
      <c r="V32" s="1"/>
      <c r="X32" s="367">
        <f>T9</f>
        <v>250</v>
      </c>
    </row>
    <row r="33" spans="4:24" ht="15.75" x14ac:dyDescent="0.25">
      <c r="U33" s="365" t="s">
        <v>210</v>
      </c>
      <c r="V33" s="1"/>
      <c r="X33" s="367">
        <f>V9</f>
        <v>8</v>
      </c>
    </row>
    <row r="34" spans="4:24" ht="16.5" thickBot="1" x14ac:dyDescent="0.3">
      <c r="F34" s="97"/>
      <c r="U34" s="365" t="s">
        <v>216</v>
      </c>
      <c r="X34" s="368">
        <f>P9</f>
        <v>125</v>
      </c>
    </row>
    <row r="35" spans="4:24" ht="16.5" thickTop="1" x14ac:dyDescent="0.25">
      <c r="D35" s="351" t="s">
        <v>286</v>
      </c>
      <c r="E35" s="352"/>
      <c r="F35" s="359">
        <f>B31</f>
        <v>42</v>
      </c>
      <c r="U35" s="365" t="s">
        <v>211</v>
      </c>
      <c r="V35" s="1"/>
      <c r="X35" s="367">
        <f>W9</f>
        <v>383</v>
      </c>
    </row>
    <row r="36" spans="4:24" ht="16.5" thickBot="1" x14ac:dyDescent="0.3">
      <c r="D36" s="353" t="s">
        <v>285</v>
      </c>
      <c r="E36" s="354"/>
      <c r="F36" s="355">
        <f>H31</f>
        <v>1522.1</v>
      </c>
      <c r="U36" s="369" t="s">
        <v>346</v>
      </c>
      <c r="V36" s="354"/>
      <c r="W36" s="539" t="s">
        <v>347</v>
      </c>
      <c r="X36" s="540"/>
    </row>
    <row r="37" spans="4:24" ht="15.75" thickTop="1" x14ac:dyDescent="0.25"/>
  </sheetData>
  <mergeCells count="4">
    <mergeCell ref="U20:X20"/>
    <mergeCell ref="W27:X27"/>
    <mergeCell ref="U29:X29"/>
    <mergeCell ref="W36:X36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66CD-FA30-4CE2-A8B7-0327DE7D1C0B}">
  <sheetPr>
    <tabColor rgb="FF00B0F0"/>
  </sheetPr>
  <dimension ref="A1:AF8"/>
  <sheetViews>
    <sheetView workbookViewId="0">
      <selection activeCell="AC46" sqref="AC46"/>
    </sheetView>
  </sheetViews>
  <sheetFormatPr defaultRowHeight="15" x14ac:dyDescent="0.25"/>
  <cols>
    <col min="6" max="6" width="0" hidden="1" customWidth="1"/>
    <col min="8" max="14" width="0" hidden="1" customWidth="1"/>
    <col min="19" max="20" width="0" hidden="1" customWidth="1"/>
    <col min="21" max="21" width="15.42578125" customWidth="1"/>
    <col min="25" max="25" width="13.140625" customWidth="1"/>
    <col min="28" max="28" width="14.140625" customWidth="1"/>
    <col min="30" max="30" width="13.140625" customWidth="1"/>
  </cols>
  <sheetData>
    <row r="1" spans="1:32" ht="21" x14ac:dyDescent="0.25">
      <c r="A1" s="9" t="s">
        <v>240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93"/>
      <c r="W1" s="21"/>
      <c r="X1" s="21"/>
      <c r="Y1" s="22"/>
      <c r="Z1" s="22"/>
      <c r="AA1" s="22"/>
      <c r="AB1" s="22"/>
      <c r="AC1" s="75"/>
      <c r="AD1" s="22"/>
      <c r="AE1" s="22"/>
      <c r="AF1" s="88"/>
    </row>
    <row r="2" spans="1:32" ht="60" x14ac:dyDescent="0.25">
      <c r="A2" s="2" t="s">
        <v>217</v>
      </c>
      <c r="B2" s="2" t="s">
        <v>218</v>
      </c>
      <c r="C2" s="2" t="s">
        <v>173</v>
      </c>
      <c r="D2" s="322" t="s">
        <v>2</v>
      </c>
      <c r="E2" s="322" t="s">
        <v>219</v>
      </c>
      <c r="F2" s="322" t="s">
        <v>20</v>
      </c>
      <c r="G2" s="2" t="s">
        <v>1</v>
      </c>
      <c r="H2" s="2" t="s">
        <v>220</v>
      </c>
      <c r="I2" s="322" t="s">
        <v>221</v>
      </c>
      <c r="J2" s="322" t="s">
        <v>222</v>
      </c>
      <c r="K2" s="322" t="s">
        <v>223</v>
      </c>
      <c r="L2" s="322" t="s">
        <v>224</v>
      </c>
      <c r="M2" s="322" t="s">
        <v>225</v>
      </c>
      <c r="N2" s="322" t="s">
        <v>226</v>
      </c>
      <c r="O2" s="322" t="s">
        <v>9</v>
      </c>
      <c r="P2" s="322" t="s">
        <v>228</v>
      </c>
      <c r="Q2" s="322" t="s">
        <v>227</v>
      </c>
      <c r="R2" s="322" t="s">
        <v>10</v>
      </c>
      <c r="S2" s="322" t="s">
        <v>24</v>
      </c>
      <c r="T2" s="322" t="s">
        <v>25</v>
      </c>
      <c r="U2" s="195" t="s">
        <v>230</v>
      </c>
      <c r="V2" s="195"/>
      <c r="W2" s="323"/>
      <c r="X2" s="38" t="s">
        <v>29</v>
      </c>
      <c r="Y2" s="37" t="s">
        <v>34</v>
      </c>
      <c r="Z2" s="37" t="s">
        <v>27</v>
      </c>
      <c r="AA2" s="38" t="s">
        <v>39</v>
      </c>
      <c r="AB2" s="38" t="s">
        <v>30</v>
      </c>
      <c r="AC2" s="74" t="s">
        <v>36</v>
      </c>
      <c r="AD2" s="38" t="s">
        <v>31</v>
      </c>
      <c r="AE2" s="37" t="s">
        <v>32</v>
      </c>
      <c r="AF2" s="41" t="s">
        <v>33</v>
      </c>
    </row>
    <row r="3" spans="1:32" x14ac:dyDescent="0.25">
      <c r="A3" s="65">
        <v>37.130000000000003</v>
      </c>
      <c r="B3" s="65">
        <v>21</v>
      </c>
      <c r="C3" s="65">
        <v>35.625</v>
      </c>
      <c r="D3" s="66" t="s">
        <v>0</v>
      </c>
      <c r="E3" s="66">
        <f>(A3-B3)/2</f>
        <v>8.0650000000000013</v>
      </c>
      <c r="F3" s="66">
        <f>A3*3.14159265359</f>
        <v>116.64733522779672</v>
      </c>
      <c r="G3" s="66">
        <v>0.05</v>
      </c>
      <c r="H3" s="66">
        <v>3.1415926535900001</v>
      </c>
      <c r="I3" s="66">
        <f>(A3+B3)*C3</f>
        <v>2070.8812499999999</v>
      </c>
      <c r="J3" s="66">
        <f>E3*F3</f>
        <v>940.76075861218067</v>
      </c>
      <c r="K3" s="66">
        <f>C3/G3</f>
        <v>712.5</v>
      </c>
      <c r="L3" s="66">
        <f>E3/G3</f>
        <v>161.30000000000001</v>
      </c>
      <c r="M3" s="66">
        <f>F3/10</f>
        <v>11.664733522779672</v>
      </c>
      <c r="N3" s="66">
        <f>F3/10</f>
        <v>11.664733522779672</v>
      </c>
      <c r="O3" s="66">
        <v>10</v>
      </c>
      <c r="P3" s="67">
        <f t="shared" ref="P3:Q4" si="0">M3*K3/60</f>
        <v>138.51871058300861</v>
      </c>
      <c r="Q3" s="67">
        <f t="shared" si="0"/>
        <v>31.358691953739356</v>
      </c>
      <c r="R3" s="67">
        <f>P3+O3+Q3</f>
        <v>179.87740253674798</v>
      </c>
      <c r="S3" s="68">
        <v>225</v>
      </c>
      <c r="T3" s="69">
        <f>S3/60</f>
        <v>3.75</v>
      </c>
      <c r="U3" s="70">
        <f>ROUNDUP(R3*T3,1)</f>
        <v>674.6</v>
      </c>
      <c r="V3" s="70"/>
      <c r="W3" s="324" t="s">
        <v>229</v>
      </c>
      <c r="X3" s="32">
        <v>1</v>
      </c>
      <c r="Y3" s="33">
        <f>U3*X3</f>
        <v>674.6</v>
      </c>
      <c r="Z3" s="30">
        <v>125</v>
      </c>
      <c r="AA3" s="79">
        <v>0.02</v>
      </c>
      <c r="AB3" s="33">
        <f>Y3+Z3</f>
        <v>799.6</v>
      </c>
      <c r="AC3" s="77">
        <f>ROUNDUP(AB3*AA3,0)</f>
        <v>16</v>
      </c>
      <c r="AD3" s="33">
        <f>AB3+AC3</f>
        <v>815.6</v>
      </c>
      <c r="AE3" s="57">
        <v>225</v>
      </c>
      <c r="AF3" s="78">
        <f>ROUNDDOWN(AE3/U3,0)</f>
        <v>0</v>
      </c>
    </row>
    <row r="4" spans="1:32" x14ac:dyDescent="0.25">
      <c r="A4" s="65">
        <v>37.130000000000003</v>
      </c>
      <c r="B4" s="65">
        <v>4</v>
      </c>
      <c r="C4" s="65">
        <v>35.625</v>
      </c>
      <c r="D4" s="66" t="s">
        <v>0</v>
      </c>
      <c r="E4" s="66">
        <f>(A4-B4)/2</f>
        <v>16.565000000000001</v>
      </c>
      <c r="F4" s="66">
        <f>A4*3.14159265359</f>
        <v>116.64733522779672</v>
      </c>
      <c r="G4" s="66">
        <v>0.03</v>
      </c>
      <c r="H4" s="66">
        <v>3.1415926535900001</v>
      </c>
      <c r="I4" s="66">
        <f t="shared" ref="I4" si="1">(A4+B4)*C4</f>
        <v>1465.2562500000001</v>
      </c>
      <c r="J4" s="66">
        <f>E4*F4</f>
        <v>1932.2631080484528</v>
      </c>
      <c r="K4" s="66">
        <f>C4/G4</f>
        <v>1187.5</v>
      </c>
      <c r="L4" s="66">
        <f>E4/G4</f>
        <v>552.16666666666674</v>
      </c>
      <c r="M4" s="66">
        <f>F4/10</f>
        <v>11.664733522779672</v>
      </c>
      <c r="N4" s="66">
        <f>F4/10</f>
        <v>11.664733522779672</v>
      </c>
      <c r="O4" s="66">
        <v>10</v>
      </c>
      <c r="P4" s="67">
        <f t="shared" si="0"/>
        <v>230.86451763834765</v>
      </c>
      <c r="Q4" s="67">
        <f t="shared" si="0"/>
        <v>107.34795044713628</v>
      </c>
      <c r="R4" s="67">
        <f>P4+O4+Q4</f>
        <v>348.21246808548392</v>
      </c>
      <c r="S4" s="68">
        <v>225</v>
      </c>
      <c r="T4" s="69">
        <f t="shared" ref="T4" si="2">S4/60</f>
        <v>3.75</v>
      </c>
      <c r="U4" s="70">
        <f t="shared" ref="U4" si="3">ROUNDUP(R4*T4,1)</f>
        <v>1305.8</v>
      </c>
      <c r="V4" s="70"/>
      <c r="W4" s="324" t="s">
        <v>229</v>
      </c>
      <c r="X4" s="32">
        <v>4</v>
      </c>
      <c r="Y4" s="33">
        <f>U4*X4</f>
        <v>5223.2</v>
      </c>
      <c r="Z4" s="30">
        <v>0</v>
      </c>
      <c r="AA4" s="79">
        <v>0.02</v>
      </c>
      <c r="AB4" s="33">
        <f t="shared" ref="AB4" si="4">Y4+Z4</f>
        <v>5223.2</v>
      </c>
      <c r="AC4" s="77">
        <f>ROUNDUP(AB4*AA4,0)</f>
        <v>105</v>
      </c>
      <c r="AD4" s="33">
        <f t="shared" ref="AD4" si="5">AB4+AC4</f>
        <v>5328.2</v>
      </c>
      <c r="AE4" s="57">
        <v>225</v>
      </c>
      <c r="AF4" s="78">
        <f t="shared" ref="AF4" si="6">ROUNDDOWN(AE4/U4,0)</f>
        <v>0</v>
      </c>
    </row>
    <row r="7" spans="1:32" x14ac:dyDescent="0.25">
      <c r="E7" t="s">
        <v>306</v>
      </c>
      <c r="V7" t="s">
        <v>307</v>
      </c>
    </row>
    <row r="8" spans="1:32" x14ac:dyDescent="0.25">
      <c r="A8" s="65">
        <v>37.130000000000003</v>
      </c>
      <c r="B8" s="65">
        <v>4</v>
      </c>
      <c r="C8" s="65">
        <v>35.625</v>
      </c>
      <c r="D8" s="66" t="s">
        <v>0</v>
      </c>
      <c r="E8" s="66">
        <f>(A8-B8)/2</f>
        <v>16.565000000000001</v>
      </c>
      <c r="F8" s="66">
        <f>A8*3.14159265359</f>
        <v>116.64733522779672</v>
      </c>
      <c r="G8" s="66">
        <v>2.5000000000000001E-2</v>
      </c>
      <c r="H8" s="66">
        <v>3.1415926535900001</v>
      </c>
      <c r="I8" s="66">
        <f t="shared" ref="I8" si="7">(A8+B8)*C8</f>
        <v>1465.2562500000001</v>
      </c>
      <c r="J8" s="66">
        <f>E8*F8</f>
        <v>1932.2631080484528</v>
      </c>
      <c r="K8" s="66">
        <f>C8/G8</f>
        <v>1425</v>
      </c>
      <c r="L8" s="66">
        <f>E8/G8</f>
        <v>662.6</v>
      </c>
      <c r="M8" s="66">
        <f>F8/10</f>
        <v>11.664733522779672</v>
      </c>
      <c r="N8" s="66">
        <f>F8/10</f>
        <v>11.664733522779672</v>
      </c>
      <c r="O8" s="66">
        <v>5.5</v>
      </c>
      <c r="P8" s="67">
        <f t="shared" ref="P8:Q8" si="8">M8*K8/60</f>
        <v>277.03742116601723</v>
      </c>
      <c r="Q8" s="67">
        <f t="shared" si="8"/>
        <v>128.81754053656351</v>
      </c>
      <c r="R8" s="67">
        <f>P8+O8+Q8</f>
        <v>411.35496170258074</v>
      </c>
      <c r="S8" s="68">
        <v>300</v>
      </c>
      <c r="T8" s="69">
        <f t="shared" ref="T8" si="9">S8/60</f>
        <v>5</v>
      </c>
      <c r="U8" s="381">
        <f t="shared" ref="U8" si="10">ROUNDUP(R8*T8,1)</f>
        <v>2056.7999999999997</v>
      </c>
      <c r="V8" s="70">
        <f>AG8</f>
        <v>0</v>
      </c>
      <c r="W8" s="324" t="s">
        <v>229</v>
      </c>
      <c r="X8" s="32">
        <v>4</v>
      </c>
      <c r="Y8" s="33">
        <f>V8*X8</f>
        <v>0</v>
      </c>
      <c r="Z8" s="30">
        <v>150</v>
      </c>
      <c r="AA8" s="79">
        <v>0.02</v>
      </c>
      <c r="AB8" s="33">
        <f t="shared" ref="AB8" si="11">Y8+Z8</f>
        <v>150</v>
      </c>
      <c r="AC8" s="77">
        <f>ROUNDUP(AB8*AA8,0)</f>
        <v>3</v>
      </c>
      <c r="AD8" s="33">
        <f t="shared" ref="AD8" si="12">AB8+AC8</f>
        <v>153</v>
      </c>
      <c r="AE8" s="57">
        <v>225</v>
      </c>
      <c r="AF8" s="78">
        <f t="shared" ref="AF8" si="13">ROUNDDOWN(AE8/U8,0)</f>
        <v>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34F2-9A6B-4667-9F08-BDA324745A58}">
  <sheetPr>
    <tabColor rgb="FF92D050"/>
  </sheetPr>
  <dimension ref="A1:Y18"/>
  <sheetViews>
    <sheetView workbookViewId="0">
      <selection activeCell="E22" sqref="E22"/>
    </sheetView>
  </sheetViews>
  <sheetFormatPr defaultRowHeight="15" x14ac:dyDescent="0.25"/>
  <sheetData>
    <row r="1" spans="1:25" ht="21" x14ac:dyDescent="0.25">
      <c r="A1" s="9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1"/>
      <c r="P1" s="21"/>
      <c r="Q1" s="21"/>
      <c r="R1" s="22"/>
      <c r="S1" s="22"/>
      <c r="T1" s="22"/>
      <c r="U1" s="22"/>
      <c r="V1" s="75"/>
      <c r="W1" s="22"/>
      <c r="X1" s="22"/>
      <c r="Y1" s="88"/>
    </row>
    <row r="2" spans="1:25" ht="45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3" t="s">
        <v>5</v>
      </c>
      <c r="O2" s="34"/>
      <c r="P2" s="38" t="s">
        <v>29</v>
      </c>
      <c r="Q2" s="38" t="s">
        <v>204</v>
      </c>
      <c r="R2" s="37" t="s">
        <v>34</v>
      </c>
      <c r="S2" s="37" t="s">
        <v>27</v>
      </c>
      <c r="T2" s="38" t="s">
        <v>39</v>
      </c>
      <c r="U2" s="38" t="s">
        <v>30</v>
      </c>
      <c r="V2" s="74" t="s">
        <v>36</v>
      </c>
      <c r="W2" s="38" t="s">
        <v>31</v>
      </c>
      <c r="X2" s="37" t="s">
        <v>32</v>
      </c>
      <c r="Y2" s="41" t="s">
        <v>33</v>
      </c>
    </row>
    <row r="3" spans="1:25" x14ac:dyDescent="0.25">
      <c r="A3" s="65">
        <v>4.5</v>
      </c>
      <c r="B3" s="65">
        <v>9.5</v>
      </c>
      <c r="C3" s="65">
        <v>14.5</v>
      </c>
      <c r="D3" s="66" t="s">
        <v>0</v>
      </c>
      <c r="E3" s="66">
        <v>4.4999999999999998E-2</v>
      </c>
      <c r="F3" s="66">
        <f>(A3+B3)*C3</f>
        <v>203</v>
      </c>
      <c r="G3" s="66">
        <f>(A3+B3)/E3</f>
        <v>311.11111111111114</v>
      </c>
      <c r="H3" s="66">
        <f t="shared" ref="H3" si="0">C3/10</f>
        <v>1.45</v>
      </c>
      <c r="I3" s="66">
        <v>4</v>
      </c>
      <c r="J3" s="67">
        <f t="shared" ref="J3" si="1">H3*G3/60</f>
        <v>7.518518518518519</v>
      </c>
      <c r="K3" s="67">
        <f>J3+I3</f>
        <v>11.518518518518519</v>
      </c>
      <c r="L3" s="68">
        <v>225</v>
      </c>
      <c r="M3" s="69">
        <f>L3/60</f>
        <v>3.75</v>
      </c>
      <c r="N3" s="70">
        <f>ROUNDUP(K3*M3,1)</f>
        <v>43.2</v>
      </c>
      <c r="O3" s="23" t="s">
        <v>40</v>
      </c>
      <c r="P3" s="32">
        <v>10</v>
      </c>
      <c r="Q3" s="35">
        <f>N3*P3</f>
        <v>432</v>
      </c>
      <c r="R3" s="33">
        <f>IF(Q3&gt;X3, Q3, X3)</f>
        <v>432</v>
      </c>
      <c r="S3" s="30">
        <v>125</v>
      </c>
      <c r="T3" s="79">
        <v>0.02</v>
      </c>
      <c r="U3" s="33">
        <f>R3+S3</f>
        <v>557</v>
      </c>
      <c r="V3" s="77">
        <f>ROUNDUP(U3*T3,0)</f>
        <v>12</v>
      </c>
      <c r="W3" s="33">
        <f>U3+V3</f>
        <v>569</v>
      </c>
      <c r="X3" s="57">
        <v>225</v>
      </c>
      <c r="Y3" s="78">
        <f>ROUNDDOWN(X3/N3,0)</f>
        <v>5</v>
      </c>
    </row>
    <row r="4" spans="1:25" ht="18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4"/>
      <c r="P4" s="21"/>
      <c r="Q4" s="21"/>
      <c r="R4" s="27"/>
      <c r="S4" s="28"/>
      <c r="T4" s="72"/>
      <c r="U4" s="27"/>
      <c r="V4" s="76"/>
      <c r="W4" s="27"/>
      <c r="X4" s="25"/>
      <c r="Y4" s="26"/>
    </row>
    <row r="5" spans="1:25" ht="21" x14ac:dyDescent="0.25">
      <c r="A5" s="1"/>
      <c r="B5" s="80" t="s">
        <v>12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2"/>
      <c r="P5" s="82"/>
      <c r="Q5" s="82"/>
      <c r="R5" s="83"/>
      <c r="S5" s="84"/>
      <c r="T5" s="85"/>
      <c r="U5" s="83"/>
      <c r="V5" s="86"/>
      <c r="W5" s="83"/>
      <c r="X5" s="82"/>
      <c r="Y5" s="87"/>
    </row>
    <row r="6" spans="1:25" ht="45" x14ac:dyDescent="0.25">
      <c r="A6" s="1"/>
      <c r="B6" s="4" t="s">
        <v>13</v>
      </c>
      <c r="C6" s="4" t="s">
        <v>7</v>
      </c>
      <c r="D6" s="2" t="s">
        <v>2</v>
      </c>
      <c r="E6" s="4" t="s">
        <v>1</v>
      </c>
      <c r="F6" s="5" t="s">
        <v>20</v>
      </c>
      <c r="G6" s="4" t="s">
        <v>14</v>
      </c>
      <c r="H6" s="4" t="s">
        <v>15</v>
      </c>
      <c r="I6" s="4" t="s">
        <v>17</v>
      </c>
      <c r="J6" s="4" t="s">
        <v>16</v>
      </c>
      <c r="K6" s="4" t="s">
        <v>18</v>
      </c>
      <c r="L6" s="2" t="s">
        <v>24</v>
      </c>
      <c r="M6" s="2" t="s">
        <v>25</v>
      </c>
      <c r="N6" s="6" t="s">
        <v>19</v>
      </c>
      <c r="O6" s="37"/>
      <c r="P6" s="38" t="s">
        <v>29</v>
      </c>
      <c r="Q6" s="38" t="s">
        <v>204</v>
      </c>
      <c r="R6" s="44" t="s">
        <v>34</v>
      </c>
      <c r="S6" s="42" t="s">
        <v>27</v>
      </c>
      <c r="T6" s="73" t="s">
        <v>39</v>
      </c>
      <c r="U6" s="44" t="s">
        <v>30</v>
      </c>
      <c r="V6" s="45" t="s">
        <v>36</v>
      </c>
      <c r="W6" s="44" t="s">
        <v>31</v>
      </c>
      <c r="X6" s="37" t="s">
        <v>32</v>
      </c>
      <c r="Y6" s="41" t="s">
        <v>33</v>
      </c>
    </row>
    <row r="7" spans="1:25" x14ac:dyDescent="0.25">
      <c r="A7" s="1"/>
      <c r="B7" s="14">
        <v>0.375</v>
      </c>
      <c r="C7" s="14">
        <v>16.690000000000001</v>
      </c>
      <c r="D7" s="7" t="s">
        <v>0</v>
      </c>
      <c r="E7" s="16">
        <v>4.4999999999999998E-2</v>
      </c>
      <c r="F7" s="16">
        <f>B7*3.14</f>
        <v>1.1775</v>
      </c>
      <c r="G7" s="17">
        <f>F7/E7</f>
        <v>26.166666666666668</v>
      </c>
      <c r="H7" s="16">
        <f>C7/10</f>
        <v>1.669</v>
      </c>
      <c r="I7" s="16">
        <v>3</v>
      </c>
      <c r="J7" s="19">
        <f>H7*G7/60</f>
        <v>0.72786944444444446</v>
      </c>
      <c r="K7" s="20">
        <f>J7+I7</f>
        <v>3.7278694444444445</v>
      </c>
      <c r="L7" s="11">
        <v>225</v>
      </c>
      <c r="M7" s="12">
        <f>L7/60</f>
        <v>3.75</v>
      </c>
      <c r="N7" s="18">
        <f>ROUNDUP(K7*M7,1)</f>
        <v>14</v>
      </c>
      <c r="O7" s="34" t="s">
        <v>40</v>
      </c>
      <c r="P7" s="32">
        <v>50</v>
      </c>
      <c r="Q7" s="35">
        <f>N7*P7</f>
        <v>700</v>
      </c>
      <c r="R7" s="33">
        <f>IF(Q7&gt;X7, Q7, X7)</f>
        <v>700</v>
      </c>
      <c r="S7" s="30">
        <v>0</v>
      </c>
      <c r="T7" s="79">
        <v>0.02</v>
      </c>
      <c r="U7" s="33">
        <f>R7+S7</f>
        <v>700</v>
      </c>
      <c r="V7" s="77">
        <f>ROUNDUP(U7*T7,0)</f>
        <v>14</v>
      </c>
      <c r="W7" s="33">
        <f t="shared" ref="W7" si="2">U7+V7</f>
        <v>714</v>
      </c>
      <c r="X7" s="57">
        <v>225</v>
      </c>
      <c r="Y7" s="78">
        <f>ROUNDDOWN(X7/N7,0)</f>
        <v>16</v>
      </c>
    </row>
    <row r="9" spans="1:25" ht="15.75" thickBot="1" x14ac:dyDescent="0.3"/>
    <row r="10" spans="1:25" ht="21" x14ac:dyDescent="0.35">
      <c r="A10" s="171"/>
      <c r="B10" s="172" t="s">
        <v>119</v>
      </c>
      <c r="C10" s="173"/>
      <c r="N10" s="439"/>
      <c r="O10" s="440" t="s">
        <v>149</v>
      </c>
      <c r="P10" s="441"/>
      <c r="Q10" s="441"/>
      <c r="R10" s="442"/>
    </row>
    <row r="11" spans="1:25" x14ac:dyDescent="0.25">
      <c r="A11" s="174" t="s">
        <v>32</v>
      </c>
      <c r="C11" s="175">
        <v>250</v>
      </c>
      <c r="N11" s="443" t="s">
        <v>150</v>
      </c>
      <c r="R11" s="444"/>
    </row>
    <row r="12" spans="1:25" x14ac:dyDescent="0.25">
      <c r="A12" s="174" t="s">
        <v>120</v>
      </c>
      <c r="C12" s="175">
        <v>125</v>
      </c>
      <c r="N12" s="443" t="s">
        <v>151</v>
      </c>
      <c r="R12" s="444"/>
    </row>
    <row r="13" spans="1:25" x14ac:dyDescent="0.25">
      <c r="A13" s="174" t="s">
        <v>36</v>
      </c>
      <c r="C13" s="176" t="s">
        <v>122</v>
      </c>
      <c r="N13" s="443"/>
      <c r="R13" s="444"/>
    </row>
    <row r="14" spans="1:25" x14ac:dyDescent="0.25">
      <c r="A14" s="174" t="s">
        <v>121</v>
      </c>
      <c r="C14" s="176" t="s">
        <v>123</v>
      </c>
      <c r="N14" s="443" t="s">
        <v>152</v>
      </c>
      <c r="R14" s="444"/>
    </row>
    <row r="15" spans="1:25" x14ac:dyDescent="0.25">
      <c r="A15" s="177" t="s">
        <v>124</v>
      </c>
      <c r="B15" s="178"/>
      <c r="C15" s="179">
        <v>75</v>
      </c>
      <c r="N15" s="443" t="s">
        <v>153</v>
      </c>
      <c r="R15" s="444"/>
    </row>
    <row r="16" spans="1:25" x14ac:dyDescent="0.25">
      <c r="N16" s="443"/>
      <c r="R16" s="444"/>
    </row>
    <row r="17" spans="14:18" x14ac:dyDescent="0.25">
      <c r="N17" s="443" t="s">
        <v>154</v>
      </c>
      <c r="R17" s="444"/>
    </row>
    <row r="18" spans="14:18" ht="15.75" thickBot="1" x14ac:dyDescent="0.3">
      <c r="N18" s="445" t="s">
        <v>155</v>
      </c>
      <c r="O18" s="446"/>
      <c r="P18" s="446"/>
      <c r="Q18" s="446"/>
      <c r="R18" s="447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3740-F265-4CD6-AEBF-DF17F3CF196F}">
  <sheetPr>
    <tabColor rgb="FF92D050"/>
  </sheetPr>
  <dimension ref="A1:AD37"/>
  <sheetViews>
    <sheetView workbookViewId="0">
      <selection activeCell="AA21" sqref="AA21:AD27"/>
    </sheetView>
  </sheetViews>
  <sheetFormatPr defaultRowHeight="15" x14ac:dyDescent="0.25"/>
  <cols>
    <col min="4" max="13" width="9.140625" hidden="1" customWidth="1"/>
    <col min="19" max="19" width="11" customWidth="1"/>
    <col min="20" max="20" width="10.85546875" customWidth="1"/>
    <col min="21" max="21" width="11.5703125" customWidth="1"/>
    <col min="25" max="25" width="16" customWidth="1"/>
    <col min="28" max="28" width="14.42578125" customWidth="1"/>
    <col min="29" max="29" width="8.5703125" customWidth="1"/>
    <col min="30" max="30" width="17.14062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0.51</v>
      </c>
      <c r="B3" s="65">
        <v>48</v>
      </c>
      <c r="C3" s="65">
        <v>120</v>
      </c>
      <c r="D3" s="66">
        <v>0.125</v>
      </c>
      <c r="E3" s="66">
        <v>0.125</v>
      </c>
      <c r="F3" s="66">
        <f>(A3+B3)*C3</f>
        <v>5821.2</v>
      </c>
      <c r="G3" s="66">
        <f>(A3+B3)/E3</f>
        <v>388.08</v>
      </c>
      <c r="H3" s="66">
        <f t="shared" ref="H3" si="0">C3/10</f>
        <v>12</v>
      </c>
      <c r="I3" s="66">
        <v>3.5</v>
      </c>
      <c r="J3" s="67">
        <f t="shared" ref="J3" si="1">H3*G3/60</f>
        <v>77.616</v>
      </c>
      <c r="K3" s="67">
        <f>J3+I3</f>
        <v>81.116</v>
      </c>
      <c r="L3" s="68">
        <v>225</v>
      </c>
      <c r="M3" s="69">
        <f>L3/60</f>
        <v>3.75</v>
      </c>
      <c r="N3" s="70">
        <f>ROUNDUP(K3*M3,1)</f>
        <v>304.20000000000005</v>
      </c>
      <c r="O3" s="56"/>
      <c r="P3" s="30">
        <v>125</v>
      </c>
      <c r="Q3" s="71">
        <v>0.02</v>
      </c>
      <c r="R3" s="32">
        <v>1</v>
      </c>
      <c r="S3" s="35">
        <f>N3*R3</f>
        <v>304.20000000000005</v>
      </c>
      <c r="T3" s="33">
        <f>IF(S3&gt;Y3,S3,Y3)</f>
        <v>304.20000000000005</v>
      </c>
      <c r="U3" s="33">
        <f>T3+P3</f>
        <v>429.20000000000005</v>
      </c>
      <c r="V3" s="33">
        <f>ROUNDUP(U3*Q3,0)</f>
        <v>9</v>
      </c>
      <c r="W3" s="33">
        <f>U3+V3</f>
        <v>438.20000000000005</v>
      </c>
      <c r="X3" s="34"/>
      <c r="Y3" s="57">
        <v>225</v>
      </c>
      <c r="Z3" s="36">
        <f>ROUNDDOWN(Y3/N3,0)</f>
        <v>0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2.5</v>
      </c>
      <c r="B6" s="65">
        <v>2.5</v>
      </c>
      <c r="C6" s="65">
        <v>8</v>
      </c>
      <c r="D6" s="66">
        <v>0.125</v>
      </c>
      <c r="E6" s="66">
        <v>8.5000000000000006E-2</v>
      </c>
      <c r="F6" s="66">
        <f>(A6+B6)*C6</f>
        <v>40</v>
      </c>
      <c r="G6" s="66">
        <f>(A6+B6)/E6</f>
        <v>58.823529411764703</v>
      </c>
      <c r="H6" s="66">
        <f t="shared" ref="H6" si="2">C6/10</f>
        <v>0.8</v>
      </c>
      <c r="I6" s="66">
        <v>3</v>
      </c>
      <c r="J6" s="67">
        <f t="shared" ref="J6" si="3">H6*G6/60</f>
        <v>0.78431372549019618</v>
      </c>
      <c r="K6" s="67">
        <f>J6+I6</f>
        <v>3.784313725490196</v>
      </c>
      <c r="L6" s="68">
        <v>225</v>
      </c>
      <c r="M6" s="69">
        <f>L6/60</f>
        <v>3.75</v>
      </c>
      <c r="N6" s="70">
        <f>ROUNDUP(K6*M6,1)</f>
        <v>14.2</v>
      </c>
      <c r="O6" s="56"/>
      <c r="P6" s="30">
        <v>125</v>
      </c>
      <c r="Q6" s="71">
        <v>0.02</v>
      </c>
      <c r="R6" s="32">
        <v>48</v>
      </c>
      <c r="S6" s="35">
        <f>N6*R6</f>
        <v>681.59999999999991</v>
      </c>
      <c r="T6" s="33">
        <f>IF(S6&gt;Y6,S6,Y6)</f>
        <v>681.59999999999991</v>
      </c>
      <c r="U6" s="33">
        <f>T6+P6</f>
        <v>806.59999999999991</v>
      </c>
      <c r="V6" s="33">
        <f>ROUNDUP(U6*Q6,0)</f>
        <v>17</v>
      </c>
      <c r="W6" s="33">
        <f>U6+V6</f>
        <v>823.59999999999991</v>
      </c>
      <c r="X6" s="34"/>
      <c r="Y6" s="57">
        <v>225</v>
      </c>
      <c r="Z6" s="36">
        <f>ROUNDDOWN(Y6/N6,0)</f>
        <v>15</v>
      </c>
    </row>
    <row r="7" spans="1:26" ht="26.25" x14ac:dyDescent="0.25">
      <c r="B7" s="168" t="s">
        <v>357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5</v>
      </c>
      <c r="C9" s="14">
        <v>4</v>
      </c>
      <c r="D9" s="66" t="s">
        <v>0</v>
      </c>
      <c r="E9" s="16">
        <v>6.5000000000000002E-2</v>
      </c>
      <c r="F9" s="16">
        <f>B9*3.14</f>
        <v>15.700000000000001</v>
      </c>
      <c r="G9" s="17">
        <f>F9/E9</f>
        <v>241.53846153846155</v>
      </c>
      <c r="H9" s="16">
        <f>C9/10</f>
        <v>0.4</v>
      </c>
      <c r="I9" s="16">
        <v>2</v>
      </c>
      <c r="J9" s="19">
        <f>H9*G9/60</f>
        <v>1.6102564102564105</v>
      </c>
      <c r="K9" s="20">
        <f>J9+I9</f>
        <v>3.6102564102564108</v>
      </c>
      <c r="L9" s="68">
        <v>225</v>
      </c>
      <c r="M9" s="69">
        <f>L9/60</f>
        <v>3.75</v>
      </c>
      <c r="N9" s="18">
        <f>ROUNDUP(K9*M9,1)</f>
        <v>13.6</v>
      </c>
      <c r="O9" s="56"/>
      <c r="P9" s="30">
        <v>125</v>
      </c>
      <c r="Q9" s="71">
        <v>0.02</v>
      </c>
      <c r="R9" s="32">
        <v>18</v>
      </c>
      <c r="S9" s="35">
        <f>N9*R9</f>
        <v>244.79999999999998</v>
      </c>
      <c r="T9" s="33">
        <f>IF(S9&gt;Y9,S9,Y9)</f>
        <v>244.79999999999998</v>
      </c>
      <c r="U9" s="33">
        <f>T9+P9</f>
        <v>369.79999999999995</v>
      </c>
      <c r="V9" s="33">
        <f>ROUNDUP(U9*Q9,0)</f>
        <v>8</v>
      </c>
      <c r="W9" s="33">
        <f t="shared" ref="W9" si="4">U9+V9</f>
        <v>377.79999999999995</v>
      </c>
      <c r="X9" s="56"/>
      <c r="Y9" s="58">
        <v>225</v>
      </c>
      <c r="Z9" s="47">
        <f>ROUNDDOWN(Y9/N9,0)</f>
        <v>16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3.5</v>
      </c>
      <c r="J14" s="67">
        <f t="shared" ref="J14" si="6">H14*G14/60</f>
        <v>0.1111111111111111</v>
      </c>
      <c r="K14" s="67">
        <f>J14+I14</f>
        <v>3.6111111111111112</v>
      </c>
      <c r="L14" s="68">
        <v>250</v>
      </c>
      <c r="M14" s="69">
        <f>L14/60</f>
        <v>4.166666666666667</v>
      </c>
      <c r="N14" s="70">
        <f>ROUNDUP(K14*M14,1)</f>
        <v>15.1</v>
      </c>
      <c r="O14" s="56"/>
      <c r="P14" s="30">
        <v>125</v>
      </c>
      <c r="Q14" s="71">
        <v>0.02</v>
      </c>
      <c r="R14" s="32">
        <v>50</v>
      </c>
      <c r="S14" s="35">
        <f>N14*R14</f>
        <v>755</v>
      </c>
      <c r="T14" s="33">
        <f>IF(S14&gt;Y14,S14,Y14)</f>
        <v>755</v>
      </c>
      <c r="U14" s="33">
        <f>T14+P14</f>
        <v>880</v>
      </c>
      <c r="V14" s="33">
        <f>ROUNDUP(U14*Q14,0)</f>
        <v>18</v>
      </c>
      <c r="W14" s="33">
        <f>U14+V14</f>
        <v>898</v>
      </c>
      <c r="X14" s="34"/>
      <c r="Y14" s="57">
        <v>250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A17" s="1"/>
      <c r="B17" s="14">
        <v>9.5</v>
      </c>
      <c r="C17" s="14">
        <v>2</v>
      </c>
      <c r="D17" s="66" t="s">
        <v>0</v>
      </c>
      <c r="E17" s="16">
        <v>4.4999999999999998E-2</v>
      </c>
      <c r="F17" s="16">
        <f>B17*3.14</f>
        <v>29.830000000000002</v>
      </c>
      <c r="G17" s="17">
        <f>F17/E17</f>
        <v>662.88888888888891</v>
      </c>
      <c r="H17" s="16">
        <f>C17/10</f>
        <v>0.2</v>
      </c>
      <c r="I17" s="16">
        <v>4</v>
      </c>
      <c r="J17" s="19">
        <f>H17*G17/60</f>
        <v>2.2096296296296298</v>
      </c>
      <c r="K17" s="20">
        <f>J17+I17</f>
        <v>6.2096296296296298</v>
      </c>
      <c r="L17" s="68">
        <v>250</v>
      </c>
      <c r="M17" s="69">
        <f>L17/60</f>
        <v>4.166666666666667</v>
      </c>
      <c r="N17" s="18">
        <f>ROUNDUP(K17*M17,1)</f>
        <v>25.900000000000002</v>
      </c>
      <c r="O17" s="56"/>
      <c r="P17" s="30">
        <v>125</v>
      </c>
      <c r="Q17" s="71">
        <v>0.02</v>
      </c>
      <c r="R17" s="32">
        <v>1</v>
      </c>
      <c r="S17" s="35">
        <f>N17*R17</f>
        <v>25.900000000000002</v>
      </c>
      <c r="T17" s="33">
        <f>IF(S17&gt;Y17,S17,Y17)</f>
        <v>250</v>
      </c>
      <c r="U17" s="33">
        <f>T17+P17</f>
        <v>375</v>
      </c>
      <c r="V17" s="33">
        <f>ROUNDUP(U17*Q17,0)</f>
        <v>8</v>
      </c>
      <c r="W17" s="33">
        <f t="shared" ref="W17" si="7">U17+V17</f>
        <v>383</v>
      </c>
      <c r="X17" s="56"/>
      <c r="Y17" s="58">
        <v>250</v>
      </c>
      <c r="Z17" s="47">
        <f>ROUNDDOWN(Y17/N17,0)</f>
        <v>9</v>
      </c>
    </row>
    <row r="19" spans="1:30" ht="15.75" thickBot="1" x14ac:dyDescent="0.3"/>
    <row r="20" spans="1:30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541" t="s">
        <v>348</v>
      </c>
      <c r="W20" s="541"/>
      <c r="X20" s="541"/>
      <c r="Y20" s="541"/>
      <c r="Z20" s="1"/>
      <c r="AA20" s="541" t="s">
        <v>430</v>
      </c>
      <c r="AB20" s="541"/>
      <c r="AC20" s="541"/>
      <c r="AD20" s="541"/>
    </row>
    <row r="21" spans="1:30" ht="16.5" thickTop="1" x14ac:dyDescent="0.25">
      <c r="A21" s="373" t="s">
        <v>32</v>
      </c>
      <c r="C21" s="376">
        <v>225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14.2</v>
      </c>
      <c r="Z21" s="1"/>
      <c r="AA21" s="362" t="s">
        <v>207</v>
      </c>
      <c r="AB21" s="363"/>
      <c r="AC21" s="352"/>
      <c r="AD21" s="364">
        <f>N3</f>
        <v>304.20000000000005</v>
      </c>
    </row>
    <row r="22" spans="1:30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48</v>
      </c>
      <c r="Z22" s="1"/>
      <c r="AA22" s="365" t="s">
        <v>208</v>
      </c>
      <c r="AB22" s="1"/>
      <c r="AD22" s="366">
        <f>R3</f>
        <v>1</v>
      </c>
    </row>
    <row r="23" spans="1:30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681.59999999999991</v>
      </c>
      <c r="Z23" s="1"/>
      <c r="AA23" s="365" t="s">
        <v>209</v>
      </c>
      <c r="AB23" s="1"/>
      <c r="AD23" s="367">
        <f>T3</f>
        <v>304.20000000000005</v>
      </c>
    </row>
    <row r="24" spans="1:30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17</v>
      </c>
      <c r="Z24" s="1"/>
      <c r="AA24" s="365" t="s">
        <v>210</v>
      </c>
      <c r="AB24" s="1"/>
      <c r="AD24" s="367">
        <f>V3</f>
        <v>9</v>
      </c>
    </row>
    <row r="25" spans="1:30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  <c r="AA25" s="365" t="s">
        <v>216</v>
      </c>
      <c r="AD25" s="368">
        <f>P3</f>
        <v>125</v>
      </c>
    </row>
    <row r="26" spans="1:30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823.59999999999991</v>
      </c>
      <c r="Z26" s="1"/>
      <c r="AA26" s="365" t="s">
        <v>211</v>
      </c>
      <c r="AB26" s="1"/>
      <c r="AD26" s="367">
        <f>W3</f>
        <v>438.20000000000005</v>
      </c>
    </row>
    <row r="27" spans="1:30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539" t="s">
        <v>347</v>
      </c>
      <c r="Y27" s="540"/>
      <c r="Z27" s="1"/>
      <c r="AA27" s="369" t="s">
        <v>346</v>
      </c>
      <c r="AB27" s="354"/>
      <c r="AC27" s="539" t="s">
        <v>347</v>
      </c>
      <c r="AD27" s="540"/>
    </row>
    <row r="28" spans="1:30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30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30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13.6</v>
      </c>
      <c r="Z30" s="1"/>
    </row>
    <row r="31" spans="1:30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18</v>
      </c>
      <c r="Z31" s="1"/>
    </row>
    <row r="32" spans="1:30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S9</f>
        <v>244.79999999999998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8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377.79999999999995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6">
    <mergeCell ref="V20:Y20"/>
    <mergeCell ref="X27:Y27"/>
    <mergeCell ref="V29:Y29"/>
    <mergeCell ref="X36:Y36"/>
    <mergeCell ref="AA20:AD20"/>
    <mergeCell ref="AC27:AD27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D5E-1881-4D7A-B480-31EE645369CC}">
  <sheetPr>
    <tabColor rgb="FF92D050"/>
  </sheetPr>
  <dimension ref="A1:AA31"/>
  <sheetViews>
    <sheetView workbookViewId="0">
      <selection activeCell="R12" sqref="R12:U18"/>
    </sheetView>
  </sheetViews>
  <sheetFormatPr defaultRowHeight="15" x14ac:dyDescent="0.25"/>
  <cols>
    <col min="3" max="3" width="13" customWidth="1"/>
    <col min="4" max="4" width="20.28515625" customWidth="1"/>
    <col min="6" max="6" width="0" hidden="1" customWidth="1"/>
    <col min="7" max="7" width="10.7109375" hidden="1" customWidth="1"/>
    <col min="8" max="12" width="0" hidden="1" customWidth="1"/>
    <col min="18" max="18" width="14.85546875" customWidth="1"/>
    <col min="19" max="19" width="11.85546875" customWidth="1"/>
    <col min="20" max="20" width="10.140625" customWidth="1"/>
    <col min="21" max="21" width="18.140625" customWidth="1"/>
  </cols>
  <sheetData>
    <row r="1" spans="1:27" ht="21" x14ac:dyDescent="0.25">
      <c r="A1" s="15" t="s">
        <v>417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60"/>
      <c r="R1" s="60"/>
      <c r="S1" s="63"/>
      <c r="T1" s="63"/>
      <c r="U1" s="61"/>
      <c r="V1" s="209"/>
      <c r="W1" s="63"/>
      <c r="X1" s="210"/>
      <c r="Y1" s="63"/>
      <c r="Z1" s="60"/>
      <c r="AA1" s="211"/>
    </row>
    <row r="2" spans="1:27" ht="45" x14ac:dyDescent="0.25">
      <c r="A2" s="4" t="s">
        <v>13</v>
      </c>
      <c r="B2" s="4" t="s">
        <v>7</v>
      </c>
      <c r="C2" s="2" t="s">
        <v>2</v>
      </c>
      <c r="D2" s="4" t="s">
        <v>1</v>
      </c>
      <c r="E2" s="5" t="s">
        <v>20</v>
      </c>
      <c r="F2" s="4" t="s">
        <v>14</v>
      </c>
      <c r="G2" s="4" t="s">
        <v>15</v>
      </c>
      <c r="H2" s="4" t="s">
        <v>17</v>
      </c>
      <c r="I2" s="4" t="s">
        <v>16</v>
      </c>
      <c r="J2" s="4" t="s">
        <v>18</v>
      </c>
      <c r="K2" s="2" t="s">
        <v>24</v>
      </c>
      <c r="L2" s="2" t="s">
        <v>25</v>
      </c>
      <c r="M2" s="329" t="s">
        <v>233</v>
      </c>
      <c r="N2" s="331" t="s">
        <v>234</v>
      </c>
      <c r="O2" s="331"/>
      <c r="P2" s="329" t="s">
        <v>235</v>
      </c>
      <c r="Q2" s="37"/>
      <c r="R2" s="38" t="s">
        <v>29</v>
      </c>
      <c r="S2" s="44" t="s">
        <v>34</v>
      </c>
      <c r="T2" s="44" t="s">
        <v>291</v>
      </c>
      <c r="U2" s="42" t="s">
        <v>27</v>
      </c>
      <c r="V2" s="73" t="s">
        <v>39</v>
      </c>
      <c r="W2" s="44" t="s">
        <v>30</v>
      </c>
      <c r="X2" s="45" t="s">
        <v>36</v>
      </c>
      <c r="Y2" s="44" t="s">
        <v>31</v>
      </c>
      <c r="Z2" s="37" t="s">
        <v>32</v>
      </c>
      <c r="AA2" s="41" t="s">
        <v>33</v>
      </c>
    </row>
    <row r="3" spans="1:27" x14ac:dyDescent="0.25">
      <c r="A3" s="14">
        <v>14.275</v>
      </c>
      <c r="B3" s="14">
        <v>19</v>
      </c>
      <c r="C3" s="66" t="s">
        <v>0</v>
      </c>
      <c r="D3" s="16">
        <v>4.4999999999999998E-2</v>
      </c>
      <c r="E3" s="16">
        <f>A3*3.14</f>
        <v>44.823500000000003</v>
      </c>
      <c r="F3" s="17">
        <f>E3/D3</f>
        <v>996.0777777777779</v>
      </c>
      <c r="G3" s="16">
        <f>B3/10</f>
        <v>1.9</v>
      </c>
      <c r="H3" s="16">
        <v>3.25</v>
      </c>
      <c r="I3" s="19">
        <f>G3*F3/60</f>
        <v>31.542462962962965</v>
      </c>
      <c r="J3" s="20">
        <f>I3+H3</f>
        <v>34.792462962962965</v>
      </c>
      <c r="K3" s="68">
        <v>250</v>
      </c>
      <c r="L3" s="69">
        <f>K3/60</f>
        <v>4.166666666666667</v>
      </c>
      <c r="M3" s="18">
        <f>ROUNDUP(J3*L3,1)</f>
        <v>145</v>
      </c>
      <c r="N3" s="330">
        <v>2</v>
      </c>
      <c r="O3" s="330"/>
      <c r="P3" s="212">
        <f>M3*N3</f>
        <v>290</v>
      </c>
      <c r="Q3" s="56" t="s">
        <v>236</v>
      </c>
      <c r="R3" s="32">
        <v>1</v>
      </c>
      <c r="S3" s="496">
        <f>IF(T3&gt;Z3, T3,Z3)</f>
        <v>290</v>
      </c>
      <c r="T3" s="33">
        <f>P3*R3</f>
        <v>290</v>
      </c>
      <c r="U3" s="30">
        <v>125</v>
      </c>
      <c r="V3" s="79">
        <v>0.02</v>
      </c>
      <c r="W3" s="33">
        <f>S3+U3</f>
        <v>415</v>
      </c>
      <c r="X3" s="77">
        <f>ROUNDUP(W3*V3,0)</f>
        <v>9</v>
      </c>
      <c r="Y3" s="33">
        <f t="shared" ref="Y3" si="0">W3+X3</f>
        <v>424</v>
      </c>
      <c r="Z3" s="57">
        <v>250</v>
      </c>
      <c r="AA3" s="78">
        <f>ROUNDDOWN(Z3/M3,0)</f>
        <v>1</v>
      </c>
    </row>
    <row r="6" spans="1:27" ht="21" x14ac:dyDescent="0.25">
      <c r="A6" s="9" t="s">
        <v>418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93"/>
      <c r="P6" s="21"/>
      <c r="Q6" s="21"/>
      <c r="R6" s="22"/>
      <c r="S6" s="22"/>
      <c r="T6" s="22"/>
      <c r="U6" s="22"/>
      <c r="V6" s="22"/>
      <c r="W6" s="75"/>
      <c r="X6" s="22"/>
      <c r="Y6" s="22"/>
      <c r="Z6" s="88"/>
    </row>
    <row r="7" spans="1:27" ht="45" x14ac:dyDescent="0.25">
      <c r="A7" s="2" t="s">
        <v>23</v>
      </c>
      <c r="B7" s="2" t="s">
        <v>8</v>
      </c>
      <c r="C7" s="2" t="s">
        <v>7</v>
      </c>
      <c r="D7" s="2" t="s">
        <v>2</v>
      </c>
      <c r="E7" s="2" t="s">
        <v>1</v>
      </c>
      <c r="F7" s="2" t="s">
        <v>6</v>
      </c>
      <c r="G7" s="2" t="s">
        <v>3</v>
      </c>
      <c r="H7" s="2" t="s">
        <v>21</v>
      </c>
      <c r="I7" s="2" t="s">
        <v>9</v>
      </c>
      <c r="J7" s="2" t="s">
        <v>4</v>
      </c>
      <c r="K7" s="2" t="s">
        <v>10</v>
      </c>
      <c r="L7" s="322" t="s">
        <v>24</v>
      </c>
      <c r="M7" s="322" t="s">
        <v>25</v>
      </c>
      <c r="N7" s="329" t="s">
        <v>233</v>
      </c>
      <c r="O7" s="331" t="s">
        <v>234</v>
      </c>
      <c r="P7" s="195" t="s">
        <v>5</v>
      </c>
      <c r="Q7" s="34"/>
      <c r="R7" s="38" t="s">
        <v>29</v>
      </c>
      <c r="S7" s="37" t="s">
        <v>34</v>
      </c>
      <c r="T7" s="37" t="s">
        <v>420</v>
      </c>
      <c r="U7" s="37" t="s">
        <v>27</v>
      </c>
      <c r="V7" s="38" t="s">
        <v>39</v>
      </c>
      <c r="W7" s="38" t="s">
        <v>30</v>
      </c>
      <c r="X7" s="74" t="s">
        <v>36</v>
      </c>
      <c r="Y7" s="38" t="s">
        <v>31</v>
      </c>
      <c r="Z7" s="37" t="s">
        <v>32</v>
      </c>
      <c r="AA7" s="41" t="s">
        <v>33</v>
      </c>
    </row>
    <row r="8" spans="1:27" x14ac:dyDescent="0.25">
      <c r="A8" s="65">
        <v>3.21</v>
      </c>
      <c r="B8" s="65">
        <v>1.46</v>
      </c>
      <c r="C8" s="65">
        <v>144</v>
      </c>
      <c r="D8" s="66" t="s">
        <v>0</v>
      </c>
      <c r="E8" s="66">
        <v>4.4999999999999998E-2</v>
      </c>
      <c r="F8" s="66">
        <f>(A8+B8)*C8</f>
        <v>672.48</v>
      </c>
      <c r="G8" s="66">
        <f>(A8+B8)/E8</f>
        <v>103.77777777777779</v>
      </c>
      <c r="H8" s="66">
        <f t="shared" ref="H8" si="1">C8/10</f>
        <v>14.4</v>
      </c>
      <c r="I8" s="66">
        <v>2.5</v>
      </c>
      <c r="J8" s="67">
        <f t="shared" ref="J8" si="2">H8*G8/60</f>
        <v>24.90666666666667</v>
      </c>
      <c r="K8" s="67">
        <f>J8+I8</f>
        <v>27.40666666666667</v>
      </c>
      <c r="L8" s="68">
        <v>225</v>
      </c>
      <c r="M8" s="69">
        <f>L8/60</f>
        <v>3.75</v>
      </c>
      <c r="N8" s="18">
        <f>ROUNDUP(K8*M8,1)</f>
        <v>102.8</v>
      </c>
      <c r="O8" s="330">
        <v>2</v>
      </c>
      <c r="P8" s="70">
        <f>ROUNDUP(N8*O8,1)</f>
        <v>205.6</v>
      </c>
      <c r="Q8" s="23" t="s">
        <v>419</v>
      </c>
      <c r="R8" s="32">
        <v>12</v>
      </c>
      <c r="S8" s="33">
        <f>IF(T8&gt;Z8,T8,Z8)</f>
        <v>2467.1999999999998</v>
      </c>
      <c r="T8" s="33">
        <f>P8*R8</f>
        <v>2467.1999999999998</v>
      </c>
      <c r="U8" s="30">
        <v>150</v>
      </c>
      <c r="V8" s="79">
        <v>0.02</v>
      </c>
      <c r="W8" s="33">
        <f>S8+U8</f>
        <v>2617.1999999999998</v>
      </c>
      <c r="X8" s="77">
        <f>ROUNDUP(W8*V8,0)</f>
        <v>53</v>
      </c>
      <c r="Y8" s="33">
        <f>W8+X8</f>
        <v>2670.2</v>
      </c>
      <c r="Z8" s="57">
        <v>250</v>
      </c>
      <c r="AA8" s="78">
        <f>ROUNDDOWN(Z8/P8,0)</f>
        <v>1</v>
      </c>
    </row>
    <row r="11" spans="1:27" ht="24" thickBot="1" x14ac:dyDescent="0.4">
      <c r="R11" s="541" t="s">
        <v>427</v>
      </c>
      <c r="S11" s="541"/>
      <c r="T11" s="541"/>
      <c r="U11" s="541"/>
    </row>
    <row r="12" spans="1:27" ht="16.5" thickTop="1" x14ac:dyDescent="0.25">
      <c r="R12" s="362" t="s">
        <v>207</v>
      </c>
      <c r="S12" s="363"/>
      <c r="T12" s="352"/>
      <c r="U12" s="364">
        <f>P8</f>
        <v>205.6</v>
      </c>
    </row>
    <row r="13" spans="1:27" ht="15.75" x14ac:dyDescent="0.25">
      <c r="R13" s="365" t="s">
        <v>208</v>
      </c>
      <c r="S13" s="1"/>
      <c r="U13" s="366">
        <f>R8</f>
        <v>12</v>
      </c>
    </row>
    <row r="14" spans="1:27" ht="15.75" x14ac:dyDescent="0.25">
      <c r="R14" s="365" t="s">
        <v>209</v>
      </c>
      <c r="S14" s="1"/>
      <c r="U14" s="367">
        <f>S8</f>
        <v>2467.1999999999998</v>
      </c>
    </row>
    <row r="15" spans="1:27" ht="15.75" x14ac:dyDescent="0.25">
      <c r="R15" s="365" t="s">
        <v>210</v>
      </c>
      <c r="S15" s="1"/>
      <c r="U15" s="367">
        <f>X8</f>
        <v>53</v>
      </c>
    </row>
    <row r="16" spans="1:27" ht="15.75" x14ac:dyDescent="0.25">
      <c r="R16" s="365" t="s">
        <v>216</v>
      </c>
      <c r="U16" s="368">
        <f>U8</f>
        <v>150</v>
      </c>
    </row>
    <row r="17" spans="1:21" ht="15.75" x14ac:dyDescent="0.25">
      <c r="R17" s="365" t="s">
        <v>211</v>
      </c>
      <c r="S17" s="1"/>
      <c r="U17" s="367">
        <f>Y8</f>
        <v>2670.2</v>
      </c>
    </row>
    <row r="18" spans="1:21" ht="16.5" thickBot="1" x14ac:dyDescent="0.3">
      <c r="R18" s="369" t="s">
        <v>346</v>
      </c>
      <c r="S18" s="354"/>
      <c r="T18" s="539" t="s">
        <v>347</v>
      </c>
      <c r="U18" s="540"/>
    </row>
    <row r="19" spans="1:21" ht="15.75" thickTop="1" x14ac:dyDescent="0.25">
      <c r="T19" s="1"/>
      <c r="U19" s="1"/>
    </row>
    <row r="20" spans="1:21" ht="24" thickBot="1" x14ac:dyDescent="0.4">
      <c r="R20" s="541" t="s">
        <v>428</v>
      </c>
      <c r="S20" s="541"/>
      <c r="T20" s="541"/>
      <c r="U20" s="541"/>
    </row>
    <row r="21" spans="1:21" ht="16.5" thickTop="1" x14ac:dyDescent="0.25">
      <c r="R21" s="362" t="s">
        <v>207</v>
      </c>
      <c r="S21" s="363"/>
      <c r="T21" s="352"/>
      <c r="U21" s="364">
        <f>P3</f>
        <v>290</v>
      </c>
    </row>
    <row r="22" spans="1:21" ht="15.75" x14ac:dyDescent="0.25">
      <c r="R22" s="365" t="s">
        <v>208</v>
      </c>
      <c r="S22" s="1"/>
      <c r="U22" s="366">
        <f>R3</f>
        <v>1</v>
      </c>
    </row>
    <row r="23" spans="1:21" ht="24" thickBot="1" x14ac:dyDescent="0.4">
      <c r="A23" s="541" t="s">
        <v>427</v>
      </c>
      <c r="B23" s="541"/>
      <c r="C23" s="541"/>
      <c r="D23" s="541"/>
      <c r="R23" s="365" t="s">
        <v>209</v>
      </c>
      <c r="S23" s="1"/>
      <c r="U23" s="497">
        <f>S3</f>
        <v>290</v>
      </c>
    </row>
    <row r="24" spans="1:21" ht="16.5" thickTop="1" x14ac:dyDescent="0.25">
      <c r="A24" s="362" t="s">
        <v>207</v>
      </c>
      <c r="B24" s="363"/>
      <c r="C24" s="352"/>
      <c r="D24" s="364">
        <v>132.19999999999999</v>
      </c>
      <c r="F24" t="s">
        <v>429</v>
      </c>
      <c r="G24" s="97">
        <f>D26+D28</f>
        <v>3851.5999999999995</v>
      </c>
      <c r="R24" s="365" t="s">
        <v>210</v>
      </c>
      <c r="S24" s="1"/>
      <c r="U24" s="367">
        <f>X3</f>
        <v>9</v>
      </c>
    </row>
    <row r="25" spans="1:21" ht="15.75" x14ac:dyDescent="0.25">
      <c r="A25" s="365" t="s">
        <v>208</v>
      </c>
      <c r="B25" s="1"/>
      <c r="D25" s="366">
        <v>28</v>
      </c>
      <c r="R25" s="365" t="s">
        <v>216</v>
      </c>
      <c r="U25" s="368">
        <f>U3</f>
        <v>125</v>
      </c>
    </row>
    <row r="26" spans="1:21" ht="15.75" x14ac:dyDescent="0.25">
      <c r="A26" s="365" t="s">
        <v>209</v>
      </c>
      <c r="B26" s="1"/>
      <c r="D26" s="367">
        <f>D24*D25</f>
        <v>3701.5999999999995</v>
      </c>
      <c r="R26" s="365" t="s">
        <v>211</v>
      </c>
      <c r="S26" s="1"/>
      <c r="U26" s="367">
        <f>Y3</f>
        <v>424</v>
      </c>
    </row>
    <row r="27" spans="1:21" ht="16.5" thickBot="1" x14ac:dyDescent="0.3">
      <c r="A27" s="365" t="s">
        <v>210</v>
      </c>
      <c r="B27" s="1"/>
      <c r="D27" s="367">
        <f>ROUNDUP(G24*V3,0)</f>
        <v>78</v>
      </c>
      <c r="R27" s="369" t="s">
        <v>346</v>
      </c>
      <c r="S27" s="354"/>
      <c r="T27" s="539" t="s">
        <v>347</v>
      </c>
      <c r="U27" s="540"/>
    </row>
    <row r="28" spans="1:21" ht="16.5" thickTop="1" x14ac:dyDescent="0.25">
      <c r="A28" s="365" t="s">
        <v>216</v>
      </c>
      <c r="D28" s="368">
        <v>150</v>
      </c>
    </row>
    <row r="29" spans="1:21" ht="15.75" x14ac:dyDescent="0.25">
      <c r="A29" s="365" t="s">
        <v>211</v>
      </c>
      <c r="B29" s="1"/>
      <c r="D29" s="367">
        <f>G24+D27</f>
        <v>3929.5999999999995</v>
      </c>
    </row>
    <row r="30" spans="1:21" ht="16.5" thickBot="1" x14ac:dyDescent="0.3">
      <c r="A30" s="369" t="s">
        <v>346</v>
      </c>
      <c r="B30" s="354"/>
      <c r="C30" s="539" t="s">
        <v>347</v>
      </c>
      <c r="D30" s="540"/>
    </row>
    <row r="31" spans="1:21" ht="15.75" thickTop="1" x14ac:dyDescent="0.25"/>
  </sheetData>
  <mergeCells count="6">
    <mergeCell ref="C30:D30"/>
    <mergeCell ref="R11:U11"/>
    <mergeCell ref="T18:U18"/>
    <mergeCell ref="R20:U20"/>
    <mergeCell ref="A23:D23"/>
    <mergeCell ref="T27:U27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06E1-036B-4B7A-8A53-61D7653AF43B}">
  <sheetPr>
    <tabColor rgb="FF00B0F0"/>
  </sheetPr>
  <dimension ref="A2:Z54"/>
  <sheetViews>
    <sheetView zoomScale="85" zoomScaleNormal="85" workbookViewId="0">
      <selection activeCell="C5" sqref="C5"/>
    </sheetView>
  </sheetViews>
  <sheetFormatPr defaultRowHeight="15" x14ac:dyDescent="0.25"/>
  <cols>
    <col min="1" max="1" width="14.7109375" customWidth="1"/>
    <col min="2" max="2" width="13.7109375" customWidth="1"/>
    <col min="4" max="4" width="28.7109375" customWidth="1"/>
    <col min="5" max="6" width="9.140625" customWidth="1"/>
    <col min="7" max="7" width="21" customWidth="1"/>
    <col min="8" max="12" width="9.140625" customWidth="1"/>
    <col min="13" max="13" width="13.42578125" customWidth="1"/>
    <col min="14" max="14" width="13.28515625" customWidth="1"/>
    <col min="15" max="15" width="15.28515625" customWidth="1"/>
    <col min="16" max="16" width="11.28515625" bestFit="1" customWidth="1"/>
    <col min="17" max="17" width="16.42578125" customWidth="1"/>
    <col min="19" max="19" width="14.28515625" customWidth="1"/>
    <col min="20" max="20" width="23" customWidth="1"/>
    <col min="21" max="21" width="12" customWidth="1"/>
    <col min="22" max="22" width="12" bestFit="1" customWidth="1"/>
    <col min="23" max="23" width="10.85546875" bestFit="1" customWidth="1"/>
    <col min="24" max="24" width="13.7109375" bestFit="1" customWidth="1"/>
    <col min="26" max="26" width="11.140625" customWidth="1"/>
  </cols>
  <sheetData>
    <row r="2" spans="1:26" ht="21" x14ac:dyDescent="0.25">
      <c r="A2" s="458" t="s">
        <v>164</v>
      </c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6"/>
      <c r="P2" s="456"/>
      <c r="Q2" s="459"/>
      <c r="R2" s="459"/>
      <c r="S2" s="457"/>
      <c r="T2" s="22"/>
      <c r="U2" s="22"/>
      <c r="V2" s="22"/>
      <c r="W2" s="75"/>
      <c r="X2" s="22"/>
      <c r="Y2" s="22"/>
      <c r="Z2" s="22"/>
    </row>
    <row r="3" spans="1:26" ht="45" x14ac:dyDescent="0.25">
      <c r="A3" s="2" t="s">
        <v>23</v>
      </c>
      <c r="B3" s="2" t="s">
        <v>8</v>
      </c>
      <c r="C3" s="2" t="s">
        <v>7</v>
      </c>
      <c r="D3" s="2" t="s">
        <v>2</v>
      </c>
      <c r="E3" s="2" t="s">
        <v>1</v>
      </c>
      <c r="F3" s="2" t="s">
        <v>6</v>
      </c>
      <c r="G3" s="2" t="s">
        <v>3</v>
      </c>
      <c r="H3" s="2" t="s">
        <v>21</v>
      </c>
      <c r="I3" s="2" t="s">
        <v>9</v>
      </c>
      <c r="J3" s="2" t="s">
        <v>4</v>
      </c>
      <c r="K3" s="2" t="s">
        <v>10</v>
      </c>
      <c r="L3" s="2" t="s">
        <v>24</v>
      </c>
      <c r="M3" s="2" t="s">
        <v>25</v>
      </c>
      <c r="N3" s="195" t="s">
        <v>145</v>
      </c>
      <c r="O3" s="196" t="s">
        <v>144</v>
      </c>
      <c r="P3" s="451" t="s">
        <v>146</v>
      </c>
      <c r="Q3" s="194"/>
      <c r="R3" s="38" t="s">
        <v>29</v>
      </c>
      <c r="S3" s="37" t="s">
        <v>34</v>
      </c>
      <c r="T3" s="37" t="s">
        <v>27</v>
      </c>
      <c r="U3" s="38" t="s">
        <v>39</v>
      </c>
      <c r="V3" s="38" t="s">
        <v>30</v>
      </c>
      <c r="W3" s="74" t="s">
        <v>36</v>
      </c>
      <c r="X3" s="38" t="s">
        <v>31</v>
      </c>
      <c r="Y3" s="37" t="s">
        <v>32</v>
      </c>
      <c r="Z3" s="41" t="s">
        <v>33</v>
      </c>
    </row>
    <row r="4" spans="1:26" x14ac:dyDescent="0.25">
      <c r="A4" s="65">
        <v>3.5</v>
      </c>
      <c r="B4" s="65">
        <v>60</v>
      </c>
      <c r="C4" s="65">
        <v>240</v>
      </c>
      <c r="D4" s="66" t="s">
        <v>0</v>
      </c>
      <c r="E4" s="66">
        <v>7.4999999999999997E-2</v>
      </c>
      <c r="F4" s="7">
        <f>(A4+B4)*C4</f>
        <v>15240</v>
      </c>
      <c r="G4" s="7">
        <f>(A4+B4)/E4</f>
        <v>846.66666666666674</v>
      </c>
      <c r="H4" s="7">
        <f t="shared" ref="H4" si="0">C4/10</f>
        <v>24</v>
      </c>
      <c r="I4" s="66">
        <v>4</v>
      </c>
      <c r="J4" s="67">
        <f t="shared" ref="J4" si="1">H4*G4/60</f>
        <v>338.66666666666669</v>
      </c>
      <c r="K4" s="67">
        <f>J4+I4</f>
        <v>342.66666666666669</v>
      </c>
      <c r="L4" s="68">
        <v>225</v>
      </c>
      <c r="M4" s="69">
        <f>L4/60</f>
        <v>3.75</v>
      </c>
      <c r="N4" s="70">
        <f>ROUNDUP(K4*M4,1)</f>
        <v>1285</v>
      </c>
      <c r="O4" s="197">
        <f>ROUNDUP(G41,1)</f>
        <v>2213.1999999999998</v>
      </c>
      <c r="P4" s="450">
        <f>IF(N4&gt;O4, N4, O4)</f>
        <v>2213.1999999999998</v>
      </c>
      <c r="Q4" s="23" t="s">
        <v>166</v>
      </c>
      <c r="R4" s="32">
        <v>1</v>
      </c>
      <c r="S4" s="33">
        <f>P4*R4</f>
        <v>2213.1999999999998</v>
      </c>
      <c r="T4" s="30">
        <v>0</v>
      </c>
      <c r="U4" s="79">
        <v>0.02</v>
      </c>
      <c r="V4" s="33">
        <f>S4+T4</f>
        <v>2213.1999999999998</v>
      </c>
      <c r="W4" s="77">
        <f>ROUNDUP(V4*U4,0)</f>
        <v>45</v>
      </c>
      <c r="X4" s="33">
        <f>V4+W4</f>
        <v>2258.1999999999998</v>
      </c>
      <c r="Y4" s="57">
        <v>225</v>
      </c>
      <c r="Z4" s="78">
        <f>ROUNDDOWN(Y4/N4,0)</f>
        <v>0</v>
      </c>
    </row>
    <row r="5" spans="1:26" ht="18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Q5" s="24"/>
      <c r="R5" s="21"/>
      <c r="S5" s="27"/>
      <c r="T5" s="28"/>
      <c r="U5" s="72"/>
      <c r="V5" s="27"/>
      <c r="W5" s="76"/>
      <c r="X5" s="27"/>
      <c r="Y5" s="25"/>
      <c r="Z5" s="26"/>
    </row>
    <row r="6" spans="1:26" ht="21" x14ac:dyDescent="0.25">
      <c r="A6" s="458" t="s">
        <v>165</v>
      </c>
      <c r="B6" s="455"/>
      <c r="C6" s="455"/>
      <c r="D6" s="455"/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6"/>
      <c r="P6" s="456"/>
      <c r="Q6" s="459"/>
      <c r="R6" s="459"/>
      <c r="S6" s="457"/>
      <c r="T6" s="22"/>
      <c r="U6" s="22"/>
      <c r="V6" s="22"/>
      <c r="W6" s="75"/>
      <c r="X6" s="22"/>
      <c r="Y6" s="22"/>
      <c r="Z6" s="22"/>
    </row>
    <row r="7" spans="1:26" ht="45" x14ac:dyDescent="0.25">
      <c r="A7" s="2" t="s">
        <v>23</v>
      </c>
      <c r="B7" s="2" t="s">
        <v>8</v>
      </c>
      <c r="C7" s="2" t="s">
        <v>7</v>
      </c>
      <c r="D7" s="2" t="s">
        <v>2</v>
      </c>
      <c r="E7" s="2" t="s">
        <v>1</v>
      </c>
      <c r="F7" s="2" t="s">
        <v>6</v>
      </c>
      <c r="G7" s="2" t="s">
        <v>3</v>
      </c>
      <c r="H7" s="2" t="s">
        <v>21</v>
      </c>
      <c r="I7" s="2" t="s">
        <v>9</v>
      </c>
      <c r="J7" s="2" t="s">
        <v>4</v>
      </c>
      <c r="K7" s="2" t="s">
        <v>10</v>
      </c>
      <c r="L7" s="2" t="s">
        <v>24</v>
      </c>
      <c r="M7" s="2" t="s">
        <v>25</v>
      </c>
      <c r="N7" s="195" t="s">
        <v>145</v>
      </c>
      <c r="O7" s="196" t="s">
        <v>144</v>
      </c>
      <c r="P7" s="451" t="s">
        <v>146</v>
      </c>
      <c r="Q7" s="194"/>
      <c r="R7" s="38" t="s">
        <v>29</v>
      </c>
      <c r="S7" s="37" t="s">
        <v>34</v>
      </c>
      <c r="T7" s="37" t="s">
        <v>27</v>
      </c>
      <c r="U7" s="38" t="s">
        <v>39</v>
      </c>
      <c r="V7" s="38" t="s">
        <v>30</v>
      </c>
      <c r="W7" s="74" t="s">
        <v>36</v>
      </c>
      <c r="X7" s="38" t="s">
        <v>31</v>
      </c>
      <c r="Y7" s="37" t="s">
        <v>32</v>
      </c>
      <c r="Z7" s="41" t="s">
        <v>33</v>
      </c>
    </row>
    <row r="8" spans="1:26" x14ac:dyDescent="0.25">
      <c r="A8" s="65">
        <v>8</v>
      </c>
      <c r="B8" s="65">
        <v>18.600000000000001</v>
      </c>
      <c r="C8" s="65">
        <v>65.5</v>
      </c>
      <c r="D8" s="66" t="s">
        <v>0</v>
      </c>
      <c r="E8" s="66">
        <v>0.06</v>
      </c>
      <c r="F8" s="7">
        <f>(A8+B8)*C8</f>
        <v>1742.3000000000002</v>
      </c>
      <c r="G8" s="7">
        <f>(A8+B8)/E8</f>
        <v>443.33333333333337</v>
      </c>
      <c r="H8" s="7">
        <f t="shared" ref="H8" si="2">C8/10</f>
        <v>6.55</v>
      </c>
      <c r="I8" s="66">
        <v>4</v>
      </c>
      <c r="J8" s="67">
        <f t="shared" ref="J8" si="3">H8*G8/60</f>
        <v>48.397222222222226</v>
      </c>
      <c r="K8" s="67">
        <f>J8+I8</f>
        <v>52.397222222222226</v>
      </c>
      <c r="L8" s="68">
        <v>225</v>
      </c>
      <c r="M8" s="69">
        <f>L8/60</f>
        <v>3.75</v>
      </c>
      <c r="N8" s="70">
        <f>ROUNDUP(K8*M8,1)</f>
        <v>196.5</v>
      </c>
      <c r="O8" s="197">
        <f>ROUNDUP(G42,1)</f>
        <v>489.20000000000005</v>
      </c>
      <c r="P8" s="450">
        <f>IF(N8&gt;O8, N8, O8)</f>
        <v>489.20000000000005</v>
      </c>
      <c r="Q8" s="23" t="s">
        <v>167</v>
      </c>
      <c r="R8" s="32">
        <v>1</v>
      </c>
      <c r="S8" s="33">
        <f>P8*R8</f>
        <v>489.20000000000005</v>
      </c>
      <c r="T8" s="30">
        <v>0</v>
      </c>
      <c r="U8" s="79">
        <v>0.02</v>
      </c>
      <c r="V8" s="33">
        <f>S8+T8</f>
        <v>489.20000000000005</v>
      </c>
      <c r="W8" s="77">
        <f>ROUNDUP(V8*U8,0)</f>
        <v>10</v>
      </c>
      <c r="X8" s="33">
        <f>V8+W8</f>
        <v>499.20000000000005</v>
      </c>
      <c r="Y8" s="57">
        <v>225</v>
      </c>
      <c r="Z8" s="78">
        <f>ROUNDDOWN(Y8/N8,0)</f>
        <v>1</v>
      </c>
    </row>
    <row r="10" spans="1:26" ht="21" x14ac:dyDescent="0.25">
      <c r="B10" s="452" t="s">
        <v>361</v>
      </c>
      <c r="C10" s="453"/>
      <c r="D10" s="453"/>
      <c r="E10" s="453"/>
      <c r="F10" s="453"/>
      <c r="G10" s="453"/>
      <c r="H10" s="453"/>
      <c r="I10" s="453"/>
      <c r="J10" s="453"/>
      <c r="K10" s="453"/>
      <c r="L10" s="453"/>
      <c r="M10" s="453"/>
      <c r="N10" s="453"/>
      <c r="O10" s="453"/>
      <c r="P10" s="453"/>
      <c r="Q10" s="454"/>
      <c r="R10" s="454"/>
      <c r="S10" s="63"/>
      <c r="T10" s="61"/>
      <c r="U10" s="209"/>
      <c r="V10" s="63"/>
      <c r="W10" s="210"/>
      <c r="X10" s="63"/>
      <c r="Y10" s="60"/>
      <c r="Z10" s="211"/>
    </row>
    <row r="11" spans="1:26" ht="45" x14ac:dyDescent="0.25">
      <c r="B11" s="4" t="s">
        <v>13</v>
      </c>
      <c r="C11" s="4" t="s">
        <v>7</v>
      </c>
      <c r="D11" s="2" t="s">
        <v>2</v>
      </c>
      <c r="E11" s="4" t="s">
        <v>1</v>
      </c>
      <c r="F11" s="5" t="s">
        <v>20</v>
      </c>
      <c r="G11" s="4" t="s">
        <v>14</v>
      </c>
      <c r="H11" s="4" t="s">
        <v>15</v>
      </c>
      <c r="I11" s="4" t="s">
        <v>17</v>
      </c>
      <c r="J11" s="4" t="s">
        <v>16</v>
      </c>
      <c r="K11" s="4" t="s">
        <v>18</v>
      </c>
      <c r="L11" s="2" t="s">
        <v>24</v>
      </c>
      <c r="M11" s="2" t="s">
        <v>25</v>
      </c>
      <c r="N11" s="195" t="s">
        <v>145</v>
      </c>
      <c r="O11" s="196" t="s">
        <v>144</v>
      </c>
      <c r="P11" s="6" t="s">
        <v>19</v>
      </c>
      <c r="Q11" s="4"/>
      <c r="R11" s="38" t="s">
        <v>29</v>
      </c>
      <c r="S11" s="44" t="s">
        <v>34</v>
      </c>
      <c r="T11" s="42" t="s">
        <v>27</v>
      </c>
      <c r="U11" s="73" t="s">
        <v>39</v>
      </c>
      <c r="V11" s="44" t="s">
        <v>30</v>
      </c>
      <c r="W11" s="45" t="s">
        <v>36</v>
      </c>
      <c r="X11" s="44" t="s">
        <v>31</v>
      </c>
      <c r="Y11" s="37" t="s">
        <v>32</v>
      </c>
      <c r="Z11" s="41" t="s">
        <v>33</v>
      </c>
    </row>
    <row r="12" spans="1:26" x14ac:dyDescent="0.25">
      <c r="B12" s="14">
        <v>0.75</v>
      </c>
      <c r="C12" s="14">
        <v>144</v>
      </c>
      <c r="D12" s="66" t="s">
        <v>0</v>
      </c>
      <c r="E12" s="16">
        <v>0.105</v>
      </c>
      <c r="F12" s="16">
        <f>B12*3.14</f>
        <v>2.355</v>
      </c>
      <c r="G12" s="17">
        <f>F12/E12</f>
        <v>22.428571428571431</v>
      </c>
      <c r="H12" s="16">
        <f>C12/10</f>
        <v>14.4</v>
      </c>
      <c r="I12" s="16">
        <v>4</v>
      </c>
      <c r="J12" s="19">
        <f>H12*G12/60</f>
        <v>5.3828571428571435</v>
      </c>
      <c r="K12" s="20">
        <f>J12+I12</f>
        <v>9.3828571428571443</v>
      </c>
      <c r="L12" s="68">
        <v>225</v>
      </c>
      <c r="M12" s="69">
        <f>L12/60</f>
        <v>3.75</v>
      </c>
      <c r="N12" s="70">
        <f>ROUNDUP(K12*M12,1)</f>
        <v>35.200000000000003</v>
      </c>
      <c r="O12" s="449">
        <f>L51</f>
        <v>2.58</v>
      </c>
      <c r="P12" s="450">
        <f>IF(N12&gt;O12, N12, O12)</f>
        <v>35.200000000000003</v>
      </c>
      <c r="Q12" s="448"/>
      <c r="R12" s="32">
        <v>25</v>
      </c>
      <c r="S12" s="33">
        <f>P12*R12</f>
        <v>880.00000000000011</v>
      </c>
      <c r="T12" s="30">
        <v>0</v>
      </c>
      <c r="U12" s="79">
        <v>0.02</v>
      </c>
      <c r="V12" s="33">
        <f>S12+T12</f>
        <v>880.00000000000011</v>
      </c>
      <c r="W12" s="77">
        <f>ROUNDUP(V12*U12,0)</f>
        <v>18</v>
      </c>
      <c r="X12" s="33">
        <f t="shared" ref="X12" si="4">V12+W12</f>
        <v>898.00000000000011</v>
      </c>
      <c r="Y12" s="57">
        <v>225</v>
      </c>
      <c r="Z12" s="78">
        <f>ROUNDDOWN(Y12/P12,0)</f>
        <v>6</v>
      </c>
    </row>
    <row r="14" spans="1:26" ht="21" x14ac:dyDescent="0.25">
      <c r="A14" s="220" t="s">
        <v>168</v>
      </c>
      <c r="B14" s="217"/>
      <c r="C14" s="217"/>
      <c r="D14" s="217"/>
      <c r="E14" s="217"/>
      <c r="F14" s="217"/>
      <c r="G14" s="217"/>
      <c r="H14" s="217"/>
      <c r="I14" s="217"/>
      <c r="J14" s="10"/>
      <c r="K14" s="10"/>
      <c r="L14" s="10"/>
      <c r="M14" s="10"/>
      <c r="N14" s="10"/>
      <c r="O14" s="193"/>
      <c r="P14" s="193"/>
      <c r="Q14" s="21"/>
      <c r="R14" s="21"/>
      <c r="S14" s="22"/>
      <c r="T14" s="22"/>
      <c r="U14" s="22"/>
      <c r="V14" s="22"/>
      <c r="W14" s="75"/>
      <c r="X14" s="22"/>
      <c r="Y14" s="22"/>
      <c r="Z14" s="22"/>
    </row>
    <row r="15" spans="1:26" ht="45" x14ac:dyDescent="0.25">
      <c r="A15" s="2" t="s">
        <v>23</v>
      </c>
      <c r="B15" s="2" t="s">
        <v>8</v>
      </c>
      <c r="C15" s="2" t="s">
        <v>7</v>
      </c>
      <c r="D15" s="2" t="s">
        <v>2</v>
      </c>
      <c r="E15" s="2" t="s">
        <v>1</v>
      </c>
      <c r="F15" s="2" t="s">
        <v>6</v>
      </c>
      <c r="G15" s="2" t="s">
        <v>3</v>
      </c>
      <c r="H15" s="2" t="s">
        <v>21</v>
      </c>
      <c r="I15" s="2" t="s">
        <v>9</v>
      </c>
      <c r="J15" s="2" t="s">
        <v>4</v>
      </c>
      <c r="K15" s="2" t="s">
        <v>10</v>
      </c>
      <c r="L15" s="2" t="s">
        <v>24</v>
      </c>
      <c r="M15" s="2" t="s">
        <v>25</v>
      </c>
      <c r="N15" s="195" t="s">
        <v>145</v>
      </c>
      <c r="O15" s="196" t="s">
        <v>144</v>
      </c>
      <c r="P15" s="451" t="s">
        <v>146</v>
      </c>
      <c r="Q15" s="194"/>
      <c r="R15" s="38" t="s">
        <v>29</v>
      </c>
      <c r="S15" s="37" t="s">
        <v>34</v>
      </c>
      <c r="T15" s="37" t="s">
        <v>27</v>
      </c>
      <c r="U15" s="38" t="s">
        <v>39</v>
      </c>
      <c r="V15" s="38" t="s">
        <v>30</v>
      </c>
      <c r="W15" s="74" t="s">
        <v>36</v>
      </c>
      <c r="X15" s="38" t="s">
        <v>31</v>
      </c>
      <c r="Y15" s="37" t="s">
        <v>32</v>
      </c>
      <c r="Z15" s="41" t="s">
        <v>33</v>
      </c>
    </row>
    <row r="16" spans="1:26" x14ac:dyDescent="0.25">
      <c r="A16" s="65">
        <v>10</v>
      </c>
      <c r="B16" s="65">
        <v>7</v>
      </c>
      <c r="C16" s="65">
        <v>138</v>
      </c>
      <c r="D16" s="66" t="s">
        <v>0</v>
      </c>
      <c r="E16" s="66">
        <v>7.4999999999999997E-2</v>
      </c>
      <c r="F16" s="7">
        <f>(A16+B16)*C16</f>
        <v>2346</v>
      </c>
      <c r="G16" s="7">
        <f>(A16+B16)/E16</f>
        <v>226.66666666666669</v>
      </c>
      <c r="H16" s="7">
        <f t="shared" ref="H16" si="5">C16/10</f>
        <v>13.8</v>
      </c>
      <c r="I16" s="66">
        <v>4</v>
      </c>
      <c r="J16" s="67">
        <f t="shared" ref="J16" si="6">H16*G16/60</f>
        <v>52.13333333333334</v>
      </c>
      <c r="K16" s="67">
        <f>J16+I16</f>
        <v>56.13333333333334</v>
      </c>
      <c r="L16" s="68">
        <v>225</v>
      </c>
      <c r="M16" s="69">
        <f>L16/60</f>
        <v>3.75</v>
      </c>
      <c r="N16" s="70">
        <f>ROUNDUP(K16*M16,1)</f>
        <v>210.5</v>
      </c>
      <c r="O16" s="197">
        <f>W41</f>
        <v>426.3</v>
      </c>
      <c r="P16" s="450">
        <f>IF(N16&gt;O16, N16, O16)</f>
        <v>426.3</v>
      </c>
      <c r="Q16" s="23" t="s">
        <v>166</v>
      </c>
      <c r="R16" s="32">
        <v>75</v>
      </c>
      <c r="S16" s="33">
        <f>P16*R16</f>
        <v>31972.5</v>
      </c>
      <c r="T16" s="30">
        <v>0</v>
      </c>
      <c r="U16" s="79">
        <v>0.02</v>
      </c>
      <c r="V16" s="33">
        <f>S16+T16</f>
        <v>31972.5</v>
      </c>
      <c r="W16" s="77">
        <f>ROUNDUP(V16*U16,0)</f>
        <v>640</v>
      </c>
      <c r="X16" s="33">
        <f>V16+W16</f>
        <v>32612.5</v>
      </c>
      <c r="Y16" s="57">
        <v>225</v>
      </c>
      <c r="Z16" s="78">
        <f>ROUNDDOWN(Y16/N16,0)</f>
        <v>1</v>
      </c>
    </row>
    <row r="17" spans="1:26" ht="18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Q17" s="24"/>
      <c r="R17" s="21"/>
      <c r="S17" s="27"/>
      <c r="T17" s="28"/>
      <c r="U17" s="72"/>
      <c r="V17" s="27"/>
      <c r="W17" s="76"/>
      <c r="X17" s="27"/>
      <c r="Y17" s="25"/>
      <c r="Z17" s="26"/>
    </row>
    <row r="18" spans="1:26" ht="21" x14ac:dyDescent="0.25">
      <c r="A18" s="220" t="s">
        <v>169</v>
      </c>
      <c r="B18" s="217"/>
      <c r="C18" s="217"/>
      <c r="D18" s="217"/>
      <c r="E18" s="217"/>
      <c r="F18" s="217"/>
      <c r="G18" s="217"/>
      <c r="H18" s="217"/>
      <c r="I18" s="217"/>
      <c r="J18" s="10"/>
      <c r="K18" s="10"/>
      <c r="L18" s="10"/>
      <c r="M18" s="10"/>
      <c r="N18" s="10"/>
      <c r="O18" s="193"/>
      <c r="P18" s="193"/>
      <c r="Q18" s="21"/>
      <c r="R18" s="21"/>
      <c r="S18" s="22"/>
      <c r="T18" s="22"/>
      <c r="U18" s="22"/>
      <c r="V18" s="22"/>
      <c r="W18" s="75"/>
      <c r="X18" s="22"/>
      <c r="Y18" s="22"/>
      <c r="Z18" s="22"/>
    </row>
    <row r="19" spans="1:26" ht="45" x14ac:dyDescent="0.25">
      <c r="A19" s="2" t="s">
        <v>23</v>
      </c>
      <c r="B19" s="2" t="s">
        <v>8</v>
      </c>
      <c r="C19" s="2" t="s">
        <v>7</v>
      </c>
      <c r="D19" s="2" t="s">
        <v>2</v>
      </c>
      <c r="E19" s="2" t="s">
        <v>1</v>
      </c>
      <c r="F19" s="2" t="s">
        <v>6</v>
      </c>
      <c r="G19" s="2" t="s">
        <v>3</v>
      </c>
      <c r="H19" s="2" t="s">
        <v>21</v>
      </c>
      <c r="I19" s="2" t="s">
        <v>9</v>
      </c>
      <c r="J19" s="2" t="s">
        <v>4</v>
      </c>
      <c r="K19" s="2" t="s">
        <v>10</v>
      </c>
      <c r="L19" s="2" t="s">
        <v>24</v>
      </c>
      <c r="M19" s="2" t="s">
        <v>25</v>
      </c>
      <c r="N19" s="195" t="s">
        <v>145</v>
      </c>
      <c r="O19" s="196" t="s">
        <v>144</v>
      </c>
      <c r="P19" s="451" t="s">
        <v>146</v>
      </c>
      <c r="Q19" s="194"/>
      <c r="R19" s="38" t="s">
        <v>29</v>
      </c>
      <c r="S19" s="37" t="s">
        <v>34</v>
      </c>
      <c r="T19" s="37" t="s">
        <v>27</v>
      </c>
      <c r="U19" s="38" t="s">
        <v>39</v>
      </c>
      <c r="V19" s="38" t="s">
        <v>30</v>
      </c>
      <c r="W19" s="74" t="s">
        <v>36</v>
      </c>
      <c r="X19" s="38" t="s">
        <v>31</v>
      </c>
      <c r="Y19" s="37" t="s">
        <v>32</v>
      </c>
      <c r="Z19" s="41" t="s">
        <v>33</v>
      </c>
    </row>
    <row r="20" spans="1:26" x14ac:dyDescent="0.25">
      <c r="A20" s="65">
        <v>7.5</v>
      </c>
      <c r="B20" s="65">
        <v>32</v>
      </c>
      <c r="C20" s="65">
        <v>114</v>
      </c>
      <c r="D20" s="66" t="s">
        <v>0</v>
      </c>
      <c r="E20" s="66">
        <v>0.05</v>
      </c>
      <c r="F20" s="7">
        <f>(A20+B20)*C20</f>
        <v>4503</v>
      </c>
      <c r="G20" s="7">
        <f>(A20+B20)/E20</f>
        <v>790</v>
      </c>
      <c r="H20" s="7">
        <f t="shared" ref="H20" si="7">C20/10</f>
        <v>11.4</v>
      </c>
      <c r="I20" s="66">
        <v>4</v>
      </c>
      <c r="J20" s="67">
        <f t="shared" ref="J20" si="8">H20*G20/60</f>
        <v>150.1</v>
      </c>
      <c r="K20" s="67">
        <f>J20+I20</f>
        <v>154.1</v>
      </c>
      <c r="L20" s="68">
        <v>225</v>
      </c>
      <c r="M20" s="69">
        <f>L20/60</f>
        <v>3.75</v>
      </c>
      <c r="N20" s="70">
        <f>ROUNDUP(K20*M20,1)</f>
        <v>577.9</v>
      </c>
      <c r="O20" s="197">
        <f>W42</f>
        <v>1352.1999999999998</v>
      </c>
      <c r="P20" s="450">
        <f>IF(N20&gt;O20, N20, O20)</f>
        <v>1352.1999999999998</v>
      </c>
      <c r="Q20" s="23" t="s">
        <v>167</v>
      </c>
      <c r="R20" s="32">
        <v>1</v>
      </c>
      <c r="S20" s="33">
        <f>P20*R20</f>
        <v>1352.1999999999998</v>
      </c>
      <c r="T20" s="30">
        <v>125</v>
      </c>
      <c r="U20" s="79">
        <v>0.02</v>
      </c>
      <c r="V20" s="33">
        <f>S20+T20</f>
        <v>1477.1999999999998</v>
      </c>
      <c r="W20" s="77">
        <f>ROUNDUP(V20*U20,0)</f>
        <v>30</v>
      </c>
      <c r="X20" s="33">
        <f>V20+W20</f>
        <v>1507.1999999999998</v>
      </c>
      <c r="Y20" s="57">
        <v>225</v>
      </c>
      <c r="Z20" s="78">
        <f>ROUNDDOWN(Y20/N20,0)</f>
        <v>0</v>
      </c>
    </row>
    <row r="28" spans="1:26" ht="21" x14ac:dyDescent="0.25">
      <c r="A28" s="15" t="s">
        <v>12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0"/>
      <c r="Q28" s="60"/>
      <c r="R28" s="63"/>
      <c r="S28" s="61"/>
      <c r="T28" s="209"/>
      <c r="U28" s="63"/>
      <c r="V28" s="210"/>
      <c r="W28" s="63"/>
      <c r="X28" s="60"/>
      <c r="Y28" s="211"/>
    </row>
    <row r="29" spans="1:26" ht="30" x14ac:dyDescent="0.25">
      <c r="A29" s="4" t="s">
        <v>13</v>
      </c>
      <c r="B29" s="4" t="s">
        <v>7</v>
      </c>
      <c r="C29" s="2" t="s">
        <v>2</v>
      </c>
      <c r="D29" s="4" t="s">
        <v>1</v>
      </c>
      <c r="E29" s="5" t="s">
        <v>20</v>
      </c>
      <c r="F29" s="4" t="s">
        <v>14</v>
      </c>
      <c r="G29" s="4" t="s">
        <v>15</v>
      </c>
      <c r="H29" s="4" t="s">
        <v>17</v>
      </c>
      <c r="I29" s="4" t="s">
        <v>16</v>
      </c>
      <c r="J29" s="4" t="s">
        <v>18</v>
      </c>
      <c r="K29" s="2" t="s">
        <v>24</v>
      </c>
      <c r="L29" s="2" t="s">
        <v>25</v>
      </c>
      <c r="O29" s="6"/>
      <c r="P29" s="6" t="s">
        <v>19</v>
      </c>
      <c r="Q29" s="38" t="s">
        <v>29</v>
      </c>
      <c r="R29" s="44" t="s">
        <v>34</v>
      </c>
      <c r="S29" s="42" t="s">
        <v>27</v>
      </c>
      <c r="T29" s="73" t="s">
        <v>39</v>
      </c>
      <c r="U29" s="44" t="s">
        <v>30</v>
      </c>
      <c r="V29" s="45" t="s">
        <v>36</v>
      </c>
      <c r="W29" s="44" t="s">
        <v>31</v>
      </c>
      <c r="X29" s="37" t="s">
        <v>32</v>
      </c>
      <c r="Y29" s="41" t="s">
        <v>33</v>
      </c>
    </row>
    <row r="30" spans="1:26" x14ac:dyDescent="0.25">
      <c r="A30" s="14">
        <v>3.75</v>
      </c>
      <c r="B30" s="14">
        <v>2.95</v>
      </c>
      <c r="C30" s="66" t="s">
        <v>0</v>
      </c>
      <c r="D30" s="16">
        <v>6.5000000000000002E-2</v>
      </c>
      <c r="E30" s="16">
        <f>A30*3.14</f>
        <v>11.775</v>
      </c>
      <c r="F30" s="17">
        <f>E30/D30</f>
        <v>181.15384615384616</v>
      </c>
      <c r="G30" s="16">
        <f>B30/10</f>
        <v>0.29500000000000004</v>
      </c>
      <c r="H30" s="16">
        <v>3</v>
      </c>
      <c r="I30" s="19">
        <f>G30*F30/60</f>
        <v>0.89067307692307707</v>
      </c>
      <c r="J30" s="20">
        <f>I30+H30</f>
        <v>3.8906730769230773</v>
      </c>
      <c r="K30" s="68">
        <v>225</v>
      </c>
      <c r="L30" s="69">
        <f>K30/60</f>
        <v>3.75</v>
      </c>
      <c r="O30" s="212"/>
      <c r="P30" s="18">
        <f>ROUNDUP(J30*L30,1)</f>
        <v>14.6</v>
      </c>
      <c r="Q30" s="32">
        <v>2</v>
      </c>
      <c r="R30" s="33">
        <f>P30*Q30</f>
        <v>29.2</v>
      </c>
      <c r="S30" s="30">
        <v>0</v>
      </c>
      <c r="T30" s="79">
        <v>0.02</v>
      </c>
      <c r="U30" s="33">
        <f>R30+S30</f>
        <v>29.2</v>
      </c>
      <c r="V30" s="77">
        <f>ROUNDUP(U30*T30,0)</f>
        <v>1</v>
      </c>
      <c r="W30" s="33">
        <f t="shared" ref="W30" si="9">U30+V30</f>
        <v>30.2</v>
      </c>
      <c r="X30" s="57">
        <v>225</v>
      </c>
      <c r="Y30" s="78">
        <f>ROUNDDOWN(X30/P30,0)</f>
        <v>15</v>
      </c>
    </row>
    <row r="31" spans="1:26" x14ac:dyDescent="0.25">
      <c r="A31" s="171"/>
      <c r="B31" s="198"/>
      <c r="C31" s="198"/>
      <c r="D31" s="198"/>
      <c r="E31" s="198"/>
      <c r="F31" s="198"/>
      <c r="G31" s="173"/>
    </row>
    <row r="32" spans="1:26" x14ac:dyDescent="0.25">
      <c r="A32" s="174"/>
      <c r="G32" s="176"/>
      <c r="Q32" s="171"/>
      <c r="R32" s="198"/>
      <c r="S32" s="198"/>
      <c r="T32" s="198"/>
      <c r="U32" s="198"/>
      <c r="V32" s="198"/>
      <c r="W32" s="173"/>
      <c r="Y32" t="s">
        <v>184</v>
      </c>
    </row>
    <row r="33" spans="1:25" x14ac:dyDescent="0.25">
      <c r="A33" s="174"/>
      <c r="G33" s="176"/>
      <c r="J33" s="171"/>
      <c r="K33" s="198"/>
      <c r="L33" s="215" t="s">
        <v>163</v>
      </c>
      <c r="M33" s="198"/>
      <c r="N33" s="198"/>
      <c r="O33" s="173"/>
      <c r="Q33" s="174"/>
      <c r="W33" s="176"/>
      <c r="Y33">
        <v>10000</v>
      </c>
    </row>
    <row r="34" spans="1:25" x14ac:dyDescent="0.25">
      <c r="A34" s="174" t="s">
        <v>92</v>
      </c>
      <c r="B34">
        <f>12^3</f>
        <v>1728</v>
      </c>
      <c r="C34" t="s">
        <v>93</v>
      </c>
      <c r="G34" s="176"/>
      <c r="J34" s="174"/>
      <c r="M34" t="s">
        <v>94</v>
      </c>
      <c r="N34">
        <v>62.427959999999999</v>
      </c>
      <c r="O34" s="176"/>
      <c r="Q34" s="174" t="s">
        <v>92</v>
      </c>
      <c r="R34">
        <f>12^3</f>
        <v>1728</v>
      </c>
      <c r="S34" t="s">
        <v>93</v>
      </c>
      <c r="W34" s="176"/>
      <c r="Y34">
        <v>6000</v>
      </c>
    </row>
    <row r="35" spans="1:25" x14ac:dyDescent="0.25">
      <c r="A35" s="174"/>
      <c r="C35" t="s">
        <v>95</v>
      </c>
      <c r="E35" s="161">
        <v>542</v>
      </c>
      <c r="G35" s="176"/>
      <c r="J35" s="174" t="s">
        <v>96</v>
      </c>
      <c r="K35" t="s">
        <v>97</v>
      </c>
      <c r="L35" t="s">
        <v>98</v>
      </c>
      <c r="M35" t="s">
        <v>99</v>
      </c>
      <c r="O35" s="176"/>
      <c r="Q35" s="174"/>
      <c r="S35" t="s">
        <v>95</v>
      </c>
      <c r="U35" s="161">
        <v>305</v>
      </c>
      <c r="W35" s="176"/>
      <c r="Y35">
        <v>4000</v>
      </c>
    </row>
    <row r="36" spans="1:25" x14ac:dyDescent="0.25">
      <c r="A36" s="174"/>
      <c r="C36" t="s">
        <v>161</v>
      </c>
      <c r="E36" s="162">
        <v>0.14000000000000001</v>
      </c>
      <c r="G36" s="176"/>
      <c r="J36" s="174" t="s">
        <v>101</v>
      </c>
      <c r="K36">
        <v>7075</v>
      </c>
      <c r="L36">
        <v>2.81</v>
      </c>
      <c r="M36">
        <f>L36*$N$34</f>
        <v>175.42256760000001</v>
      </c>
      <c r="O36" s="176"/>
      <c r="Q36" s="174"/>
      <c r="S36" t="s">
        <v>161</v>
      </c>
      <c r="U36" s="162">
        <v>0.25</v>
      </c>
      <c r="W36" s="176"/>
    </row>
    <row r="37" spans="1:25" x14ac:dyDescent="0.25">
      <c r="A37" s="174"/>
      <c r="C37" t="s">
        <v>162</v>
      </c>
      <c r="E37" s="258">
        <v>0.16</v>
      </c>
      <c r="G37" s="176"/>
      <c r="J37" s="174" t="s">
        <v>101</v>
      </c>
      <c r="K37">
        <v>2219</v>
      </c>
      <c r="L37">
        <v>2.84</v>
      </c>
      <c r="M37">
        <f>L37*$N$34</f>
        <v>177.29540639999999</v>
      </c>
      <c r="O37" s="176"/>
      <c r="Q37" s="174"/>
      <c r="S37" t="s">
        <v>162</v>
      </c>
      <c r="U37" s="259">
        <v>0.28000000000000003</v>
      </c>
      <c r="W37" s="176"/>
    </row>
    <row r="38" spans="1:25" x14ac:dyDescent="0.25">
      <c r="A38" s="174"/>
      <c r="G38" s="176"/>
      <c r="J38" s="174" t="s">
        <v>101</v>
      </c>
      <c r="K38">
        <v>6061</v>
      </c>
      <c r="L38">
        <v>2.7</v>
      </c>
      <c r="M38">
        <f>L38*$N$34</f>
        <v>168.55549200000002</v>
      </c>
      <c r="O38" s="176"/>
      <c r="Q38" s="174"/>
      <c r="W38" s="176"/>
    </row>
    <row r="39" spans="1:25" x14ac:dyDescent="0.25">
      <c r="A39" s="174"/>
      <c r="G39" s="176"/>
      <c r="J39" s="174" t="s">
        <v>101</v>
      </c>
      <c r="K39">
        <v>7050</v>
      </c>
      <c r="L39">
        <v>2.83</v>
      </c>
      <c r="M39">
        <f>L39*$N$34</f>
        <v>176.6711268</v>
      </c>
      <c r="O39" s="176"/>
      <c r="Q39" s="174"/>
      <c r="W39" s="176"/>
    </row>
    <row r="40" spans="1:25" x14ac:dyDescent="0.25">
      <c r="A40" s="213" t="s">
        <v>102</v>
      </c>
      <c r="B40" s="163" t="s">
        <v>103</v>
      </c>
      <c r="C40" s="163" t="s">
        <v>104</v>
      </c>
      <c r="D40" s="163" t="s">
        <v>105</v>
      </c>
      <c r="E40" s="163" t="s">
        <v>106</v>
      </c>
      <c r="F40" s="163" t="s">
        <v>107</v>
      </c>
      <c r="G40" s="214" t="s">
        <v>108</v>
      </c>
      <c r="H40" s="163"/>
      <c r="I40" s="163"/>
      <c r="J40" s="213" t="s">
        <v>109</v>
      </c>
      <c r="K40" s="163"/>
      <c r="L40" s="163"/>
      <c r="M40" s="163">
        <v>494.21</v>
      </c>
      <c r="N40" s="163" t="s">
        <v>110</v>
      </c>
      <c r="O40" s="214"/>
      <c r="P40" s="163"/>
      <c r="Q40" s="213" t="s">
        <v>102</v>
      </c>
      <c r="R40" s="163" t="s">
        <v>103</v>
      </c>
      <c r="S40" s="163" t="s">
        <v>104</v>
      </c>
      <c r="T40" s="163" t="s">
        <v>105</v>
      </c>
      <c r="U40" s="163" t="s">
        <v>106</v>
      </c>
      <c r="V40" s="163" t="s">
        <v>107</v>
      </c>
      <c r="W40" s="214" t="s">
        <v>108</v>
      </c>
    </row>
    <row r="41" spans="1:25" x14ac:dyDescent="0.25">
      <c r="A41" s="222">
        <f>A4</f>
        <v>3.5</v>
      </c>
      <c r="B41" s="164">
        <f>B4</f>
        <v>60</v>
      </c>
      <c r="C41" s="164">
        <f>C4</f>
        <v>240</v>
      </c>
      <c r="D41">
        <f>A41*B41*C41</f>
        <v>50400</v>
      </c>
      <c r="E41">
        <f>D41/$B$34</f>
        <v>29.166666666666668</v>
      </c>
      <c r="F41">
        <f>E41*$E$35</f>
        <v>15808.333333333334</v>
      </c>
      <c r="G41" s="223">
        <f>F41*$E$36</f>
        <v>2213.166666666667</v>
      </c>
      <c r="J41" s="174" t="s">
        <v>111</v>
      </c>
      <c r="M41">
        <v>283.39</v>
      </c>
      <c r="N41" t="s">
        <v>112</v>
      </c>
      <c r="O41" s="176"/>
      <c r="Q41" s="222">
        <f>A16</f>
        <v>10</v>
      </c>
      <c r="R41" s="164">
        <f>B16</f>
        <v>7</v>
      </c>
      <c r="S41" s="164">
        <f>C16</f>
        <v>138</v>
      </c>
      <c r="T41">
        <f>Q41*R41*S41</f>
        <v>9660</v>
      </c>
      <c r="U41">
        <f>T41/$B$34</f>
        <v>5.5902777777777777</v>
      </c>
      <c r="V41">
        <f>U41*$U$35</f>
        <v>1705.0347222222222</v>
      </c>
      <c r="W41" s="223">
        <f>ROUNDUP(V41*$U$36, 1)</f>
        <v>426.3</v>
      </c>
    </row>
    <row r="42" spans="1:25" x14ac:dyDescent="0.25">
      <c r="A42" s="224">
        <f>+A8</f>
        <v>8</v>
      </c>
      <c r="B42" s="165">
        <f>B8</f>
        <v>18.600000000000001</v>
      </c>
      <c r="C42" s="165">
        <f>C8</f>
        <v>65.5</v>
      </c>
      <c r="D42">
        <f t="shared" ref="D42:D45" si="10">A42*B42*C42</f>
        <v>9746.4000000000015</v>
      </c>
      <c r="E42">
        <f>D42/$B$34</f>
        <v>5.6402777777777784</v>
      </c>
      <c r="F42">
        <f>E42*$E$35</f>
        <v>3057.030555555556</v>
      </c>
      <c r="G42" s="225">
        <f>F42*$E$37</f>
        <v>489.12488888888896</v>
      </c>
      <c r="J42" s="174" t="s">
        <v>113</v>
      </c>
      <c r="M42">
        <v>490</v>
      </c>
      <c r="O42" s="176"/>
      <c r="Q42" s="224">
        <f>A20</f>
        <v>7.5</v>
      </c>
      <c r="R42" s="165">
        <f>B20</f>
        <v>32</v>
      </c>
      <c r="S42" s="165">
        <f>C20</f>
        <v>114</v>
      </c>
      <c r="T42">
        <f t="shared" ref="T42:T45" si="11">Q42*R42*S42</f>
        <v>27360</v>
      </c>
      <c r="U42">
        <f>T42/$B$34</f>
        <v>15.833333333333334</v>
      </c>
      <c r="V42">
        <f>U42*$U$35</f>
        <v>4829.166666666667</v>
      </c>
      <c r="W42" s="225">
        <f>ROUNDUP(V42*$U$37, 1)</f>
        <v>1352.1999999999998</v>
      </c>
    </row>
    <row r="43" spans="1:25" x14ac:dyDescent="0.25">
      <c r="A43" s="226">
        <v>5.625</v>
      </c>
      <c r="B43" s="166">
        <v>5.75</v>
      </c>
      <c r="C43" s="166">
        <v>9</v>
      </c>
      <c r="D43">
        <f t="shared" si="10"/>
        <v>291.09375</v>
      </c>
      <c r="E43">
        <f>D43/$B$34</f>
        <v>0.16845703125</v>
      </c>
      <c r="F43">
        <f>E43*$E$35</f>
        <v>91.3037109375</v>
      </c>
      <c r="G43" s="227">
        <f>F43*$E$36</f>
        <v>12.782519531250001</v>
      </c>
      <c r="J43" s="174" t="s">
        <v>114</v>
      </c>
      <c r="M43">
        <v>1204.4100000000001</v>
      </c>
      <c r="O43" s="176"/>
      <c r="Q43" s="226">
        <v>5.625</v>
      </c>
      <c r="R43" s="166">
        <v>5.75</v>
      </c>
      <c r="S43" s="166">
        <v>9</v>
      </c>
      <c r="T43">
        <f t="shared" si="11"/>
        <v>291.09375</v>
      </c>
      <c r="U43">
        <f>T43/$B$34</f>
        <v>0.16845703125</v>
      </c>
      <c r="V43">
        <f>U43*$E$35</f>
        <v>91.3037109375</v>
      </c>
      <c r="W43" s="227">
        <f>V43*$E$36</f>
        <v>12.782519531250001</v>
      </c>
    </row>
    <row r="44" spans="1:25" x14ac:dyDescent="0.25">
      <c r="A44" s="228">
        <v>11.75</v>
      </c>
      <c r="B44" s="167">
        <v>5.75</v>
      </c>
      <c r="C44" s="167">
        <v>55.875</v>
      </c>
      <c r="D44">
        <f t="shared" si="10"/>
        <v>3775.0546875</v>
      </c>
      <c r="E44">
        <f>D44/$B$34</f>
        <v>2.1846381293402777</v>
      </c>
      <c r="F44">
        <f>E44*$E$35</f>
        <v>1184.0738661024304</v>
      </c>
      <c r="G44" s="229">
        <f>F44*$E$36</f>
        <v>165.77034125434028</v>
      </c>
      <c r="J44" s="174" t="s">
        <v>115</v>
      </c>
      <c r="M44">
        <v>568.5</v>
      </c>
      <c r="O44" s="176"/>
      <c r="Q44" s="228">
        <v>11.75</v>
      </c>
      <c r="R44" s="167">
        <v>5.75</v>
      </c>
      <c r="S44" s="167">
        <v>55.875</v>
      </c>
      <c r="T44">
        <f t="shared" si="11"/>
        <v>3775.0546875</v>
      </c>
      <c r="U44">
        <f>T44/$B$34</f>
        <v>2.1846381293402777</v>
      </c>
      <c r="V44">
        <f>U44*$E$35</f>
        <v>1184.0738661024304</v>
      </c>
      <c r="W44" s="229">
        <f>V44*$E$36</f>
        <v>165.77034125434028</v>
      </c>
    </row>
    <row r="45" spans="1:25" x14ac:dyDescent="0.25">
      <c r="A45" s="230">
        <v>10</v>
      </c>
      <c r="B45" s="231">
        <v>10</v>
      </c>
      <c r="C45" s="231">
        <v>10</v>
      </c>
      <c r="D45" s="178">
        <f t="shared" si="10"/>
        <v>1000</v>
      </c>
      <c r="E45" s="178">
        <f>D45/$B$34</f>
        <v>0.57870370370370372</v>
      </c>
      <c r="F45" s="178">
        <f>E45*$E$35</f>
        <v>313.65740740740739</v>
      </c>
      <c r="G45" s="179">
        <f>F45*$E$36</f>
        <v>43.912037037037038</v>
      </c>
      <c r="J45" s="177"/>
      <c r="K45" s="178"/>
      <c r="L45" s="178"/>
      <c r="M45" s="178"/>
      <c r="N45" s="178"/>
      <c r="O45" s="199"/>
      <c r="Q45" s="230">
        <v>10</v>
      </c>
      <c r="R45" s="231">
        <v>10</v>
      </c>
      <c r="S45" s="231">
        <v>10</v>
      </c>
      <c r="T45" s="178">
        <f t="shared" si="11"/>
        <v>1000</v>
      </c>
      <c r="U45" s="178">
        <f>T45/$B$34</f>
        <v>0.57870370370370372</v>
      </c>
      <c r="V45" s="178">
        <f>U45*$E$35</f>
        <v>313.65740740740739</v>
      </c>
      <c r="W45" s="179">
        <f>V45*$E$36</f>
        <v>43.912037037037038</v>
      </c>
    </row>
    <row r="49" spans="1:15" ht="45" x14ac:dyDescent="0.25">
      <c r="A49" s="95" t="s">
        <v>178</v>
      </c>
      <c r="B49" s="246" t="s">
        <v>176</v>
      </c>
      <c r="C49" s="95" t="s">
        <v>173</v>
      </c>
      <c r="D49" s="95" t="s">
        <v>170</v>
      </c>
      <c r="E49" s="95" t="s">
        <v>171</v>
      </c>
      <c r="F49" s="246" t="s">
        <v>175</v>
      </c>
      <c r="G49" s="95" t="s">
        <v>172</v>
      </c>
      <c r="H49" s="95" t="s">
        <v>174</v>
      </c>
      <c r="I49" s="246" t="s">
        <v>177</v>
      </c>
      <c r="K49" s="184" t="s">
        <v>185</v>
      </c>
      <c r="L49" s="184" t="s">
        <v>186</v>
      </c>
      <c r="O49" s="250" t="s">
        <v>184</v>
      </c>
    </row>
    <row r="50" spans="1:15" x14ac:dyDescent="0.25">
      <c r="A50" s="232" t="s">
        <v>179</v>
      </c>
      <c r="B50" s="251">
        <v>13</v>
      </c>
      <c r="C50" s="161">
        <v>60</v>
      </c>
      <c r="D50" s="251">
        <f>B50/2</f>
        <v>6.5</v>
      </c>
      <c r="E50" s="161">
        <v>3.1415926535900001</v>
      </c>
      <c r="F50" s="161">
        <f>E50*(D50^2)</f>
        <v>132.73228961417749</v>
      </c>
      <c r="G50" s="161">
        <f>F50*C50</f>
        <v>7963.9373768506493</v>
      </c>
      <c r="H50" s="161">
        <v>0.28299999999999997</v>
      </c>
      <c r="I50" s="233">
        <f>G50*H50</f>
        <v>2253.7942776487334</v>
      </c>
      <c r="K50" s="257">
        <v>0.14000000000000001</v>
      </c>
      <c r="L50" s="256">
        <f>ROUND(K50*I50, 2)</f>
        <v>315.52999999999997</v>
      </c>
      <c r="O50" s="95">
        <v>6000</v>
      </c>
    </row>
    <row r="51" spans="1:15" x14ac:dyDescent="0.25">
      <c r="A51" s="234" t="s">
        <v>180</v>
      </c>
      <c r="B51" s="252">
        <f>B12</f>
        <v>0.75</v>
      </c>
      <c r="C51" s="235">
        <f>C12</f>
        <v>144</v>
      </c>
      <c r="D51" s="252">
        <f>B51/2</f>
        <v>0.375</v>
      </c>
      <c r="E51" s="235">
        <v>3.1415926535900001</v>
      </c>
      <c r="F51" s="235">
        <f t="shared" ref="F51:F54" si="12">E51*(D51^2)</f>
        <v>0.44178646691109374</v>
      </c>
      <c r="G51" s="235">
        <f>F51*C51</f>
        <v>63.6172512351975</v>
      </c>
      <c r="H51" s="235">
        <v>0.28999999999999998</v>
      </c>
      <c r="I51" s="236">
        <f>G51*H51</f>
        <v>18.449002858207272</v>
      </c>
      <c r="K51" s="257">
        <v>0.14000000000000001</v>
      </c>
      <c r="L51" s="256">
        <f t="shared" ref="L51:L54" si="13">ROUND(K51*I51, 2)</f>
        <v>2.58</v>
      </c>
    </row>
    <row r="52" spans="1:15" x14ac:dyDescent="0.25">
      <c r="A52" s="237" t="s">
        <v>181</v>
      </c>
      <c r="B52" s="253">
        <v>17</v>
      </c>
      <c r="C52" s="238">
        <v>17.25</v>
      </c>
      <c r="D52" s="253">
        <f>B52/2</f>
        <v>8.5</v>
      </c>
      <c r="E52" s="238">
        <v>3.1415926535900001</v>
      </c>
      <c r="F52" s="238">
        <f t="shared" si="12"/>
        <v>226.9800692218775</v>
      </c>
      <c r="G52" s="238">
        <f>F52*C52</f>
        <v>3915.4061940773868</v>
      </c>
      <c r="H52" s="238">
        <v>0.1</v>
      </c>
      <c r="I52" s="239">
        <f>G52*H52</f>
        <v>391.54061940773869</v>
      </c>
      <c r="K52" s="257">
        <v>0.16</v>
      </c>
      <c r="L52" s="256">
        <f t="shared" si="13"/>
        <v>62.65</v>
      </c>
    </row>
    <row r="53" spans="1:15" x14ac:dyDescent="0.25">
      <c r="A53" s="240" t="s">
        <v>182</v>
      </c>
      <c r="B53" s="254">
        <v>13</v>
      </c>
      <c r="C53" s="241">
        <v>148</v>
      </c>
      <c r="D53" s="254">
        <f>B53/2</f>
        <v>6.5</v>
      </c>
      <c r="E53" s="241">
        <v>3.1415926535900001</v>
      </c>
      <c r="F53" s="241">
        <f t="shared" si="12"/>
        <v>132.73228961417749</v>
      </c>
      <c r="G53" s="241">
        <f>F53*C53</f>
        <v>19644.378862898269</v>
      </c>
      <c r="H53" s="241">
        <v>0.16</v>
      </c>
      <c r="I53" s="242">
        <f>G53*H53</f>
        <v>3143.1006180637232</v>
      </c>
      <c r="K53" s="257">
        <v>0.2</v>
      </c>
      <c r="L53" s="256">
        <f t="shared" si="13"/>
        <v>628.62</v>
      </c>
    </row>
    <row r="54" spans="1:15" x14ac:dyDescent="0.25">
      <c r="A54" s="243" t="s">
        <v>187</v>
      </c>
      <c r="B54" s="255">
        <v>10</v>
      </c>
      <c r="C54" s="244">
        <v>10</v>
      </c>
      <c r="D54" s="255">
        <f>B54/2</f>
        <v>5</v>
      </c>
      <c r="E54" s="244">
        <v>3.1415926535900001</v>
      </c>
      <c r="F54" s="244">
        <f t="shared" si="12"/>
        <v>78.539816339750004</v>
      </c>
      <c r="G54" s="244">
        <f>F54*C54</f>
        <v>785.39816339750007</v>
      </c>
      <c r="H54" s="244">
        <v>0.29949999999999999</v>
      </c>
      <c r="I54" s="245">
        <f>G54*H54</f>
        <v>235.22674993755126</v>
      </c>
      <c r="K54" s="257">
        <v>0.14000000000000001</v>
      </c>
      <c r="L54" s="256">
        <f t="shared" si="13"/>
        <v>32.93</v>
      </c>
    </row>
  </sheetData>
  <conditionalFormatting sqref="I50:I54">
    <cfRule type="cellIs" dxfId="83" priority="1" operator="greaterThan">
      <formula>$Q$24</formula>
    </cfRule>
  </conditionalFormatting>
  <conditionalFormatting sqref="I54">
    <cfRule type="cellIs" dxfId="82" priority="7" operator="greaterThan">
      <formula>6296.819819</formula>
    </cfRule>
    <cfRule type="cellIs" dxfId="81" priority="8" operator="greaterThan">
      <formula>$Q$24</formula>
    </cfRule>
  </conditionalFormatting>
  <conditionalFormatting sqref="L54">
    <cfRule type="cellIs" dxfId="80" priority="2" operator="greaterThan">
      <formula>960</formula>
    </cfRule>
    <cfRule type="cellIs" priority="3" operator="greaterThan">
      <formula>960</formula>
    </cfRule>
    <cfRule type="expression" priority="4">
      <formula>$K$28</formula>
    </cfRule>
    <cfRule type="aboveAverage" priority="5" aboveAverage="0"/>
    <cfRule type="expression" priority="6">
      <formula>"IF K28 IS RED"</formula>
    </cfRule>
  </conditionalFormatting>
  <conditionalFormatting sqref="P4">
    <cfRule type="expression" dxfId="79" priority="14">
      <formula>$F$41&gt;$Y$33</formula>
    </cfRule>
  </conditionalFormatting>
  <conditionalFormatting sqref="P8">
    <cfRule type="expression" dxfId="78" priority="13">
      <formula>$F$42&gt;$Y$33</formula>
    </cfRule>
  </conditionalFormatting>
  <conditionalFormatting sqref="P12">
    <cfRule type="expression" dxfId="77" priority="9">
      <formula>$F$42&gt;$Y$33</formula>
    </cfRule>
  </conditionalFormatting>
  <conditionalFormatting sqref="P16">
    <cfRule type="expression" dxfId="76" priority="11">
      <formula>$V$41&gt;$Y$33</formula>
    </cfRule>
    <cfRule type="expression" priority="12">
      <formula>$V$41&gt;$Y$33</formula>
    </cfRule>
  </conditionalFormatting>
  <conditionalFormatting sqref="P20">
    <cfRule type="expression" dxfId="75" priority="10">
      <formula>$V$42&gt;$Y$33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D68C-EA54-450F-B59E-55D99E29004C}">
  <sheetPr>
    <tabColor rgb="FF00B0F0"/>
  </sheetPr>
  <dimension ref="A1:AA54"/>
  <sheetViews>
    <sheetView zoomScale="85" zoomScaleNormal="85" workbookViewId="0">
      <selection activeCell="B13" sqref="B13"/>
    </sheetView>
  </sheetViews>
  <sheetFormatPr defaultRowHeight="15" x14ac:dyDescent="0.25"/>
  <cols>
    <col min="1" max="1" width="14.5703125" customWidth="1"/>
    <col min="4" max="4" width="22.140625" customWidth="1"/>
    <col min="5" max="6" width="9.140625" customWidth="1"/>
    <col min="7" max="7" width="10.85546875" customWidth="1"/>
    <col min="8" max="11" width="9.140625" customWidth="1"/>
    <col min="12" max="12" width="10.85546875" customWidth="1"/>
    <col min="13" max="13" width="9.140625" customWidth="1"/>
    <col min="14" max="14" width="12.140625" customWidth="1"/>
    <col min="15" max="15" width="11.42578125" customWidth="1"/>
    <col min="16" max="16" width="14.28515625" customWidth="1"/>
    <col min="17" max="18" width="9.140625" customWidth="1"/>
    <col min="19" max="19" width="17.85546875" customWidth="1"/>
    <col min="20" max="20" width="14.140625" customWidth="1"/>
    <col min="22" max="22" width="9.140625" customWidth="1"/>
    <col min="23" max="23" width="11.42578125" customWidth="1"/>
    <col min="24" max="24" width="10.85546875" customWidth="1"/>
    <col min="25" max="25" width="11.85546875" customWidth="1"/>
  </cols>
  <sheetData>
    <row r="1" spans="1:27" ht="21" x14ac:dyDescent="0.25">
      <c r="A1" s="218" t="s">
        <v>164</v>
      </c>
      <c r="B1" s="217"/>
      <c r="C1" s="217"/>
      <c r="D1" s="217"/>
      <c r="E1" s="217"/>
      <c r="F1" s="217"/>
      <c r="G1" s="217"/>
      <c r="H1" s="217"/>
      <c r="I1" s="217"/>
      <c r="J1" s="10"/>
      <c r="K1" s="10"/>
      <c r="L1" s="10"/>
      <c r="M1" s="10"/>
      <c r="N1" s="10"/>
      <c r="O1" s="193"/>
      <c r="P1" s="193"/>
      <c r="Q1" s="21"/>
      <c r="R1" s="21"/>
      <c r="S1" s="21"/>
      <c r="T1" s="22"/>
      <c r="U1" s="22"/>
      <c r="V1" s="22"/>
      <c r="W1" s="22"/>
      <c r="X1" s="75"/>
      <c r="Y1" s="22"/>
      <c r="Z1" s="22"/>
      <c r="AA1" s="22"/>
    </row>
    <row r="2" spans="1:27" ht="45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195" t="s">
        <v>145</v>
      </c>
      <c r="O2" s="326" t="s">
        <v>144</v>
      </c>
      <c r="P2" s="196" t="s">
        <v>146</v>
      </c>
      <c r="Q2" s="194"/>
      <c r="R2" s="38" t="s">
        <v>29</v>
      </c>
      <c r="S2" s="41" t="s">
        <v>204</v>
      </c>
      <c r="T2" s="37" t="s">
        <v>34</v>
      </c>
      <c r="U2" s="37" t="s">
        <v>27</v>
      </c>
      <c r="V2" s="38" t="s">
        <v>39</v>
      </c>
      <c r="W2" s="38" t="s">
        <v>30</v>
      </c>
      <c r="X2" s="74" t="s">
        <v>36</v>
      </c>
      <c r="Y2" s="38" t="s">
        <v>31</v>
      </c>
      <c r="Z2" s="37" t="s">
        <v>32</v>
      </c>
      <c r="AA2" s="41" t="s">
        <v>33</v>
      </c>
    </row>
    <row r="3" spans="1:27" x14ac:dyDescent="0.25">
      <c r="A3" s="65">
        <v>0.5</v>
      </c>
      <c r="B3" s="65">
        <v>51</v>
      </c>
      <c r="C3" s="65">
        <v>144</v>
      </c>
      <c r="D3" s="66" t="s">
        <v>0</v>
      </c>
      <c r="E3" s="66">
        <v>7.4999999999999997E-2</v>
      </c>
      <c r="F3" s="7">
        <f>(A3+B3)*C3</f>
        <v>7416</v>
      </c>
      <c r="G3" s="7">
        <f>(A3+B3)/E3</f>
        <v>686.66666666666674</v>
      </c>
      <c r="H3" s="7">
        <f t="shared" ref="H3" si="0">C3/10</f>
        <v>14.4</v>
      </c>
      <c r="I3" s="66">
        <v>5</v>
      </c>
      <c r="J3" s="67">
        <f t="shared" ref="J3" si="1">H3*G3/60</f>
        <v>164.80000000000004</v>
      </c>
      <c r="K3" s="67">
        <f>J3+I3</f>
        <v>169.80000000000004</v>
      </c>
      <c r="L3" s="68">
        <v>225</v>
      </c>
      <c r="M3" s="69">
        <f>L3/60</f>
        <v>3.75</v>
      </c>
      <c r="N3" s="70">
        <f>ROUNDUP(K3*M3,1)</f>
        <v>636.80000000000007</v>
      </c>
      <c r="O3" s="327">
        <f>ROUNDUP(G32, 1)</f>
        <v>156.19999999999999</v>
      </c>
      <c r="P3" s="216">
        <f>IF(N3&gt;O3, N3, O3)</f>
        <v>636.80000000000007</v>
      </c>
      <c r="Q3" s="23" t="s">
        <v>166</v>
      </c>
      <c r="R3" s="32">
        <v>10</v>
      </c>
      <c r="S3" s="325">
        <f>P3*R3</f>
        <v>6368.0000000000009</v>
      </c>
      <c r="T3" s="33">
        <f>IF(S3&gt;Z3, S3, Z3)</f>
        <v>6368.0000000000009</v>
      </c>
      <c r="U3" s="30">
        <v>0</v>
      </c>
      <c r="V3" s="79">
        <v>0.02</v>
      </c>
      <c r="W3" s="33">
        <f>T3+U3</f>
        <v>6368.0000000000009</v>
      </c>
      <c r="X3" s="77">
        <f>ROUNDUP(W3*V3,0)</f>
        <v>128</v>
      </c>
      <c r="Y3" s="33">
        <f>W3+X3</f>
        <v>6496.0000000000009</v>
      </c>
      <c r="Z3" s="57">
        <v>225</v>
      </c>
      <c r="AA3" s="78">
        <f>ROUNDDOWN(Z3/N3,0)</f>
        <v>0</v>
      </c>
    </row>
    <row r="4" spans="1:27" ht="18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Q4" s="24"/>
      <c r="R4" s="21"/>
      <c r="S4" s="21"/>
      <c r="T4" s="27"/>
      <c r="U4" s="28"/>
      <c r="V4" s="72"/>
      <c r="W4" s="27"/>
      <c r="X4" s="76"/>
      <c r="Y4" s="27"/>
      <c r="Z4" s="25"/>
      <c r="AA4" s="26"/>
    </row>
    <row r="5" spans="1:27" ht="21" x14ac:dyDescent="0.25">
      <c r="A5" s="218" t="s">
        <v>165</v>
      </c>
      <c r="B5" s="217"/>
      <c r="C5" s="219"/>
      <c r="D5" s="217"/>
      <c r="E5" s="217"/>
      <c r="F5" s="217"/>
      <c r="G5" s="217"/>
      <c r="H5" s="217"/>
      <c r="I5" s="217"/>
      <c r="J5" s="10"/>
      <c r="K5" s="10"/>
      <c r="L5" s="10"/>
      <c r="M5" s="10"/>
      <c r="N5" s="10"/>
      <c r="O5" s="193"/>
      <c r="P5" s="193"/>
      <c r="Q5" s="21"/>
      <c r="R5" s="21"/>
      <c r="S5" s="21"/>
      <c r="T5" s="22"/>
      <c r="U5" s="22"/>
      <c r="V5" s="22"/>
      <c r="W5" s="22"/>
      <c r="X5" s="75"/>
      <c r="Y5" s="22"/>
      <c r="Z5" s="22"/>
      <c r="AA5" s="22"/>
    </row>
    <row r="6" spans="1:27" ht="45" x14ac:dyDescent="0.25">
      <c r="A6" s="2" t="s">
        <v>23</v>
      </c>
      <c r="B6" s="2" t="s">
        <v>8</v>
      </c>
      <c r="C6" s="2" t="s">
        <v>7</v>
      </c>
      <c r="D6" s="2" t="s">
        <v>2</v>
      </c>
      <c r="E6" s="2" t="s">
        <v>1</v>
      </c>
      <c r="F6" s="2" t="s">
        <v>6</v>
      </c>
      <c r="G6" s="2" t="s">
        <v>3</v>
      </c>
      <c r="H6" s="2" t="s">
        <v>21</v>
      </c>
      <c r="I6" s="2" t="s">
        <v>9</v>
      </c>
      <c r="J6" s="2" t="s">
        <v>4</v>
      </c>
      <c r="K6" s="2" t="s">
        <v>10</v>
      </c>
      <c r="L6" s="2" t="s">
        <v>24</v>
      </c>
      <c r="M6" s="2" t="s">
        <v>25</v>
      </c>
      <c r="N6" s="195" t="s">
        <v>145</v>
      </c>
      <c r="O6" s="326" t="s">
        <v>144</v>
      </c>
      <c r="P6" s="196" t="s">
        <v>146</v>
      </c>
      <c r="Q6" s="194"/>
      <c r="R6" s="38" t="s">
        <v>29</v>
      </c>
      <c r="S6" s="38" t="s">
        <v>204</v>
      </c>
      <c r="T6" s="37" t="s">
        <v>34</v>
      </c>
      <c r="U6" s="37" t="s">
        <v>27</v>
      </c>
      <c r="V6" s="38" t="s">
        <v>39</v>
      </c>
      <c r="W6" s="38" t="s">
        <v>30</v>
      </c>
      <c r="X6" s="74" t="s">
        <v>36</v>
      </c>
      <c r="Y6" s="38" t="s">
        <v>31</v>
      </c>
      <c r="Z6" s="37" t="s">
        <v>32</v>
      </c>
      <c r="AA6" s="41" t="s">
        <v>33</v>
      </c>
    </row>
    <row r="7" spans="1:27" x14ac:dyDescent="0.25">
      <c r="A7" s="65">
        <v>0.315</v>
      </c>
      <c r="B7" s="65">
        <v>51</v>
      </c>
      <c r="C7" s="65">
        <v>144</v>
      </c>
      <c r="D7" s="66" t="s">
        <v>0</v>
      </c>
      <c r="E7" s="66">
        <v>5.5E-2</v>
      </c>
      <c r="F7" s="7">
        <f>(A7+B7)*C7</f>
        <v>7389.36</v>
      </c>
      <c r="G7" s="7">
        <f>(A7+B7)/E7</f>
        <v>933</v>
      </c>
      <c r="H7" s="7">
        <f t="shared" ref="H7" si="2">C7/10</f>
        <v>14.4</v>
      </c>
      <c r="I7" s="66">
        <v>5</v>
      </c>
      <c r="J7" s="67">
        <f t="shared" ref="J7" si="3">H7*G7/60</f>
        <v>223.92000000000002</v>
      </c>
      <c r="K7" s="67">
        <f>J7+I7</f>
        <v>228.92000000000002</v>
      </c>
      <c r="L7" s="68">
        <v>225</v>
      </c>
      <c r="M7" s="69">
        <f>L7/60</f>
        <v>3.75</v>
      </c>
      <c r="N7" s="70">
        <f>ROUNDUP(K7*M7,1)</f>
        <v>858.5</v>
      </c>
      <c r="O7" s="327">
        <f>ROUNDUP(G33, 1)</f>
        <v>112.5</v>
      </c>
      <c r="P7" s="216">
        <f>IF(N7&gt;O7, N7, O7)</f>
        <v>858.5</v>
      </c>
      <c r="Q7" s="23" t="s">
        <v>167</v>
      </c>
      <c r="R7" s="32">
        <v>2</v>
      </c>
      <c r="S7" s="325">
        <f>P7*R7</f>
        <v>1717</v>
      </c>
      <c r="T7" s="33">
        <f>IF(S7&gt;Z7, S7, Z7)</f>
        <v>1717</v>
      </c>
      <c r="U7" s="30">
        <v>0</v>
      </c>
      <c r="V7" s="79">
        <v>0.02</v>
      </c>
      <c r="W7" s="33">
        <f>T7+U7</f>
        <v>1717</v>
      </c>
      <c r="X7" s="77">
        <f>ROUNDUP(W7*V7,0)</f>
        <v>35</v>
      </c>
      <c r="Y7" s="33">
        <f>W7+X7</f>
        <v>1752</v>
      </c>
      <c r="Z7" s="57">
        <v>225</v>
      </c>
      <c r="AA7" s="78">
        <f>ROUNDDOWN(Z7/N7,0)</f>
        <v>0</v>
      </c>
    </row>
    <row r="10" spans="1:27" ht="21" x14ac:dyDescent="0.25">
      <c r="A10" s="292" t="s">
        <v>189</v>
      </c>
      <c r="B10" s="217"/>
      <c r="C10" s="217"/>
      <c r="D10" s="217"/>
      <c r="E10" s="217"/>
      <c r="F10" s="217"/>
      <c r="G10" s="217"/>
      <c r="H10" s="217"/>
      <c r="I10" s="10"/>
      <c r="J10" s="10"/>
      <c r="K10" s="10"/>
      <c r="L10" s="10"/>
      <c r="M10" s="10"/>
      <c r="N10" s="10"/>
      <c r="O10" s="193"/>
      <c r="P10" s="193"/>
      <c r="Q10" s="21"/>
      <c r="R10" s="21"/>
      <c r="S10" s="21"/>
      <c r="T10" s="22"/>
      <c r="U10" s="22"/>
      <c r="V10" s="22"/>
      <c r="W10" s="22"/>
      <c r="X10" s="75"/>
      <c r="Y10" s="22"/>
      <c r="Z10" s="22"/>
      <c r="AA10" s="22"/>
    </row>
    <row r="11" spans="1:27" ht="45" x14ac:dyDescent="0.25">
      <c r="A11" s="2" t="s">
        <v>23</v>
      </c>
      <c r="B11" s="2" t="s">
        <v>8</v>
      </c>
      <c r="C11" s="2" t="s">
        <v>7</v>
      </c>
      <c r="D11" s="2" t="s">
        <v>2</v>
      </c>
      <c r="E11" s="2" t="s">
        <v>1</v>
      </c>
      <c r="F11" s="2" t="s">
        <v>6</v>
      </c>
      <c r="G11" s="2" t="s">
        <v>3</v>
      </c>
      <c r="H11" s="2" t="s">
        <v>21</v>
      </c>
      <c r="I11" s="2" t="s">
        <v>9</v>
      </c>
      <c r="J11" s="2" t="s">
        <v>4</v>
      </c>
      <c r="K11" s="2" t="s">
        <v>10</v>
      </c>
      <c r="L11" s="2" t="s">
        <v>24</v>
      </c>
      <c r="M11" s="2" t="s">
        <v>25</v>
      </c>
      <c r="N11" s="195" t="s">
        <v>145</v>
      </c>
      <c r="O11" s="326" t="s">
        <v>144</v>
      </c>
      <c r="P11" s="196" t="s">
        <v>146</v>
      </c>
      <c r="Q11" s="194"/>
      <c r="R11" s="38" t="s">
        <v>29</v>
      </c>
      <c r="S11" s="38" t="s">
        <v>204</v>
      </c>
      <c r="T11" s="37" t="s">
        <v>34</v>
      </c>
      <c r="U11" s="37" t="s">
        <v>27</v>
      </c>
      <c r="V11" s="38" t="s">
        <v>39</v>
      </c>
      <c r="W11" s="38" t="s">
        <v>30</v>
      </c>
      <c r="X11" s="74" t="s">
        <v>36</v>
      </c>
      <c r="Y11" s="38" t="s">
        <v>31</v>
      </c>
      <c r="Z11" s="37" t="s">
        <v>32</v>
      </c>
      <c r="AA11" s="41" t="s">
        <v>33</v>
      </c>
    </row>
    <row r="12" spans="1:27" x14ac:dyDescent="0.25">
      <c r="A12" s="65">
        <v>0.5</v>
      </c>
      <c r="B12" s="65">
        <v>51</v>
      </c>
      <c r="C12" s="65">
        <v>144</v>
      </c>
      <c r="D12" s="66" t="s">
        <v>0</v>
      </c>
      <c r="E12" s="66">
        <v>7.4999999999999997E-2</v>
      </c>
      <c r="F12" s="7">
        <f>(A12+B12)*C12</f>
        <v>7416</v>
      </c>
      <c r="G12" s="7">
        <f>(A12+B12)/E12</f>
        <v>686.66666666666674</v>
      </c>
      <c r="H12" s="7">
        <f t="shared" ref="H12" si="4">C12/10</f>
        <v>14.4</v>
      </c>
      <c r="I12" s="66">
        <v>6</v>
      </c>
      <c r="J12" s="67">
        <f t="shared" ref="J12" si="5">H12*G12/60</f>
        <v>164.80000000000004</v>
      </c>
      <c r="K12" s="67">
        <f>J12+I12</f>
        <v>170.80000000000004</v>
      </c>
      <c r="L12" s="68">
        <v>225</v>
      </c>
      <c r="M12" s="69">
        <f>L12/60</f>
        <v>3.75</v>
      </c>
      <c r="N12" s="70">
        <f>ROUNDUP(K12*M12,1)</f>
        <v>640.5</v>
      </c>
      <c r="O12" s="327">
        <f>ROUNDUP(X32, 1)</f>
        <v>169</v>
      </c>
      <c r="P12" s="216">
        <f>IF(N12&gt;O12, N12, O12)</f>
        <v>640.5</v>
      </c>
      <c r="Q12" s="23" t="s">
        <v>166</v>
      </c>
      <c r="R12" s="32">
        <v>1</v>
      </c>
      <c r="S12" s="325">
        <f>P12*R12</f>
        <v>640.5</v>
      </c>
      <c r="T12" s="33">
        <f>IF(S12&gt;Z12, S12, Z12)</f>
        <v>640.5</v>
      </c>
      <c r="U12" s="30">
        <v>0</v>
      </c>
      <c r="V12" s="79">
        <v>0.02</v>
      </c>
      <c r="W12" s="33">
        <f>T12+U12</f>
        <v>640.5</v>
      </c>
      <c r="X12" s="77">
        <f>ROUNDUP(W12*V12,0)</f>
        <v>13</v>
      </c>
      <c r="Y12" s="33">
        <f>W12+X12</f>
        <v>653.5</v>
      </c>
      <c r="Z12" s="57">
        <v>225</v>
      </c>
      <c r="AA12" s="78">
        <f>ROUNDDOWN(Z12/N12,0)</f>
        <v>0</v>
      </c>
    </row>
    <row r="13" spans="1:27" ht="18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24"/>
      <c r="R13" s="21"/>
      <c r="S13" s="21"/>
      <c r="T13" s="27"/>
      <c r="U13" s="28"/>
      <c r="V13" s="72"/>
      <c r="W13" s="27"/>
      <c r="X13" s="76"/>
      <c r="Y13" s="27"/>
      <c r="Z13" s="25"/>
      <c r="AA13" s="26"/>
    </row>
    <row r="14" spans="1:27" ht="21" x14ac:dyDescent="0.25">
      <c r="A14" s="292" t="s">
        <v>190</v>
      </c>
      <c r="B14" s="217"/>
      <c r="C14" s="217"/>
      <c r="D14" s="217"/>
      <c r="E14" s="217"/>
      <c r="F14" s="217"/>
      <c r="G14" s="217"/>
      <c r="H14" s="217"/>
      <c r="I14" s="10"/>
      <c r="J14" s="10"/>
      <c r="K14" s="10"/>
      <c r="L14" s="10"/>
      <c r="M14" s="10"/>
      <c r="N14" s="10"/>
      <c r="O14" s="193"/>
      <c r="P14" s="193"/>
      <c r="Q14" s="21"/>
      <c r="R14" s="21"/>
      <c r="S14" s="21"/>
      <c r="T14" s="22"/>
      <c r="U14" s="22"/>
      <c r="V14" s="22"/>
      <c r="W14" s="22"/>
      <c r="X14" s="75"/>
      <c r="Y14" s="22"/>
      <c r="Z14" s="22"/>
      <c r="AA14" s="22"/>
    </row>
    <row r="15" spans="1:27" ht="45" x14ac:dyDescent="0.25">
      <c r="A15" s="2" t="s">
        <v>23</v>
      </c>
      <c r="B15" s="2" t="s">
        <v>8</v>
      </c>
      <c r="C15" s="2" t="s">
        <v>7</v>
      </c>
      <c r="D15" s="2" t="s">
        <v>2</v>
      </c>
      <c r="E15" s="2" t="s">
        <v>1</v>
      </c>
      <c r="F15" s="2" t="s">
        <v>6</v>
      </c>
      <c r="G15" s="2" t="s">
        <v>3</v>
      </c>
      <c r="H15" s="2" t="s">
        <v>21</v>
      </c>
      <c r="I15" s="2" t="s">
        <v>9</v>
      </c>
      <c r="J15" s="2" t="s">
        <v>4</v>
      </c>
      <c r="K15" s="2" t="s">
        <v>10</v>
      </c>
      <c r="L15" s="2" t="s">
        <v>24</v>
      </c>
      <c r="M15" s="2" t="s">
        <v>25</v>
      </c>
      <c r="N15" s="195" t="s">
        <v>145</v>
      </c>
      <c r="O15" s="326" t="s">
        <v>144</v>
      </c>
      <c r="P15" s="196" t="s">
        <v>146</v>
      </c>
      <c r="Q15" s="194"/>
      <c r="R15" s="38" t="s">
        <v>29</v>
      </c>
      <c r="S15" s="38" t="s">
        <v>204</v>
      </c>
      <c r="T15" s="37" t="s">
        <v>34</v>
      </c>
      <c r="U15" s="37" t="s">
        <v>27</v>
      </c>
      <c r="V15" s="38" t="s">
        <v>39</v>
      </c>
      <c r="W15" s="38" t="s">
        <v>30</v>
      </c>
      <c r="X15" s="74" t="s">
        <v>36</v>
      </c>
      <c r="Y15" s="38" t="s">
        <v>31</v>
      </c>
      <c r="Z15" s="37" t="s">
        <v>32</v>
      </c>
      <c r="AA15" s="41" t="s">
        <v>33</v>
      </c>
    </row>
    <row r="16" spans="1:27" x14ac:dyDescent="0.25">
      <c r="A16" s="65">
        <v>3.77</v>
      </c>
      <c r="B16" s="65">
        <v>60</v>
      </c>
      <c r="C16" s="65">
        <v>120</v>
      </c>
      <c r="D16" s="66" t="s">
        <v>0</v>
      </c>
      <c r="E16" s="66">
        <v>5.5E-2</v>
      </c>
      <c r="F16" s="7">
        <f>(A16+B16)*C16</f>
        <v>7652.4000000000005</v>
      </c>
      <c r="G16" s="7">
        <f>(A16+B16)/E16</f>
        <v>1159.4545454545455</v>
      </c>
      <c r="H16" s="7">
        <f t="shared" ref="H16" si="6">C16/10</f>
        <v>12</v>
      </c>
      <c r="I16" s="66">
        <v>4</v>
      </c>
      <c r="J16" s="67">
        <f t="shared" ref="J16" si="7">H16*G16/60</f>
        <v>231.8909090909091</v>
      </c>
      <c r="K16" s="67">
        <f>J16+I16</f>
        <v>235.8909090909091</v>
      </c>
      <c r="L16" s="68">
        <v>225</v>
      </c>
      <c r="M16" s="69">
        <f>L16/60</f>
        <v>3.75</v>
      </c>
      <c r="N16" s="70">
        <f>ROUNDUP(K16*M16,1)</f>
        <v>884.6</v>
      </c>
      <c r="O16" s="327">
        <f>ROUNDUP(X33, 1)</f>
        <v>1427.6</v>
      </c>
      <c r="P16" s="216">
        <f>IF(N16&gt;O16, N16, O16)</f>
        <v>1427.6</v>
      </c>
      <c r="Q16" s="23" t="s">
        <v>167</v>
      </c>
      <c r="R16" s="32">
        <v>1</v>
      </c>
      <c r="S16" s="325">
        <f>P16*R16</f>
        <v>1427.6</v>
      </c>
      <c r="T16" s="33">
        <f>IF(S16&gt;Z16, S16, Z16)</f>
        <v>1427.6</v>
      </c>
      <c r="U16" s="30">
        <v>125</v>
      </c>
      <c r="V16" s="79">
        <v>0.02</v>
      </c>
      <c r="W16" s="33">
        <f>T16+U16</f>
        <v>1552.6</v>
      </c>
      <c r="X16" s="77">
        <f>ROUNDUP(W16*V16,0)</f>
        <v>32</v>
      </c>
      <c r="Y16" s="33">
        <f>W16+X16</f>
        <v>1584.6</v>
      </c>
      <c r="Z16" s="57">
        <v>225</v>
      </c>
      <c r="AA16" s="78">
        <f>ROUNDDOWN(Z16/N16,0)</f>
        <v>0</v>
      </c>
    </row>
    <row r="19" spans="1:27" ht="21" x14ac:dyDescent="0.25">
      <c r="A19" s="15" t="s">
        <v>12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  <c r="Q19" s="60"/>
      <c r="R19" s="63"/>
      <c r="S19" s="63"/>
      <c r="T19" s="61"/>
      <c r="U19" s="209"/>
      <c r="V19" s="209"/>
      <c r="W19" s="63"/>
      <c r="X19" s="210"/>
      <c r="Y19" s="63"/>
      <c r="Z19" s="60"/>
      <c r="AA19" s="211"/>
    </row>
    <row r="20" spans="1:27" ht="45" x14ac:dyDescent="0.25">
      <c r="A20" s="4" t="s">
        <v>13</v>
      </c>
      <c r="B20" s="4" t="s">
        <v>7</v>
      </c>
      <c r="C20" s="2" t="s">
        <v>2</v>
      </c>
      <c r="D20" s="4" t="s">
        <v>1</v>
      </c>
      <c r="E20" s="5" t="s">
        <v>20</v>
      </c>
      <c r="F20" s="4" t="s">
        <v>14</v>
      </c>
      <c r="G20" s="4" t="s">
        <v>15</v>
      </c>
      <c r="H20" s="4" t="s">
        <v>17</v>
      </c>
      <c r="I20" s="4" t="s">
        <v>16</v>
      </c>
      <c r="J20" s="4" t="s">
        <v>18</v>
      </c>
      <c r="K20" s="2" t="s">
        <v>24</v>
      </c>
      <c r="L20" s="2" t="s">
        <v>25</v>
      </c>
      <c r="N20" s="6" t="s">
        <v>19</v>
      </c>
      <c r="O20" s="4"/>
      <c r="P20" s="37"/>
      <c r="R20" s="38" t="s">
        <v>29</v>
      </c>
      <c r="S20" s="41" t="s">
        <v>204</v>
      </c>
      <c r="T20" s="472" t="s">
        <v>34</v>
      </c>
      <c r="U20" s="42" t="s">
        <v>27</v>
      </c>
      <c r="V20" s="73" t="s">
        <v>39</v>
      </c>
      <c r="W20" s="44" t="s">
        <v>30</v>
      </c>
      <c r="X20" s="45" t="s">
        <v>36</v>
      </c>
      <c r="Y20" s="44" t="s">
        <v>31</v>
      </c>
      <c r="Z20" s="37" t="s">
        <v>32</v>
      </c>
      <c r="AA20" s="41" t="s">
        <v>33</v>
      </c>
    </row>
    <row r="21" spans="1:27" x14ac:dyDescent="0.25">
      <c r="A21" s="14">
        <v>5</v>
      </c>
      <c r="B21" s="14">
        <v>1.85</v>
      </c>
      <c r="C21" s="66" t="s">
        <v>0</v>
      </c>
      <c r="D21" s="16">
        <v>0.15</v>
      </c>
      <c r="E21" s="16">
        <f>A21*3.14</f>
        <v>15.700000000000001</v>
      </c>
      <c r="F21" s="17">
        <f>E21/D21</f>
        <v>104.66666666666667</v>
      </c>
      <c r="G21" s="16">
        <f>B21/10</f>
        <v>0.185</v>
      </c>
      <c r="H21" s="16">
        <v>4.5</v>
      </c>
      <c r="I21" s="19">
        <f>G21*F21/60</f>
        <v>0.32272222222222224</v>
      </c>
      <c r="J21" s="20">
        <f>I21+H21</f>
        <v>4.8227222222222226</v>
      </c>
      <c r="K21" s="68">
        <v>225</v>
      </c>
      <c r="L21" s="69">
        <f>K21/60</f>
        <v>3.75</v>
      </c>
      <c r="N21" s="18">
        <f>ROUNDUP(J21*L21,1)</f>
        <v>18.100000000000001</v>
      </c>
      <c r="O21" s="473"/>
      <c r="P21" s="474" t="s">
        <v>365</v>
      </c>
      <c r="R21" s="32">
        <v>15</v>
      </c>
      <c r="S21" s="325">
        <f>N21*R21</f>
        <v>271.5</v>
      </c>
      <c r="T21" s="33">
        <f>IF(S21&gt;Z21, S21,Z21)</f>
        <v>271.5</v>
      </c>
      <c r="U21" s="30">
        <v>125</v>
      </c>
      <c r="V21" s="79">
        <v>0.02</v>
      </c>
      <c r="W21" s="33">
        <f>T21+U21</f>
        <v>396.5</v>
      </c>
      <c r="X21" s="77">
        <f>ROUNDUP(W21*V21,0)</f>
        <v>8</v>
      </c>
      <c r="Y21" s="33">
        <f t="shared" ref="Y21" si="8">W21+X21</f>
        <v>404.5</v>
      </c>
      <c r="Z21" s="57">
        <v>225</v>
      </c>
      <c r="AA21" s="78">
        <f>ROUNDDOWN(Z21/N21,0)</f>
        <v>12</v>
      </c>
    </row>
    <row r="22" spans="1:27" x14ac:dyDescent="0.25">
      <c r="A22" s="171"/>
      <c r="B22" s="198"/>
      <c r="C22" s="198"/>
      <c r="D22" s="198"/>
      <c r="E22" s="198"/>
      <c r="F22" s="198"/>
      <c r="G22" s="173"/>
    </row>
    <row r="23" spans="1:27" x14ac:dyDescent="0.25">
      <c r="A23" s="174"/>
      <c r="G23" s="176"/>
      <c r="Q23" s="171"/>
      <c r="R23" s="198"/>
      <c r="S23" s="198"/>
      <c r="T23" s="198"/>
      <c r="U23" s="198"/>
      <c r="V23" s="198"/>
      <c r="W23" s="198"/>
      <c r="X23" s="173"/>
      <c r="Z23" t="s">
        <v>184</v>
      </c>
    </row>
    <row r="24" spans="1:27" x14ac:dyDescent="0.25">
      <c r="A24" s="174"/>
      <c r="G24" s="176"/>
      <c r="J24" s="171"/>
      <c r="K24" s="198"/>
      <c r="L24" s="215" t="s">
        <v>163</v>
      </c>
      <c r="M24" s="198"/>
      <c r="N24" s="198"/>
      <c r="O24" s="173"/>
      <c r="Q24" s="174"/>
      <c r="X24" s="176"/>
      <c r="Z24" s="260">
        <v>10000</v>
      </c>
    </row>
    <row r="25" spans="1:27" x14ac:dyDescent="0.25">
      <c r="A25" s="174" t="s">
        <v>92</v>
      </c>
      <c r="B25">
        <f>12^3</f>
        <v>1728</v>
      </c>
      <c r="C25" t="s">
        <v>93</v>
      </c>
      <c r="G25" s="176"/>
      <c r="J25" s="174"/>
      <c r="M25" t="s">
        <v>94</v>
      </c>
      <c r="N25">
        <v>62.427959999999999</v>
      </c>
      <c r="O25" s="176"/>
      <c r="Q25" s="174" t="s">
        <v>92</v>
      </c>
      <c r="R25">
        <f>12^3</f>
        <v>1728</v>
      </c>
      <c r="T25" t="s">
        <v>93</v>
      </c>
      <c r="X25" s="176"/>
      <c r="Z25">
        <v>6000</v>
      </c>
    </row>
    <row r="26" spans="1:27" x14ac:dyDescent="0.25">
      <c r="A26" s="174"/>
      <c r="C26" t="s">
        <v>95</v>
      </c>
      <c r="E26" s="161">
        <v>525</v>
      </c>
      <c r="G26" s="176"/>
      <c r="J26" s="174" t="s">
        <v>96</v>
      </c>
      <c r="K26" t="s">
        <v>97</v>
      </c>
      <c r="L26" t="s">
        <v>98</v>
      </c>
      <c r="M26" t="s">
        <v>99</v>
      </c>
      <c r="O26" s="176"/>
      <c r="Q26" s="174"/>
      <c r="T26" t="s">
        <v>95</v>
      </c>
      <c r="V26" s="161">
        <v>568</v>
      </c>
      <c r="X26" s="176"/>
      <c r="Z26">
        <v>4000</v>
      </c>
    </row>
    <row r="27" spans="1:27" x14ac:dyDescent="0.25">
      <c r="A27" s="174"/>
      <c r="C27" t="s">
        <v>161</v>
      </c>
      <c r="E27" s="162">
        <v>0.14000000000000001</v>
      </c>
      <c r="G27" s="176"/>
      <c r="J27" s="174" t="s">
        <v>101</v>
      </c>
      <c r="K27">
        <v>7075</v>
      </c>
      <c r="L27">
        <v>2.81</v>
      </c>
      <c r="M27">
        <f>L27*$N$25</f>
        <v>175.42256760000001</v>
      </c>
      <c r="O27" s="176"/>
      <c r="Q27" s="174"/>
      <c r="T27" t="s">
        <v>161</v>
      </c>
      <c r="V27" s="162">
        <v>0.14000000000000001</v>
      </c>
      <c r="X27" s="176"/>
    </row>
    <row r="28" spans="1:27" x14ac:dyDescent="0.25">
      <c r="A28" s="174"/>
      <c r="C28" t="s">
        <v>162</v>
      </c>
      <c r="E28" s="258">
        <v>0.16</v>
      </c>
      <c r="G28" s="176"/>
      <c r="J28" s="174" t="s">
        <v>101</v>
      </c>
      <c r="K28">
        <v>2219</v>
      </c>
      <c r="L28">
        <v>2.84</v>
      </c>
      <c r="M28">
        <f>L28*$N$25</f>
        <v>177.29540639999999</v>
      </c>
      <c r="O28" s="176"/>
      <c r="Q28" s="174"/>
      <c r="T28" t="s">
        <v>162</v>
      </c>
      <c r="V28" s="259">
        <v>0.16</v>
      </c>
      <c r="X28" s="176"/>
    </row>
    <row r="29" spans="1:27" x14ac:dyDescent="0.25">
      <c r="A29" s="174"/>
      <c r="G29" s="176"/>
      <c r="J29" s="174" t="s">
        <v>101</v>
      </c>
      <c r="K29">
        <v>6061</v>
      </c>
      <c r="L29">
        <v>2.7</v>
      </c>
      <c r="M29">
        <f>L29*$N$25</f>
        <v>168.55549200000002</v>
      </c>
      <c r="O29" s="176"/>
      <c r="Q29" s="174"/>
      <c r="X29" s="176"/>
    </row>
    <row r="30" spans="1:27" x14ac:dyDescent="0.25">
      <c r="A30" s="174"/>
      <c r="G30" s="176"/>
      <c r="J30" s="174" t="s">
        <v>101</v>
      </c>
      <c r="K30">
        <v>7050</v>
      </c>
      <c r="L30">
        <v>2.83</v>
      </c>
      <c r="M30">
        <f>L30*$N$25</f>
        <v>176.6711268</v>
      </c>
      <c r="O30" s="176"/>
      <c r="Q30" s="174"/>
      <c r="X30" s="176"/>
    </row>
    <row r="31" spans="1:27" x14ac:dyDescent="0.25">
      <c r="A31" s="213" t="s">
        <v>102</v>
      </c>
      <c r="B31" s="163" t="s">
        <v>103</v>
      </c>
      <c r="C31" s="163" t="s">
        <v>104</v>
      </c>
      <c r="D31" s="163" t="s">
        <v>105</v>
      </c>
      <c r="E31" s="163" t="s">
        <v>106</v>
      </c>
      <c r="F31" s="163" t="s">
        <v>107</v>
      </c>
      <c r="G31" s="214" t="s">
        <v>108</v>
      </c>
      <c r="H31" s="163"/>
      <c r="I31" s="163"/>
      <c r="J31" s="213" t="s">
        <v>109</v>
      </c>
      <c r="K31" s="163"/>
      <c r="L31" s="163"/>
      <c r="M31" s="163">
        <v>494.21</v>
      </c>
      <c r="N31" s="163" t="s">
        <v>110</v>
      </c>
      <c r="O31" s="214"/>
      <c r="P31" s="163"/>
      <c r="Q31" s="213" t="s">
        <v>102</v>
      </c>
      <c r="R31" s="163" t="s">
        <v>103</v>
      </c>
      <c r="S31" s="163"/>
      <c r="T31" s="163" t="s">
        <v>104</v>
      </c>
      <c r="U31" s="163" t="s">
        <v>105</v>
      </c>
      <c r="V31" s="163" t="s">
        <v>106</v>
      </c>
      <c r="W31" s="163" t="s">
        <v>107</v>
      </c>
      <c r="X31" s="214" t="s">
        <v>108</v>
      </c>
    </row>
    <row r="32" spans="1:27" x14ac:dyDescent="0.25">
      <c r="A32" s="222">
        <f>A3</f>
        <v>0.5</v>
      </c>
      <c r="B32" s="164">
        <f>B3</f>
        <v>51</v>
      </c>
      <c r="C32" s="164">
        <f>C3</f>
        <v>144</v>
      </c>
      <c r="D32">
        <f>A32*B32*C32</f>
        <v>3672</v>
      </c>
      <c r="E32">
        <f>D32/$B$25</f>
        <v>2.125</v>
      </c>
      <c r="F32">
        <f>E32*$E$26</f>
        <v>1115.625</v>
      </c>
      <c r="G32" s="223">
        <f>F32*$E$27</f>
        <v>156.18750000000003</v>
      </c>
      <c r="J32" s="174" t="s">
        <v>111</v>
      </c>
      <c r="M32">
        <v>283.39</v>
      </c>
      <c r="N32" t="s">
        <v>112</v>
      </c>
      <c r="O32" s="176"/>
      <c r="Q32" s="222">
        <f>A12</f>
        <v>0.5</v>
      </c>
      <c r="R32" s="164">
        <f>B12</f>
        <v>51</v>
      </c>
      <c r="S32" s="164"/>
      <c r="T32" s="164">
        <f>C12</f>
        <v>144</v>
      </c>
      <c r="U32">
        <f>Q32*R32*T32</f>
        <v>3672</v>
      </c>
      <c r="V32">
        <f>U32/$B$25</f>
        <v>2.125</v>
      </c>
      <c r="W32">
        <f>V32*$V$26</f>
        <v>1207</v>
      </c>
      <c r="X32" s="223">
        <f>W32*$V$27</f>
        <v>168.98000000000002</v>
      </c>
    </row>
    <row r="33" spans="1:26" x14ac:dyDescent="0.25">
      <c r="A33" s="224">
        <f>+A7</f>
        <v>0.315</v>
      </c>
      <c r="B33" s="165">
        <f>B7</f>
        <v>51</v>
      </c>
      <c r="C33" s="165">
        <f>C7</f>
        <v>144</v>
      </c>
      <c r="D33">
        <f t="shared" ref="D33:D36" si="9">A33*B33*C33</f>
        <v>2313.36</v>
      </c>
      <c r="E33">
        <f>D33/$B$25</f>
        <v>1.3387500000000001</v>
      </c>
      <c r="F33">
        <f>E33*$E$26</f>
        <v>702.84375</v>
      </c>
      <c r="G33" s="225">
        <f>F33*$E$28</f>
        <v>112.455</v>
      </c>
      <c r="J33" s="174" t="s">
        <v>113</v>
      </c>
      <c r="M33">
        <v>490</v>
      </c>
      <c r="O33" s="176"/>
      <c r="Q33" s="224">
        <f>A16</f>
        <v>3.77</v>
      </c>
      <c r="R33" s="165">
        <f>B16</f>
        <v>60</v>
      </c>
      <c r="S33" s="165"/>
      <c r="T33" s="165">
        <f>C16</f>
        <v>120</v>
      </c>
      <c r="U33">
        <f t="shared" ref="U33:U36" si="10">Q33*R33*T33</f>
        <v>27144</v>
      </c>
      <c r="V33">
        <f>U33/$B$25</f>
        <v>15.708333333333334</v>
      </c>
      <c r="W33">
        <f>V33*$V$26</f>
        <v>8922.3333333333339</v>
      </c>
      <c r="X33" s="225">
        <f>W33*$V$28</f>
        <v>1427.5733333333335</v>
      </c>
    </row>
    <row r="34" spans="1:26" x14ac:dyDescent="0.25">
      <c r="A34" s="226">
        <v>5.625</v>
      </c>
      <c r="B34" s="166">
        <v>5.75</v>
      </c>
      <c r="C34" s="166">
        <v>9</v>
      </c>
      <c r="D34">
        <f t="shared" si="9"/>
        <v>291.09375</v>
      </c>
      <c r="E34">
        <f>D34/$B$25</f>
        <v>0.16845703125</v>
      </c>
      <c r="F34">
        <f>E34*$E$26</f>
        <v>88.43994140625</v>
      </c>
      <c r="G34" s="227">
        <f>F34*$E$27</f>
        <v>12.381591796875002</v>
      </c>
      <c r="J34" s="174" t="s">
        <v>114</v>
      </c>
      <c r="M34">
        <v>1204.4100000000001</v>
      </c>
      <c r="O34" s="176"/>
      <c r="Q34" s="226">
        <v>5.625</v>
      </c>
      <c r="R34" s="166">
        <v>5.75</v>
      </c>
      <c r="S34" s="166"/>
      <c r="T34" s="166">
        <v>9</v>
      </c>
      <c r="U34">
        <f t="shared" si="10"/>
        <v>291.09375</v>
      </c>
      <c r="V34">
        <f>U34/$B$25</f>
        <v>0.16845703125</v>
      </c>
      <c r="W34">
        <f>V34*$E$26</f>
        <v>88.43994140625</v>
      </c>
      <c r="X34" s="227">
        <f>W34*$E$27</f>
        <v>12.381591796875002</v>
      </c>
    </row>
    <row r="35" spans="1:26" x14ac:dyDescent="0.25">
      <c r="A35" s="228">
        <v>11.75</v>
      </c>
      <c r="B35" s="167">
        <v>5.75</v>
      </c>
      <c r="C35" s="167">
        <v>55.875</v>
      </c>
      <c r="D35">
        <f t="shared" si="9"/>
        <v>3775.0546875</v>
      </c>
      <c r="E35">
        <f>D35/$B$25</f>
        <v>2.1846381293402777</v>
      </c>
      <c r="F35">
        <f>E35*$E$26</f>
        <v>1146.9350179036458</v>
      </c>
      <c r="G35" s="229">
        <f>F35*$E$27</f>
        <v>160.57090250651041</v>
      </c>
      <c r="J35" s="174" t="s">
        <v>115</v>
      </c>
      <c r="M35">
        <v>568.5</v>
      </c>
      <c r="O35" s="176"/>
      <c r="Q35" s="228">
        <v>11.75</v>
      </c>
      <c r="R35" s="167">
        <v>5.75</v>
      </c>
      <c r="S35" s="167"/>
      <c r="T35" s="167">
        <v>55.875</v>
      </c>
      <c r="U35">
        <f t="shared" si="10"/>
        <v>3775.0546875</v>
      </c>
      <c r="V35">
        <f>U35/$B$25</f>
        <v>2.1846381293402777</v>
      </c>
      <c r="W35">
        <f>V35*$E$26</f>
        <v>1146.9350179036458</v>
      </c>
      <c r="X35" s="229">
        <f>W35*$E$27</f>
        <v>160.57090250651041</v>
      </c>
    </row>
    <row r="36" spans="1:26" x14ac:dyDescent="0.25">
      <c r="A36" s="230">
        <v>10</v>
      </c>
      <c r="B36" s="231">
        <v>10</v>
      </c>
      <c r="C36" s="231">
        <v>10</v>
      </c>
      <c r="D36" s="178">
        <f t="shared" si="9"/>
        <v>1000</v>
      </c>
      <c r="E36" s="178">
        <f>D36/$B$25</f>
        <v>0.57870370370370372</v>
      </c>
      <c r="F36" s="178">
        <f>E36*$E$26</f>
        <v>303.81944444444446</v>
      </c>
      <c r="G36" s="179">
        <f>F36*$E$27</f>
        <v>42.534722222222229</v>
      </c>
      <c r="J36" s="177"/>
      <c r="K36" s="178"/>
      <c r="L36" s="178"/>
      <c r="M36" s="178"/>
      <c r="N36" s="178"/>
      <c r="O36" s="199"/>
      <c r="Q36" s="230">
        <v>10</v>
      </c>
      <c r="R36" s="231">
        <v>10</v>
      </c>
      <c r="S36" s="231"/>
      <c r="T36" s="231">
        <v>10</v>
      </c>
      <c r="U36" s="178">
        <f t="shared" si="10"/>
        <v>1000</v>
      </c>
      <c r="V36" s="178">
        <f>U36/$B$25</f>
        <v>0.57870370370370372</v>
      </c>
      <c r="W36" s="178">
        <f>V36*$E$26</f>
        <v>303.81944444444446</v>
      </c>
      <c r="X36" s="179">
        <f>W36*$E$27</f>
        <v>42.534722222222229</v>
      </c>
    </row>
    <row r="39" spans="1:26" ht="75" x14ac:dyDescent="0.25">
      <c r="A39" s="95" t="s">
        <v>178</v>
      </c>
      <c r="B39" s="246" t="s">
        <v>176</v>
      </c>
      <c r="C39" s="95" t="s">
        <v>173</v>
      </c>
      <c r="D39" s="95" t="s">
        <v>170</v>
      </c>
      <c r="E39" s="95" t="s">
        <v>171</v>
      </c>
      <c r="F39" s="246" t="s">
        <v>175</v>
      </c>
      <c r="G39" s="95" t="s">
        <v>172</v>
      </c>
      <c r="H39" s="95" t="s">
        <v>174</v>
      </c>
      <c r="I39" s="246" t="s">
        <v>177</v>
      </c>
      <c r="K39" s="184" t="s">
        <v>185</v>
      </c>
      <c r="L39" s="184" t="s">
        <v>186</v>
      </c>
      <c r="O39" s="250" t="s">
        <v>184</v>
      </c>
    </row>
    <row r="40" spans="1:26" x14ac:dyDescent="0.25">
      <c r="A40" s="232" t="s">
        <v>179</v>
      </c>
      <c r="B40" s="251">
        <v>13</v>
      </c>
      <c r="C40" s="161">
        <v>144</v>
      </c>
      <c r="D40" s="251">
        <f>B40/2</f>
        <v>6.5</v>
      </c>
      <c r="E40" s="161">
        <v>3.1415926535900001</v>
      </c>
      <c r="F40" s="161">
        <f>E40*(D40^2)</f>
        <v>132.73228961417749</v>
      </c>
      <c r="G40" s="161">
        <f>F40*C40</f>
        <v>19113.449704441558</v>
      </c>
      <c r="H40" s="161">
        <v>0.28299999999999997</v>
      </c>
      <c r="I40" s="233">
        <f>G40*H40</f>
        <v>5409.106266356961</v>
      </c>
      <c r="K40" s="257">
        <v>0.14000000000000001</v>
      </c>
      <c r="L40" s="256">
        <f>ROUND(K40*I40, 2)</f>
        <v>757.27</v>
      </c>
      <c r="O40" s="95">
        <v>6000</v>
      </c>
      <c r="X40">
        <v>221.9</v>
      </c>
    </row>
    <row r="41" spans="1:26" x14ac:dyDescent="0.25">
      <c r="A41" s="234" t="s">
        <v>180</v>
      </c>
      <c r="B41" s="252">
        <v>13</v>
      </c>
      <c r="C41" s="235">
        <v>144</v>
      </c>
      <c r="D41" s="252">
        <f>B41/2</f>
        <v>6.5</v>
      </c>
      <c r="E41" s="235">
        <v>3.1415926535900001</v>
      </c>
      <c r="F41" s="235">
        <f t="shared" ref="F41:F44" si="11">E41*(D41^2)</f>
        <v>132.73228961417749</v>
      </c>
      <c r="G41" s="235">
        <f>F41*C41</f>
        <v>19113.449704441558</v>
      </c>
      <c r="H41" s="235">
        <v>0.28999999999999998</v>
      </c>
      <c r="I41" s="236">
        <f>G41*H41</f>
        <v>5542.9004142880513</v>
      </c>
      <c r="K41" s="257">
        <v>0.14000000000000001</v>
      </c>
      <c r="L41" s="256">
        <f t="shared" ref="L41:L44" si="12">ROUND(K41*I41, 2)</f>
        <v>776.01</v>
      </c>
      <c r="X41">
        <v>892.3</v>
      </c>
    </row>
    <row r="42" spans="1:26" x14ac:dyDescent="0.25">
      <c r="A42" s="237" t="s">
        <v>181</v>
      </c>
      <c r="B42" s="253">
        <v>13</v>
      </c>
      <c r="C42" s="238">
        <v>144</v>
      </c>
      <c r="D42" s="253">
        <f>B42/2</f>
        <v>6.5</v>
      </c>
      <c r="E42" s="238">
        <v>3.1415926535900001</v>
      </c>
      <c r="F42" s="238">
        <f t="shared" si="11"/>
        <v>132.73228961417749</v>
      </c>
      <c r="G42" s="238">
        <f>F42*C42</f>
        <v>19113.449704441558</v>
      </c>
      <c r="H42" s="238">
        <v>0.1</v>
      </c>
      <c r="I42" s="239">
        <f>G42*H42</f>
        <v>1911.3449704441559</v>
      </c>
      <c r="K42" s="257">
        <v>0.2</v>
      </c>
      <c r="L42" s="256">
        <f t="shared" si="12"/>
        <v>382.27</v>
      </c>
      <c r="X42">
        <v>1022.4</v>
      </c>
    </row>
    <row r="43" spans="1:26" x14ac:dyDescent="0.25">
      <c r="A43" s="240" t="s">
        <v>182</v>
      </c>
      <c r="B43" s="254">
        <v>13</v>
      </c>
      <c r="C43" s="241">
        <v>144</v>
      </c>
      <c r="D43" s="254">
        <f>B43/2</f>
        <v>6.5</v>
      </c>
      <c r="E43" s="241">
        <v>3.1415926535900001</v>
      </c>
      <c r="F43" s="241">
        <f t="shared" si="11"/>
        <v>132.73228961417749</v>
      </c>
      <c r="G43" s="241">
        <f>F43*C43</f>
        <v>19113.449704441558</v>
      </c>
      <c r="H43" s="241">
        <v>0.16</v>
      </c>
      <c r="I43" s="242">
        <f>G43*H43</f>
        <v>3058.1519527106493</v>
      </c>
      <c r="K43" s="257">
        <v>0.26</v>
      </c>
      <c r="L43" s="256">
        <f t="shared" si="12"/>
        <v>795.12</v>
      </c>
      <c r="X43">
        <f>X40+X41+X42</f>
        <v>2136.6</v>
      </c>
    </row>
    <row r="44" spans="1:26" ht="30" x14ac:dyDescent="0.25">
      <c r="A44" s="243" t="s">
        <v>187</v>
      </c>
      <c r="B44" s="255">
        <v>13</v>
      </c>
      <c r="C44" s="244">
        <v>144</v>
      </c>
      <c r="D44" s="255">
        <f>B44/2</f>
        <v>6.5</v>
      </c>
      <c r="E44" s="244">
        <v>3.1415926535900001</v>
      </c>
      <c r="F44" s="244">
        <f t="shared" si="11"/>
        <v>132.73228961417749</v>
      </c>
      <c r="G44" s="244">
        <f>F44*C44</f>
        <v>19113.449704441558</v>
      </c>
      <c r="H44" s="244">
        <v>0.29649999999999999</v>
      </c>
      <c r="I44" s="245">
        <f>G44*H44</f>
        <v>5667.1378373669222</v>
      </c>
      <c r="K44" s="257">
        <v>0.14000000000000001</v>
      </c>
      <c r="L44" s="256">
        <f t="shared" si="12"/>
        <v>793.4</v>
      </c>
      <c r="N44" s="3" t="s">
        <v>5</v>
      </c>
      <c r="O44" s="38" t="s">
        <v>29</v>
      </c>
      <c r="P44" s="37" t="s">
        <v>34</v>
      </c>
      <c r="Q44" s="37" t="s">
        <v>27</v>
      </c>
      <c r="R44" s="38" t="s">
        <v>39</v>
      </c>
      <c r="S44" s="38" t="s">
        <v>30</v>
      </c>
      <c r="T44" s="74" t="s">
        <v>36</v>
      </c>
      <c r="U44" s="38" t="s">
        <v>31</v>
      </c>
      <c r="V44" s="520" t="s">
        <v>439</v>
      </c>
      <c r="W44" s="520" t="s">
        <v>438</v>
      </c>
      <c r="X44" s="520" t="s">
        <v>448</v>
      </c>
      <c r="Y44" s="520" t="s">
        <v>291</v>
      </c>
      <c r="Z44" s="520" t="s">
        <v>449</v>
      </c>
    </row>
    <row r="45" spans="1:26" x14ac:dyDescent="0.25">
      <c r="N45" s="70">
        <v>44.8</v>
      </c>
      <c r="O45" s="32">
        <v>15</v>
      </c>
      <c r="P45" s="33">
        <f>IF(Z45&gt;Y45,Z45,Y45)</f>
        <v>672</v>
      </c>
      <c r="Q45" s="30">
        <v>125</v>
      </c>
      <c r="R45" s="79">
        <v>0.02</v>
      </c>
      <c r="S45" s="33">
        <f>P45+Q45</f>
        <v>797</v>
      </c>
      <c r="T45" s="77">
        <f>ROUNDUP(S45*R45,0)</f>
        <v>16</v>
      </c>
      <c r="U45" s="33">
        <f>S45+T45</f>
        <v>813</v>
      </c>
      <c r="V45" s="33">
        <f>(R45+S45)*3</f>
        <v>2391.06</v>
      </c>
      <c r="W45" s="33">
        <f>(S45+T45)*2</f>
        <v>1626</v>
      </c>
      <c r="X45" s="33">
        <f>(T45+U45)*1.5</f>
        <v>1243.5</v>
      </c>
      <c r="Y45" s="529">
        <f>N45*O45</f>
        <v>672</v>
      </c>
      <c r="Z45" s="528">
        <v>225</v>
      </c>
    </row>
    <row r="46" spans="1:26" x14ac:dyDescent="0.25">
      <c r="N46" s="1"/>
      <c r="O46" s="1"/>
      <c r="P46" s="1"/>
      <c r="Q46" s="1"/>
      <c r="R46" s="1"/>
      <c r="S46" s="1"/>
      <c r="T46" s="8"/>
      <c r="U46" s="1"/>
      <c r="V46" s="1"/>
      <c r="W46" s="1"/>
      <c r="X46" s="1"/>
      <c r="Y46" s="1"/>
      <c r="Z46" s="1"/>
    </row>
    <row r="47" spans="1:26" ht="15.75" thickBot="1" x14ac:dyDescent="0.3">
      <c r="N47" s="1"/>
      <c r="O47" s="1"/>
      <c r="P47" s="1"/>
      <c r="Q47" s="1"/>
      <c r="R47" s="1"/>
      <c r="S47" s="1"/>
      <c r="T47" s="8"/>
      <c r="U47" s="1"/>
      <c r="V47" s="1"/>
      <c r="W47" s="1"/>
      <c r="X47" s="1"/>
      <c r="Y47" s="1"/>
      <c r="Z47" s="1"/>
    </row>
    <row r="48" spans="1:26" ht="15.75" thickTop="1" x14ac:dyDescent="0.25">
      <c r="N48" s="1"/>
      <c r="O48" s="1"/>
      <c r="P48" s="1"/>
      <c r="Q48" s="1"/>
      <c r="R48" s="1"/>
      <c r="S48" s="391" t="s">
        <v>296</v>
      </c>
      <c r="T48" s="392"/>
      <c r="U48" s="393">
        <f>N45</f>
        <v>44.8</v>
      </c>
      <c r="V48" s="1"/>
      <c r="W48" s="391" t="s">
        <v>34</v>
      </c>
      <c r="X48" s="392"/>
      <c r="Y48" s="393">
        <f>P45</f>
        <v>672</v>
      </c>
      <c r="Z48" s="1"/>
    </row>
    <row r="49" spans="14:26" x14ac:dyDescent="0.25">
      <c r="N49" s="1"/>
      <c r="O49" s="1"/>
      <c r="P49" s="1"/>
      <c r="Q49" s="1"/>
      <c r="R49" s="1"/>
      <c r="S49" s="394" t="s">
        <v>297</v>
      </c>
      <c r="T49" s="390"/>
      <c r="U49" s="395">
        <f>O45</f>
        <v>15</v>
      </c>
      <c r="V49" s="1"/>
      <c r="W49" s="394" t="s">
        <v>297</v>
      </c>
      <c r="X49" s="390"/>
      <c r="Y49" s="395">
        <f>O45</f>
        <v>15</v>
      </c>
      <c r="Z49" s="1"/>
    </row>
    <row r="50" spans="14:26" x14ac:dyDescent="0.25">
      <c r="N50" s="1"/>
      <c r="O50" s="1"/>
      <c r="P50" s="1"/>
      <c r="Q50" s="1"/>
      <c r="R50" s="1"/>
      <c r="S50" s="394" t="s">
        <v>298</v>
      </c>
      <c r="T50" s="390"/>
      <c r="U50" s="396">
        <f>Q45</f>
        <v>125</v>
      </c>
      <c r="V50" s="1"/>
      <c r="W50" s="394" t="s">
        <v>298</v>
      </c>
      <c r="X50" s="390"/>
      <c r="Y50" s="396">
        <f>Q45</f>
        <v>125</v>
      </c>
      <c r="Z50" s="1"/>
    </row>
    <row r="51" spans="14:26" x14ac:dyDescent="0.25">
      <c r="N51" s="1"/>
      <c r="O51" s="1"/>
      <c r="P51" s="1"/>
      <c r="Q51" s="1"/>
      <c r="R51" s="1"/>
      <c r="S51" s="394" t="s">
        <v>299</v>
      </c>
      <c r="T51" s="390"/>
      <c r="U51" s="397">
        <f>T45</f>
        <v>16</v>
      </c>
      <c r="V51" s="1"/>
      <c r="W51" s="394" t="s">
        <v>299</v>
      </c>
      <c r="X51" s="390"/>
      <c r="Y51" s="397">
        <f>T45</f>
        <v>16</v>
      </c>
      <c r="Z51" s="1"/>
    </row>
    <row r="52" spans="14:26" x14ac:dyDescent="0.25">
      <c r="N52" s="1"/>
      <c r="O52" s="1"/>
      <c r="P52" s="1"/>
      <c r="Q52" s="1"/>
      <c r="R52" s="1"/>
      <c r="S52" s="394" t="s">
        <v>300</v>
      </c>
      <c r="T52" s="390"/>
      <c r="U52" s="397">
        <f>U45</f>
        <v>813</v>
      </c>
      <c r="V52" s="1"/>
      <c r="W52" s="394" t="s">
        <v>300</v>
      </c>
      <c r="X52" s="390"/>
      <c r="Y52" s="397">
        <f>U45</f>
        <v>813</v>
      </c>
      <c r="Z52" s="1"/>
    </row>
    <row r="53" spans="14:26" ht="15.75" thickBot="1" x14ac:dyDescent="0.3">
      <c r="N53" s="1"/>
      <c r="O53" s="1"/>
      <c r="P53" s="1"/>
      <c r="Q53" s="1"/>
      <c r="R53" s="1"/>
      <c r="S53" s="398" t="s">
        <v>313</v>
      </c>
      <c r="T53" s="532" t="s">
        <v>314</v>
      </c>
      <c r="U53" s="533"/>
      <c r="V53" s="1"/>
      <c r="W53" s="398" t="s">
        <v>313</v>
      </c>
      <c r="X53" s="532" t="s">
        <v>314</v>
      </c>
      <c r="Y53" s="533"/>
      <c r="Z53" s="1"/>
    </row>
    <row r="54" spans="14:26" ht="15.75" thickTop="1" x14ac:dyDescent="0.25"/>
  </sheetData>
  <mergeCells count="2">
    <mergeCell ref="T53:U53"/>
    <mergeCell ref="X53:Y53"/>
  </mergeCells>
  <conditionalFormatting sqref="I40:I44">
    <cfRule type="cellIs" dxfId="74" priority="1" operator="greaterThan">
      <formula>$Q$19</formula>
    </cfRule>
  </conditionalFormatting>
  <conditionalFormatting sqref="I44">
    <cfRule type="cellIs" dxfId="73" priority="7" operator="greaterThan">
      <formula>6296.819819</formula>
    </cfRule>
    <cfRule type="cellIs" dxfId="72" priority="8" operator="greaterThan">
      <formula>$Q$19</formula>
    </cfRule>
  </conditionalFormatting>
  <conditionalFormatting sqref="L44">
    <cfRule type="cellIs" dxfId="71" priority="2" operator="greaterThan">
      <formula>960</formula>
    </cfRule>
    <cfRule type="cellIs" priority="3" operator="greaterThan">
      <formula>960</formula>
    </cfRule>
    <cfRule type="expression" priority="4">
      <formula>$K$23</formula>
    </cfRule>
    <cfRule type="aboveAverage" priority="5" aboveAverage="0"/>
    <cfRule type="expression" priority="6">
      <formula>"IF K28 IS RED"</formula>
    </cfRule>
  </conditionalFormatting>
  <conditionalFormatting sqref="P3">
    <cfRule type="expression" dxfId="70" priority="9">
      <formula>$F$32&gt;$Z$24</formula>
    </cfRule>
    <cfRule type="expression" priority="13">
      <formula>$W$32&gt;$Z$24</formula>
    </cfRule>
  </conditionalFormatting>
  <conditionalFormatting sqref="P7">
    <cfRule type="expression" dxfId="69" priority="10">
      <formula>$F$33&gt;$Z$24</formula>
    </cfRule>
  </conditionalFormatting>
  <conditionalFormatting sqref="P12">
    <cfRule type="expression" dxfId="68" priority="12">
      <formula>$W$32&gt;$Z$24</formula>
    </cfRule>
  </conditionalFormatting>
  <conditionalFormatting sqref="P16">
    <cfRule type="expression" dxfId="67" priority="11">
      <formula>$W$33&gt;$Z$24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0E10-15CD-4190-A315-447105E7177B}">
  <sheetPr>
    <tabColor rgb="FF92D050"/>
    <pageSetUpPr fitToPage="1"/>
  </sheetPr>
  <dimension ref="A1:J16"/>
  <sheetViews>
    <sheetView workbookViewId="0">
      <selection activeCell="E31" sqref="E31"/>
    </sheetView>
  </sheetViews>
  <sheetFormatPr defaultRowHeight="15" x14ac:dyDescent="0.25"/>
  <cols>
    <col min="1" max="1" width="25.5703125" customWidth="1"/>
    <col min="9" max="9" width="17.28515625" customWidth="1"/>
    <col min="10" max="10" width="21.42578125" customWidth="1"/>
  </cols>
  <sheetData>
    <row r="1" spans="1:10" ht="15.75" thickBot="1" x14ac:dyDescent="0.3">
      <c r="A1" s="399"/>
      <c r="B1" s="399"/>
      <c r="C1" s="399"/>
      <c r="D1" s="399"/>
      <c r="E1" s="399"/>
      <c r="F1" s="550" t="s">
        <v>315</v>
      </c>
      <c r="G1" s="550"/>
      <c r="H1" s="551"/>
      <c r="I1" s="400"/>
    </row>
    <row r="2" spans="1:10" ht="55.5" customHeight="1" thickTop="1" x14ac:dyDescent="0.25">
      <c r="A2" s="552" t="s">
        <v>316</v>
      </c>
      <c r="B2" s="552" t="s">
        <v>317</v>
      </c>
      <c r="C2" s="552" t="s">
        <v>318</v>
      </c>
      <c r="D2" s="401" t="s">
        <v>319</v>
      </c>
      <c r="E2" s="552" t="s">
        <v>321</v>
      </c>
      <c r="F2" s="403" t="s">
        <v>322</v>
      </c>
      <c r="G2" s="403" t="s">
        <v>324</v>
      </c>
      <c r="H2" s="403" t="s">
        <v>326</v>
      </c>
      <c r="I2" s="548" t="s">
        <v>328</v>
      </c>
      <c r="J2" s="408" t="s">
        <v>344</v>
      </c>
    </row>
    <row r="3" spans="1:10" ht="19.5" thickBot="1" x14ac:dyDescent="0.3">
      <c r="A3" s="553"/>
      <c r="B3" s="553"/>
      <c r="C3" s="553"/>
      <c r="D3" s="402" t="s">
        <v>320</v>
      </c>
      <c r="E3" s="553"/>
      <c r="F3" s="404" t="s">
        <v>323</v>
      </c>
      <c r="G3" s="404" t="s">
        <v>325</v>
      </c>
      <c r="H3" s="404" t="s">
        <v>327</v>
      </c>
      <c r="I3" s="549"/>
      <c r="J3" s="409"/>
    </row>
    <row r="4" spans="1:10" ht="20.25" thickTop="1" thickBot="1" x14ac:dyDescent="0.35">
      <c r="A4" s="405" t="s">
        <v>329</v>
      </c>
      <c r="B4" s="406">
        <v>-205</v>
      </c>
      <c r="C4" s="406">
        <v>-1</v>
      </c>
      <c r="D4" s="406">
        <v>-1</v>
      </c>
      <c r="E4" s="406" t="s">
        <v>330</v>
      </c>
      <c r="F4" s="407">
        <v>7.25</v>
      </c>
      <c r="G4" s="407">
        <v>27</v>
      </c>
      <c r="H4" s="407">
        <v>68</v>
      </c>
      <c r="I4" s="410">
        <v>493.95</v>
      </c>
      <c r="J4" s="412">
        <f>I4/2</f>
        <v>246.97499999999999</v>
      </c>
    </row>
    <row r="5" spans="1:10" ht="20.25" thickTop="1" thickBot="1" x14ac:dyDescent="0.35">
      <c r="A5" s="405" t="s">
        <v>331</v>
      </c>
      <c r="B5" s="406">
        <v>-205</v>
      </c>
      <c r="C5" s="406">
        <v>-1</v>
      </c>
      <c r="D5" s="406">
        <v>-1</v>
      </c>
      <c r="E5" s="406" t="s">
        <v>332</v>
      </c>
      <c r="F5" s="407">
        <v>5.75</v>
      </c>
      <c r="G5" s="407">
        <v>25.5</v>
      </c>
      <c r="H5" s="407">
        <v>93</v>
      </c>
      <c r="I5" s="410">
        <v>506.05</v>
      </c>
      <c r="J5" s="412">
        <f t="shared" ref="J5:J16" si="0">I5/2</f>
        <v>253.02500000000001</v>
      </c>
    </row>
    <row r="6" spans="1:10" ht="20.25" thickTop="1" thickBot="1" x14ac:dyDescent="0.35">
      <c r="A6" s="405" t="s">
        <v>333</v>
      </c>
      <c r="B6" s="406">
        <v>-205</v>
      </c>
      <c r="C6" s="406">
        <v>-1</v>
      </c>
      <c r="D6" s="406">
        <v>-1</v>
      </c>
      <c r="E6" s="406" t="s">
        <v>332</v>
      </c>
      <c r="F6" s="407">
        <v>5.25</v>
      </c>
      <c r="G6" s="407">
        <v>26.5</v>
      </c>
      <c r="H6" s="407">
        <v>71</v>
      </c>
      <c r="I6" s="410">
        <v>366.55</v>
      </c>
      <c r="J6" s="412">
        <f t="shared" si="0"/>
        <v>183.27500000000001</v>
      </c>
    </row>
    <row r="7" spans="1:10" ht="20.25" thickTop="1" thickBot="1" x14ac:dyDescent="0.35">
      <c r="A7" s="405" t="s">
        <v>334</v>
      </c>
      <c r="B7" s="406">
        <v>-205</v>
      </c>
      <c r="C7" s="406">
        <v>-1</v>
      </c>
      <c r="D7" s="406">
        <v>-1</v>
      </c>
      <c r="E7" s="406" t="s">
        <v>330</v>
      </c>
      <c r="F7" s="407">
        <v>6.75</v>
      </c>
      <c r="G7" s="407">
        <v>22.5</v>
      </c>
      <c r="H7" s="407">
        <v>67</v>
      </c>
      <c r="I7" s="410">
        <v>377.6</v>
      </c>
      <c r="J7" s="412">
        <f t="shared" si="0"/>
        <v>188.8</v>
      </c>
    </row>
    <row r="8" spans="1:10" ht="20.25" thickTop="1" thickBot="1" x14ac:dyDescent="0.35">
      <c r="A8" s="405" t="s">
        <v>335</v>
      </c>
      <c r="B8" s="406">
        <v>-203</v>
      </c>
      <c r="C8" s="406">
        <v>-1</v>
      </c>
      <c r="D8" s="406">
        <v>-1</v>
      </c>
      <c r="E8" s="406" t="s">
        <v>330</v>
      </c>
      <c r="F8" s="407">
        <v>6.75</v>
      </c>
      <c r="G8" s="407">
        <v>32.5</v>
      </c>
      <c r="H8" s="407">
        <v>67</v>
      </c>
      <c r="I8" s="410">
        <v>545.45000000000005</v>
      </c>
      <c r="J8" s="412">
        <f t="shared" si="0"/>
        <v>272.72500000000002</v>
      </c>
    </row>
    <row r="9" spans="1:10" ht="20.25" thickTop="1" thickBot="1" x14ac:dyDescent="0.35">
      <c r="A9" s="405" t="s">
        <v>336</v>
      </c>
      <c r="B9" s="406">
        <v>-203</v>
      </c>
      <c r="C9" s="406">
        <v>-1</v>
      </c>
      <c r="D9" s="406">
        <v>-1</v>
      </c>
      <c r="E9" s="406" t="s">
        <v>332</v>
      </c>
      <c r="F9" s="407">
        <v>5.25</v>
      </c>
      <c r="G9" s="407">
        <v>39</v>
      </c>
      <c r="H9" s="407">
        <v>98</v>
      </c>
      <c r="I9" s="410">
        <v>744.65</v>
      </c>
      <c r="J9" s="412">
        <f t="shared" si="0"/>
        <v>372.32499999999999</v>
      </c>
    </row>
    <row r="10" spans="1:10" ht="20.25" thickTop="1" thickBot="1" x14ac:dyDescent="0.35">
      <c r="A10" s="405" t="s">
        <v>337</v>
      </c>
      <c r="B10" s="406">
        <v>-205</v>
      </c>
      <c r="C10" s="406">
        <v>-1</v>
      </c>
      <c r="D10" s="406">
        <v>-1</v>
      </c>
      <c r="E10" s="406" t="s">
        <v>330</v>
      </c>
      <c r="F10" s="407">
        <v>8.25</v>
      </c>
      <c r="G10" s="407">
        <v>51.5</v>
      </c>
      <c r="H10" s="407">
        <v>139</v>
      </c>
      <c r="I10" s="410">
        <v>1163.5</v>
      </c>
      <c r="J10" s="412">
        <f t="shared" si="0"/>
        <v>581.75</v>
      </c>
    </row>
    <row r="11" spans="1:10" ht="20.25" thickTop="1" thickBot="1" x14ac:dyDescent="0.35">
      <c r="A11" s="405" t="s">
        <v>338</v>
      </c>
      <c r="B11" s="406">
        <v>-205</v>
      </c>
      <c r="C11" s="406">
        <v>-1</v>
      </c>
      <c r="D11" s="406">
        <v>-1</v>
      </c>
      <c r="E11" s="406" t="s">
        <v>332</v>
      </c>
      <c r="F11" s="407">
        <v>5.75</v>
      </c>
      <c r="G11" s="407">
        <v>49</v>
      </c>
      <c r="H11" s="407">
        <v>112</v>
      </c>
      <c r="I11" s="410">
        <v>902.5</v>
      </c>
      <c r="J11" s="412">
        <f t="shared" si="0"/>
        <v>451.25</v>
      </c>
    </row>
    <row r="12" spans="1:10" ht="20.25" thickTop="1" thickBot="1" x14ac:dyDescent="0.35">
      <c r="A12" s="405" t="s">
        <v>339</v>
      </c>
      <c r="B12" s="406">
        <v>-203</v>
      </c>
      <c r="C12" s="406">
        <v>-1</v>
      </c>
      <c r="D12" s="406">
        <v>-1</v>
      </c>
      <c r="E12" s="406" t="s">
        <v>330</v>
      </c>
      <c r="F12" s="407">
        <v>7.25</v>
      </c>
      <c r="G12" s="407">
        <v>27</v>
      </c>
      <c r="H12" s="407">
        <v>108</v>
      </c>
      <c r="I12" s="410">
        <v>784.55</v>
      </c>
      <c r="J12" s="412">
        <f t="shared" si="0"/>
        <v>392.27499999999998</v>
      </c>
    </row>
    <row r="13" spans="1:10" ht="20.25" thickTop="1" thickBot="1" x14ac:dyDescent="0.35">
      <c r="A13" s="405" t="s">
        <v>340</v>
      </c>
      <c r="B13" s="406">
        <v>-203</v>
      </c>
      <c r="C13" s="406">
        <v>-1</v>
      </c>
      <c r="D13" s="406">
        <v>-1</v>
      </c>
      <c r="E13" s="406" t="s">
        <v>330</v>
      </c>
      <c r="F13" s="407">
        <v>7.25</v>
      </c>
      <c r="G13" s="407">
        <v>25.5</v>
      </c>
      <c r="H13" s="407">
        <v>81</v>
      </c>
      <c r="I13" s="410">
        <v>555.70000000000005</v>
      </c>
      <c r="J13" s="412">
        <f t="shared" si="0"/>
        <v>277.85000000000002</v>
      </c>
    </row>
    <row r="14" spans="1:10" ht="20.25" thickTop="1" thickBot="1" x14ac:dyDescent="0.35">
      <c r="A14" s="405" t="s">
        <v>341</v>
      </c>
      <c r="B14" s="406">
        <v>-203</v>
      </c>
      <c r="C14" s="406">
        <v>-1</v>
      </c>
      <c r="D14" s="406">
        <v>-1</v>
      </c>
      <c r="E14" s="406" t="s">
        <v>330</v>
      </c>
      <c r="F14" s="407">
        <v>6.75</v>
      </c>
      <c r="G14" s="407">
        <v>22.5</v>
      </c>
      <c r="H14" s="407">
        <v>91</v>
      </c>
      <c r="I14" s="410">
        <v>512.9</v>
      </c>
      <c r="J14" s="412">
        <f t="shared" si="0"/>
        <v>256.45</v>
      </c>
    </row>
    <row r="15" spans="1:10" ht="20.25" thickTop="1" thickBot="1" x14ac:dyDescent="0.35">
      <c r="A15" s="405" t="s">
        <v>342</v>
      </c>
      <c r="B15" s="406">
        <v>-201</v>
      </c>
      <c r="C15" s="406">
        <v>-1</v>
      </c>
      <c r="D15" s="406">
        <v>-1</v>
      </c>
      <c r="E15" s="406" t="s">
        <v>332</v>
      </c>
      <c r="F15" s="407">
        <v>5.25</v>
      </c>
      <c r="G15" s="407">
        <v>37</v>
      </c>
      <c r="H15" s="407">
        <v>62</v>
      </c>
      <c r="I15" s="410">
        <v>446.95</v>
      </c>
      <c r="J15" s="412">
        <f t="shared" si="0"/>
        <v>223.47499999999999</v>
      </c>
    </row>
    <row r="16" spans="1:10" ht="20.25" thickTop="1" thickBot="1" x14ac:dyDescent="0.35">
      <c r="A16" s="405" t="s">
        <v>343</v>
      </c>
      <c r="B16" s="406">
        <v>-205</v>
      </c>
      <c r="C16" s="406">
        <v>-1</v>
      </c>
      <c r="D16" s="406">
        <v>-1</v>
      </c>
      <c r="E16" s="406" t="s">
        <v>330</v>
      </c>
      <c r="F16" s="407">
        <v>8.25</v>
      </c>
      <c r="G16" s="407">
        <v>46</v>
      </c>
      <c r="H16" s="407">
        <v>152</v>
      </c>
      <c r="I16" s="411">
        <v>1137.5</v>
      </c>
      <c r="J16" s="412">
        <f t="shared" si="0"/>
        <v>568.75</v>
      </c>
    </row>
  </sheetData>
  <mergeCells count="6">
    <mergeCell ref="I2:I3"/>
    <mergeCell ref="F1:H1"/>
    <mergeCell ref="A2:A3"/>
    <mergeCell ref="B2:B3"/>
    <mergeCell ref="C2:C3"/>
    <mergeCell ref="E2:E3"/>
  </mergeCells>
  <pageMargins left="0.7" right="0.7" top="0.75" bottom="0.75" header="0.3" footer="0.3"/>
  <pageSetup scale="96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55C4-22BD-4F61-A967-4FFBEB5921BF}">
  <sheetPr>
    <tabColor rgb="FF92D050"/>
  </sheetPr>
  <dimension ref="A1:AB41"/>
  <sheetViews>
    <sheetView zoomScaleNormal="100" workbookViewId="0">
      <selection activeCell="N22" sqref="N22:Q28"/>
    </sheetView>
  </sheetViews>
  <sheetFormatPr defaultColWidth="9.140625" defaultRowHeight="15" x14ac:dyDescent="0.25"/>
  <cols>
    <col min="1" max="1" width="9.140625" style="1"/>
    <col min="2" max="3" width="13.28515625" style="1" customWidth="1"/>
    <col min="4" max="5" width="13.28515625" style="1" hidden="1" customWidth="1"/>
    <col min="6" max="6" width="21" style="1" hidden="1" customWidth="1"/>
    <col min="7" max="7" width="22.7109375" style="1" hidden="1" customWidth="1"/>
    <col min="8" max="8" width="14.85546875" style="1" hidden="1" customWidth="1"/>
    <col min="9" max="9" width="11.5703125" style="1" hidden="1" customWidth="1"/>
    <col min="10" max="10" width="12.42578125" style="1" hidden="1" customWidth="1"/>
    <col min="11" max="13" width="26" style="1" hidden="1" customWidth="1"/>
    <col min="14" max="14" width="18.5703125" style="1" customWidth="1"/>
    <col min="15" max="15" width="16.42578125" style="1" customWidth="1"/>
    <col min="16" max="16" width="17.85546875" style="1" customWidth="1"/>
    <col min="17" max="17" width="13.85546875" style="1" customWidth="1"/>
    <col min="18" max="18" width="11.85546875" style="1" customWidth="1"/>
    <col min="19" max="19" width="14.7109375" style="1" customWidth="1"/>
    <col min="20" max="20" width="8.7109375" style="1" customWidth="1"/>
    <col min="21" max="21" width="10.5703125" style="1" bestFit="1" customWidth="1"/>
    <col min="22" max="22" width="20.28515625" style="8" bestFit="1" customWidth="1"/>
    <col min="23" max="23" width="13.140625" style="1" customWidth="1"/>
    <col min="24" max="24" width="12.28515625" style="1" bestFit="1" customWidth="1"/>
    <col min="25" max="25" width="12.42578125" style="1" bestFit="1" customWidth="1"/>
    <col min="26" max="16384" width="9.140625" style="1"/>
  </cols>
  <sheetData>
    <row r="1" spans="1:28" ht="21" x14ac:dyDescent="0.25">
      <c r="A1" s="9" t="s">
        <v>311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1"/>
      <c r="P1" s="21"/>
      <c r="Q1" s="21"/>
      <c r="R1" s="22"/>
      <c r="S1" s="22"/>
      <c r="T1" s="22"/>
      <c r="U1" s="22"/>
      <c r="V1" s="75"/>
      <c r="W1" s="22"/>
      <c r="X1" s="22"/>
      <c r="Y1" s="22"/>
    </row>
    <row r="2" spans="1:28" ht="30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3" t="s">
        <v>5</v>
      </c>
      <c r="O2" s="34"/>
      <c r="P2" s="38" t="s">
        <v>29</v>
      </c>
      <c r="Q2" s="38" t="s">
        <v>291</v>
      </c>
      <c r="R2" s="37" t="s">
        <v>34</v>
      </c>
      <c r="S2" s="37" t="s">
        <v>27</v>
      </c>
      <c r="T2" s="38" t="s">
        <v>39</v>
      </c>
      <c r="U2" s="38" t="s">
        <v>30</v>
      </c>
      <c r="V2" s="74" t="s">
        <v>36</v>
      </c>
      <c r="W2" s="38" t="s">
        <v>31</v>
      </c>
      <c r="X2" s="37" t="s">
        <v>32</v>
      </c>
      <c r="Y2" s="41" t="s">
        <v>33</v>
      </c>
    </row>
    <row r="3" spans="1:28" x14ac:dyDescent="0.25">
      <c r="A3" s="65">
        <v>1</v>
      </c>
      <c r="B3" s="65">
        <v>14.55</v>
      </c>
      <c r="C3" s="65">
        <v>48.9</v>
      </c>
      <c r="D3" s="66" t="s">
        <v>0</v>
      </c>
      <c r="E3" s="66">
        <v>0.1</v>
      </c>
      <c r="F3" s="66">
        <f>(A3+B3)*C3</f>
        <v>760.39499999999998</v>
      </c>
      <c r="G3" s="66">
        <f>(A3+B3)/E3</f>
        <v>155.5</v>
      </c>
      <c r="H3" s="66">
        <f t="shared" ref="H3" si="0">C3/10</f>
        <v>4.8899999999999997</v>
      </c>
      <c r="I3" s="66">
        <v>6</v>
      </c>
      <c r="J3" s="67">
        <f t="shared" ref="J3" si="1">H3*G3/60</f>
        <v>12.673249999999999</v>
      </c>
      <c r="K3" s="67">
        <f>J3+I3</f>
        <v>18.673249999999999</v>
      </c>
      <c r="L3" s="68">
        <v>250</v>
      </c>
      <c r="M3" s="69">
        <f>L3/60</f>
        <v>4.166666666666667</v>
      </c>
      <c r="N3" s="70">
        <f>ROUNDUP(K3*M3,1)</f>
        <v>77.899999999999991</v>
      </c>
      <c r="O3" s="23" t="s">
        <v>41</v>
      </c>
      <c r="P3" s="32">
        <v>1</v>
      </c>
      <c r="Q3" s="35">
        <f>N3*P3</f>
        <v>77.899999999999991</v>
      </c>
      <c r="R3" s="33">
        <f>N3*P3</f>
        <v>77.899999999999991</v>
      </c>
      <c r="S3" s="30">
        <v>0</v>
      </c>
      <c r="T3" s="79">
        <v>0.02</v>
      </c>
      <c r="U3" s="33">
        <f>IF(R3&gt;X3,R3,X3)</f>
        <v>250</v>
      </c>
      <c r="V3" s="77">
        <f>ROUNDUP(U3*T3,0)</f>
        <v>5</v>
      </c>
      <c r="W3" s="33">
        <f>U3+V3</f>
        <v>255</v>
      </c>
      <c r="X3" s="57">
        <v>250</v>
      </c>
      <c r="Y3" s="78">
        <f>ROUNDDOWN(X3/N3,0)</f>
        <v>3</v>
      </c>
    </row>
    <row r="4" spans="1:28" ht="36" customHeight="1" x14ac:dyDescent="0.25">
      <c r="A4" s="9" t="s">
        <v>312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21"/>
      <c r="P4" s="21"/>
      <c r="Q4" s="21"/>
      <c r="R4" s="22"/>
      <c r="S4" s="22"/>
      <c r="T4" s="22"/>
      <c r="U4" s="22"/>
      <c r="V4" s="75"/>
      <c r="W4" s="22"/>
      <c r="X4" s="22"/>
      <c r="Y4" s="22"/>
      <c r="Z4" s="22"/>
      <c r="AA4" s="21"/>
      <c r="AB4" s="21"/>
    </row>
    <row r="5" spans="1:28" ht="30" customHeight="1" x14ac:dyDescent="0.25">
      <c r="A5" s="2" t="s">
        <v>23</v>
      </c>
      <c r="B5" s="2" t="s">
        <v>8</v>
      </c>
      <c r="C5" s="2" t="s">
        <v>7</v>
      </c>
      <c r="D5" s="2" t="s">
        <v>2</v>
      </c>
      <c r="E5" s="2" t="s">
        <v>1</v>
      </c>
      <c r="F5" s="2" t="s">
        <v>6</v>
      </c>
      <c r="G5" s="2" t="s">
        <v>3</v>
      </c>
      <c r="H5" s="2" t="s">
        <v>21</v>
      </c>
      <c r="I5" s="2" t="s">
        <v>9</v>
      </c>
      <c r="J5" s="2" t="s">
        <v>4</v>
      </c>
      <c r="K5" s="2" t="s">
        <v>10</v>
      </c>
      <c r="L5" s="2" t="s">
        <v>24</v>
      </c>
      <c r="M5" s="2" t="s">
        <v>25</v>
      </c>
      <c r="N5" s="3" t="s">
        <v>5</v>
      </c>
      <c r="O5" s="34"/>
      <c r="P5" s="38" t="s">
        <v>29</v>
      </c>
      <c r="Q5" s="38" t="s">
        <v>291</v>
      </c>
      <c r="R5" s="37" t="s">
        <v>34</v>
      </c>
      <c r="S5" s="37" t="s">
        <v>27</v>
      </c>
      <c r="T5" s="38" t="s">
        <v>39</v>
      </c>
      <c r="U5" s="38" t="s">
        <v>30</v>
      </c>
      <c r="V5" s="74" t="s">
        <v>36</v>
      </c>
      <c r="W5" s="38" t="s">
        <v>31</v>
      </c>
      <c r="X5" s="37" t="s">
        <v>32</v>
      </c>
      <c r="Y5" s="41" t="s">
        <v>33</v>
      </c>
      <c r="Z5" s="21"/>
      <c r="AA5" s="21"/>
      <c r="AB5" s="21"/>
    </row>
    <row r="6" spans="1:28" x14ac:dyDescent="0.25">
      <c r="A6" s="65">
        <v>1.25</v>
      </c>
      <c r="B6" s="65">
        <v>2.25</v>
      </c>
      <c r="C6" s="65">
        <v>2.25</v>
      </c>
      <c r="D6" s="66" t="s">
        <v>0</v>
      </c>
      <c r="E6" s="66">
        <v>6.5000000000000002E-2</v>
      </c>
      <c r="F6" s="66">
        <f>(A6+B6)*C6</f>
        <v>7.875</v>
      </c>
      <c r="G6" s="66">
        <f>(A6+B6)/E6</f>
        <v>53.846153846153847</v>
      </c>
      <c r="H6" s="66">
        <f t="shared" ref="H6" si="2">C6/10</f>
        <v>0.22500000000000001</v>
      </c>
      <c r="I6" s="66">
        <v>3</v>
      </c>
      <c r="J6" s="67">
        <f t="shared" ref="J6" si="3">H6*G6/60</f>
        <v>0.20192307692307693</v>
      </c>
      <c r="K6" s="67">
        <f>J6+I6</f>
        <v>3.2019230769230771</v>
      </c>
      <c r="L6" s="68">
        <v>250</v>
      </c>
      <c r="M6" s="69">
        <f>L6/60</f>
        <v>4.166666666666667</v>
      </c>
      <c r="N6" s="70">
        <f>ROUNDUP(K6*M6,1)</f>
        <v>13.4</v>
      </c>
      <c r="O6" s="23" t="s">
        <v>41</v>
      </c>
      <c r="P6" s="32">
        <v>27</v>
      </c>
      <c r="Q6" s="35">
        <f>N6*P6</f>
        <v>361.8</v>
      </c>
      <c r="R6" s="33">
        <f>N6*P6</f>
        <v>361.8</v>
      </c>
      <c r="S6" s="30">
        <v>0</v>
      </c>
      <c r="T6" s="79">
        <v>0.02</v>
      </c>
      <c r="U6" s="33">
        <f>IF(R6&gt;X6,R6,X6)</f>
        <v>361.8</v>
      </c>
      <c r="V6" s="77">
        <f>ROUNDUP(U6*T6,0)</f>
        <v>8</v>
      </c>
      <c r="W6" s="33">
        <f>U6+V6</f>
        <v>369.8</v>
      </c>
      <c r="X6" s="57">
        <v>250</v>
      </c>
      <c r="Y6" s="78">
        <f>ROUNDDOWN(X6/N6,0)</f>
        <v>18</v>
      </c>
      <c r="Z6" s="21"/>
      <c r="AA6" s="21"/>
      <c r="AB6" s="21"/>
    </row>
    <row r="7" spans="1:28" ht="18.75" x14ac:dyDescent="0.25">
      <c r="O7" s="24"/>
      <c r="P7" s="21"/>
      <c r="Q7" s="21"/>
      <c r="R7" s="27"/>
      <c r="S7" s="28"/>
      <c r="T7" s="72"/>
      <c r="U7" s="27"/>
      <c r="V7" s="76"/>
      <c r="W7" s="27"/>
      <c r="X7" s="25"/>
      <c r="Y7" s="26"/>
      <c r="Z7" s="21"/>
      <c r="AA7" s="21"/>
      <c r="AB7" s="21"/>
    </row>
    <row r="8" spans="1:28" ht="21" x14ac:dyDescent="0.25">
      <c r="B8" s="15" t="s">
        <v>12</v>
      </c>
      <c r="O8" s="21"/>
      <c r="P8" s="21"/>
      <c r="Q8" s="21"/>
      <c r="R8" s="27"/>
      <c r="S8" s="28"/>
      <c r="T8" s="72"/>
      <c r="U8" s="27"/>
      <c r="V8" s="76"/>
      <c r="W8" s="27"/>
      <c r="X8" s="21"/>
      <c r="Y8" s="26"/>
      <c r="Z8" s="21"/>
      <c r="AA8" s="21"/>
      <c r="AB8" s="21"/>
    </row>
    <row r="9" spans="1:28" ht="30" x14ac:dyDescent="0.25">
      <c r="B9" s="4" t="s">
        <v>13</v>
      </c>
      <c r="C9" s="4" t="s">
        <v>7</v>
      </c>
      <c r="D9" s="2" t="s">
        <v>2</v>
      </c>
      <c r="E9" s="4" t="s">
        <v>1</v>
      </c>
      <c r="F9" s="5" t="s">
        <v>20</v>
      </c>
      <c r="G9" s="4" t="s">
        <v>14</v>
      </c>
      <c r="H9" s="4" t="s">
        <v>15</v>
      </c>
      <c r="I9" s="4" t="s">
        <v>17</v>
      </c>
      <c r="J9" s="4" t="s">
        <v>16</v>
      </c>
      <c r="K9" s="4" t="s">
        <v>18</v>
      </c>
      <c r="L9" s="2" t="s">
        <v>24</v>
      </c>
      <c r="M9" s="2" t="s">
        <v>25</v>
      </c>
      <c r="N9" s="6" t="s">
        <v>19</v>
      </c>
      <c r="O9" s="37"/>
      <c r="P9" s="38" t="s">
        <v>29</v>
      </c>
      <c r="Q9" s="38" t="s">
        <v>291</v>
      </c>
      <c r="R9" s="44" t="s">
        <v>34</v>
      </c>
      <c r="S9" s="42" t="s">
        <v>27</v>
      </c>
      <c r="T9" s="73" t="s">
        <v>39</v>
      </c>
      <c r="U9" s="44" t="s">
        <v>30</v>
      </c>
      <c r="V9" s="45" t="s">
        <v>36</v>
      </c>
      <c r="W9" s="44" t="s">
        <v>31</v>
      </c>
      <c r="X9" s="37" t="s">
        <v>32</v>
      </c>
      <c r="Y9" s="41" t="s">
        <v>33</v>
      </c>
      <c r="Z9" s="21"/>
      <c r="AA9" s="21"/>
      <c r="AB9" s="21"/>
    </row>
    <row r="10" spans="1:28" x14ac:dyDescent="0.25">
      <c r="B10" s="14">
        <v>0.187</v>
      </c>
      <c r="C10" s="14">
        <v>12</v>
      </c>
      <c r="D10" s="7" t="s">
        <v>0</v>
      </c>
      <c r="E10" s="16">
        <v>6.5000000000000002E-2</v>
      </c>
      <c r="F10" s="16">
        <f>B10*3.14</f>
        <v>0.58718000000000004</v>
      </c>
      <c r="G10" s="17">
        <f>F10/E10</f>
        <v>9.0335384615384626</v>
      </c>
      <c r="H10" s="16">
        <f>C10/10</f>
        <v>1.2</v>
      </c>
      <c r="I10" s="16">
        <v>3.5</v>
      </c>
      <c r="J10" s="19">
        <f>H10*G10/60</f>
        <v>0.18067076923076925</v>
      </c>
      <c r="K10" s="20">
        <f>J10+I10</f>
        <v>3.6806707692307694</v>
      </c>
      <c r="L10" s="11">
        <v>250</v>
      </c>
      <c r="M10" s="12">
        <f>L10/60</f>
        <v>4.166666666666667</v>
      </c>
      <c r="N10" s="18">
        <f>ROUNDUP(K10*M10,1)</f>
        <v>15.4</v>
      </c>
      <c r="O10" s="21" t="s">
        <v>41</v>
      </c>
      <c r="P10" s="32">
        <v>30</v>
      </c>
      <c r="Q10" s="35">
        <f>N10*P10</f>
        <v>462</v>
      </c>
      <c r="R10" s="33">
        <f>N10*P10</f>
        <v>462</v>
      </c>
      <c r="S10" s="30">
        <v>0</v>
      </c>
      <c r="T10" s="79">
        <v>0.02</v>
      </c>
      <c r="U10" s="33">
        <f>IF(R10&gt;X10,R10,X10)</f>
        <v>462</v>
      </c>
      <c r="V10" s="77">
        <f>ROUNDUP(U10*T10,0)</f>
        <v>10</v>
      </c>
      <c r="W10" s="33">
        <f t="shared" ref="W10" si="4">U10+V10</f>
        <v>472</v>
      </c>
      <c r="X10" s="57">
        <v>250</v>
      </c>
      <c r="Y10" s="78">
        <f>ROUNDDOWN(X10/N10,0)</f>
        <v>16</v>
      </c>
      <c r="Z10" s="21"/>
      <c r="AA10" s="21"/>
      <c r="AB10" s="21"/>
    </row>
    <row r="11" spans="1:28" x14ac:dyDescent="0.25">
      <c r="O11" s="21"/>
      <c r="P11" s="21"/>
      <c r="Q11" s="21"/>
      <c r="R11" s="21"/>
      <c r="S11" s="21"/>
      <c r="T11" s="21"/>
      <c r="U11" s="21"/>
      <c r="V11" s="26"/>
      <c r="W11" s="21"/>
      <c r="X11" s="21"/>
      <c r="Y11" s="21"/>
      <c r="Z11" s="21"/>
      <c r="AA11" s="21"/>
      <c r="AB11" s="21"/>
    </row>
    <row r="12" spans="1:28" ht="24" thickBot="1" x14ac:dyDescent="0.4">
      <c r="A12" s="171"/>
      <c r="B12" s="172" t="s">
        <v>119</v>
      </c>
      <c r="C12" s="173"/>
      <c r="N12" s="171"/>
      <c r="O12" s="172" t="s">
        <v>149</v>
      </c>
      <c r="P12" s="59"/>
      <c r="Q12" s="198"/>
      <c r="R12" s="198"/>
      <c r="S12" s="173"/>
      <c r="T12" s="287" t="s">
        <v>149</v>
      </c>
      <c r="U12"/>
      <c r="V12" s="541" t="s">
        <v>362</v>
      </c>
      <c r="W12" s="541"/>
      <c r="X12" s="541"/>
      <c r="Y12" s="541"/>
      <c r="Z12" s="21"/>
      <c r="AA12" s="21"/>
      <c r="AB12" s="21"/>
    </row>
    <row r="13" spans="1:28" ht="16.5" thickTop="1" x14ac:dyDescent="0.25">
      <c r="A13" s="174" t="s">
        <v>32</v>
      </c>
      <c r="B13"/>
      <c r="C13" s="175">
        <v>250</v>
      </c>
      <c r="N13" s="174" t="s">
        <v>150</v>
      </c>
      <c r="O13"/>
      <c r="P13"/>
      <c r="Q13"/>
      <c r="R13"/>
      <c r="S13" s="176"/>
      <c r="T13"/>
      <c r="U13"/>
      <c r="V13" s="362" t="s">
        <v>207</v>
      </c>
      <c r="W13" s="363"/>
      <c r="X13" s="352"/>
      <c r="Y13" s="364">
        <f>N3</f>
        <v>77.899999999999991</v>
      </c>
      <c r="Z13" s="21"/>
      <c r="AA13" s="21"/>
      <c r="AB13" s="21"/>
    </row>
    <row r="14" spans="1:28" ht="15.75" x14ac:dyDescent="0.25">
      <c r="A14" s="174" t="s">
        <v>120</v>
      </c>
      <c r="B14"/>
      <c r="C14" s="175">
        <v>125</v>
      </c>
      <c r="N14" s="174" t="s">
        <v>151</v>
      </c>
      <c r="O14"/>
      <c r="P14"/>
      <c r="Q14"/>
      <c r="R14"/>
      <c r="S14" s="176"/>
      <c r="T14"/>
      <c r="U14"/>
      <c r="V14" s="365" t="s">
        <v>208</v>
      </c>
      <c r="X14"/>
      <c r="Y14" s="366">
        <f>P3</f>
        <v>1</v>
      </c>
      <c r="Z14" s="21"/>
      <c r="AA14" s="21"/>
      <c r="AB14" s="21"/>
    </row>
    <row r="15" spans="1:28" ht="15.75" x14ac:dyDescent="0.25">
      <c r="A15" s="174" t="s">
        <v>36</v>
      </c>
      <c r="B15"/>
      <c r="C15" s="200" t="s">
        <v>122</v>
      </c>
      <c r="N15" s="174"/>
      <c r="O15"/>
      <c r="P15"/>
      <c r="Q15"/>
      <c r="R15"/>
      <c r="S15" s="176"/>
      <c r="T15"/>
      <c r="U15"/>
      <c r="V15" s="365" t="s">
        <v>209</v>
      </c>
      <c r="X15"/>
      <c r="Y15" s="367">
        <f>U3</f>
        <v>250</v>
      </c>
      <c r="Z15" s="21"/>
      <c r="AA15" s="21"/>
      <c r="AB15" s="21"/>
    </row>
    <row r="16" spans="1:28" ht="15.75" x14ac:dyDescent="0.25">
      <c r="A16" s="174" t="s">
        <v>121</v>
      </c>
      <c r="B16"/>
      <c r="C16" s="200" t="s">
        <v>123</v>
      </c>
      <c r="N16" s="174" t="s">
        <v>152</v>
      </c>
      <c r="O16"/>
      <c r="P16"/>
      <c r="Q16"/>
      <c r="R16"/>
      <c r="S16" s="176"/>
      <c r="T16"/>
      <c r="U16"/>
      <c r="V16" s="365" t="s">
        <v>210</v>
      </c>
      <c r="X16"/>
      <c r="Y16" s="367">
        <f>V3</f>
        <v>5</v>
      </c>
      <c r="Z16" s="21"/>
      <c r="AA16" s="21"/>
      <c r="AB16" s="21"/>
    </row>
    <row r="17" spans="1:28" ht="15.75" x14ac:dyDescent="0.25">
      <c r="A17" s="177" t="s">
        <v>124</v>
      </c>
      <c r="B17" s="178"/>
      <c r="C17" s="201" t="s">
        <v>125</v>
      </c>
      <c r="N17" s="174" t="s">
        <v>153</v>
      </c>
      <c r="O17"/>
      <c r="P17"/>
      <c r="Q17"/>
      <c r="R17"/>
      <c r="S17" s="176"/>
      <c r="T17"/>
      <c r="U17"/>
      <c r="V17" s="365" t="s">
        <v>216</v>
      </c>
      <c r="W17"/>
      <c r="X17"/>
      <c r="Y17" s="368">
        <f>S3</f>
        <v>0</v>
      </c>
      <c r="Z17" s="21"/>
      <c r="AA17" s="21"/>
      <c r="AB17" s="21"/>
    </row>
    <row r="18" spans="1:28" ht="15.75" x14ac:dyDescent="0.25">
      <c r="N18" s="174"/>
      <c r="O18"/>
      <c r="P18"/>
      <c r="Q18"/>
      <c r="R18"/>
      <c r="S18" s="176"/>
      <c r="T18"/>
      <c r="U18"/>
      <c r="V18" s="365" t="s">
        <v>211</v>
      </c>
      <c r="X18"/>
      <c r="Y18" s="367">
        <f>W3</f>
        <v>255</v>
      </c>
      <c r="Z18" s="21"/>
      <c r="AA18" s="21"/>
      <c r="AB18" s="21"/>
    </row>
    <row r="19" spans="1:28" ht="16.5" thickBot="1" x14ac:dyDescent="0.3">
      <c r="N19" s="174" t="s">
        <v>154</v>
      </c>
      <c r="O19"/>
      <c r="P19"/>
      <c r="Q19"/>
      <c r="R19"/>
      <c r="S19" s="176"/>
      <c r="T19"/>
      <c r="U19"/>
      <c r="V19" s="369" t="s">
        <v>346</v>
      </c>
      <c r="W19" s="354"/>
      <c r="X19" s="539" t="s">
        <v>347</v>
      </c>
      <c r="Y19" s="540"/>
      <c r="Z19" s="21"/>
      <c r="AA19" s="21"/>
      <c r="AB19" s="21"/>
    </row>
    <row r="20" spans="1:28" ht="15.75" thickTop="1" x14ac:dyDescent="0.25">
      <c r="N20" s="174" t="s">
        <v>155</v>
      </c>
      <c r="O20"/>
      <c r="P20"/>
      <c r="Q20"/>
      <c r="R20"/>
      <c r="S20" s="176"/>
      <c r="T20"/>
      <c r="U20"/>
      <c r="V20"/>
      <c r="W20"/>
    </row>
    <row r="21" spans="1:28" ht="24" thickBot="1" x14ac:dyDescent="0.4">
      <c r="N21" s="541" t="s">
        <v>362</v>
      </c>
      <c r="O21" s="541"/>
      <c r="P21" s="541"/>
      <c r="Q21" s="541"/>
      <c r="V21" s="541" t="s">
        <v>284</v>
      </c>
      <c r="W21" s="541"/>
      <c r="X21" s="541"/>
      <c r="Y21" s="541"/>
    </row>
    <row r="22" spans="1:28" ht="16.5" thickTop="1" x14ac:dyDescent="0.25">
      <c r="N22" s="362" t="s">
        <v>207</v>
      </c>
      <c r="O22" s="363"/>
      <c r="P22" s="352"/>
      <c r="Q22" s="364">
        <f>N6</f>
        <v>13.4</v>
      </c>
      <c r="V22" s="362" t="s">
        <v>207</v>
      </c>
      <c r="W22" s="363"/>
      <c r="X22" s="352"/>
      <c r="Y22" s="364">
        <f>N10</f>
        <v>15.4</v>
      </c>
    </row>
    <row r="23" spans="1:28" ht="15.75" x14ac:dyDescent="0.25">
      <c r="N23" s="365" t="s">
        <v>208</v>
      </c>
      <c r="P23"/>
      <c r="Q23" s="366">
        <f>P6</f>
        <v>27</v>
      </c>
      <c r="V23" s="365" t="s">
        <v>208</v>
      </c>
      <c r="X23"/>
      <c r="Y23" s="366">
        <f>P10</f>
        <v>30</v>
      </c>
    </row>
    <row r="24" spans="1:28" ht="15.75" x14ac:dyDescent="0.25">
      <c r="N24" s="365" t="s">
        <v>209</v>
      </c>
      <c r="P24"/>
      <c r="Q24" s="367">
        <f>R6</f>
        <v>361.8</v>
      </c>
      <c r="V24" s="365" t="s">
        <v>209</v>
      </c>
      <c r="X24"/>
      <c r="Y24" s="367">
        <f>U10</f>
        <v>462</v>
      </c>
    </row>
    <row r="25" spans="1:28" ht="15.75" x14ac:dyDescent="0.25">
      <c r="N25" s="365" t="s">
        <v>210</v>
      </c>
      <c r="P25"/>
      <c r="Q25" s="367">
        <f>V6</f>
        <v>8</v>
      </c>
      <c r="V25" s="365" t="s">
        <v>210</v>
      </c>
      <c r="X25"/>
      <c r="Y25" s="367">
        <f>V10</f>
        <v>10</v>
      </c>
    </row>
    <row r="26" spans="1:28" ht="15.75" x14ac:dyDescent="0.25">
      <c r="N26" s="365" t="s">
        <v>216</v>
      </c>
      <c r="O26"/>
      <c r="P26"/>
      <c r="Q26" s="368">
        <f>S6</f>
        <v>0</v>
      </c>
      <c r="V26" s="365" t="s">
        <v>216</v>
      </c>
      <c r="W26"/>
      <c r="X26"/>
      <c r="Y26" s="368">
        <f>S10</f>
        <v>0</v>
      </c>
    </row>
    <row r="27" spans="1:28" ht="15.75" x14ac:dyDescent="0.25">
      <c r="N27" s="365" t="s">
        <v>211</v>
      </c>
      <c r="P27"/>
      <c r="Q27" s="367">
        <f>W6</f>
        <v>369.8</v>
      </c>
      <c r="V27" s="365" t="s">
        <v>211</v>
      </c>
      <c r="X27"/>
      <c r="Y27" s="367">
        <f>W10</f>
        <v>472</v>
      </c>
    </row>
    <row r="28" spans="1:28" ht="16.5" thickBot="1" x14ac:dyDescent="0.3">
      <c r="N28" s="369" t="s">
        <v>346</v>
      </c>
      <c r="O28" s="354"/>
      <c r="P28" s="539" t="s">
        <v>347</v>
      </c>
      <c r="Q28" s="540"/>
      <c r="V28" s="369" t="s">
        <v>346</v>
      </c>
      <c r="W28" s="354"/>
      <c r="X28" s="539" t="s">
        <v>347</v>
      </c>
      <c r="Y28" s="540"/>
    </row>
    <row r="29" spans="1:28" ht="15.75" thickTop="1" x14ac:dyDescent="0.25"/>
    <row r="41" ht="28.5" customHeight="1" x14ac:dyDescent="0.25"/>
  </sheetData>
  <mergeCells count="6">
    <mergeCell ref="V12:Y12"/>
    <mergeCell ref="X19:Y19"/>
    <mergeCell ref="V21:Y21"/>
    <mergeCell ref="X28:Y28"/>
    <mergeCell ref="N21:Q21"/>
    <mergeCell ref="P28:Q28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882E-2167-4978-A2FB-756697E6A921}">
  <sheetPr>
    <tabColor rgb="FF00B0F0"/>
  </sheetPr>
  <dimension ref="A1:Q36"/>
  <sheetViews>
    <sheetView zoomScale="120" zoomScaleNormal="120" workbookViewId="0">
      <selection activeCell="J8" sqref="J8"/>
    </sheetView>
  </sheetViews>
  <sheetFormatPr defaultRowHeight="15" x14ac:dyDescent="0.25"/>
  <cols>
    <col min="1" max="1" width="14.85546875" customWidth="1"/>
    <col min="2" max="2" width="12.5703125" customWidth="1"/>
    <col min="5" max="5" width="13.5703125" customWidth="1"/>
    <col min="6" max="6" width="12.28515625" customWidth="1"/>
    <col min="7" max="7" width="9.28515625" customWidth="1"/>
    <col min="9" max="9" width="0" hidden="1" customWidth="1"/>
    <col min="11" max="11" width="12.85546875" customWidth="1"/>
    <col min="14" max="14" width="12" customWidth="1"/>
    <col min="15" max="15" width="12.140625" customWidth="1"/>
    <col min="16" max="16" width="13.42578125" customWidth="1"/>
    <col min="17" max="17" width="12.85546875" customWidth="1"/>
  </cols>
  <sheetData>
    <row r="1" spans="1:17" x14ac:dyDescent="0.25">
      <c r="A1" t="s">
        <v>366</v>
      </c>
      <c r="B1" s="191">
        <v>150</v>
      </c>
    </row>
    <row r="2" spans="1:17" x14ac:dyDescent="0.25">
      <c r="A2" t="s">
        <v>367</v>
      </c>
      <c r="B2" s="191">
        <v>250</v>
      </c>
    </row>
    <row r="3" spans="1:17" x14ac:dyDescent="0.25">
      <c r="B3" s="191"/>
    </row>
    <row r="4" spans="1:17" ht="45" x14ac:dyDescent="0.25">
      <c r="A4" s="475" t="s">
        <v>368</v>
      </c>
      <c r="B4" s="483" t="s">
        <v>406</v>
      </c>
      <c r="C4" s="475" t="s">
        <v>369</v>
      </c>
      <c r="D4" s="250" t="s">
        <v>96</v>
      </c>
      <c r="E4" s="484" t="s">
        <v>407</v>
      </c>
      <c r="F4" s="486" t="s">
        <v>408</v>
      </c>
      <c r="H4" s="195" t="s">
        <v>5</v>
      </c>
      <c r="I4" s="34" t="s">
        <v>196</v>
      </c>
      <c r="J4" s="38" t="s">
        <v>29</v>
      </c>
      <c r="K4" s="37" t="s">
        <v>34</v>
      </c>
      <c r="L4" s="37" t="s">
        <v>27</v>
      </c>
      <c r="M4" s="38" t="s">
        <v>39</v>
      </c>
      <c r="N4" s="38" t="s">
        <v>30</v>
      </c>
      <c r="O4" s="74" t="s">
        <v>36</v>
      </c>
      <c r="P4" s="38" t="s">
        <v>31</v>
      </c>
      <c r="Q4" s="413" t="s">
        <v>345</v>
      </c>
    </row>
    <row r="5" spans="1:17" x14ac:dyDescent="0.25">
      <c r="A5" s="95" t="s">
        <v>370</v>
      </c>
      <c r="B5" s="476">
        <v>25.55</v>
      </c>
      <c r="C5" s="95" t="s">
        <v>371</v>
      </c>
      <c r="D5" s="95" t="s">
        <v>109</v>
      </c>
      <c r="E5" s="485">
        <v>70.5</v>
      </c>
      <c r="F5" s="487">
        <v>38.15</v>
      </c>
      <c r="H5" s="70">
        <v>72.75</v>
      </c>
      <c r="I5" s="23">
        <v>1</v>
      </c>
      <c r="J5" s="32">
        <v>250</v>
      </c>
      <c r="K5" s="33">
        <f>H5*J5</f>
        <v>18187.5</v>
      </c>
      <c r="L5" s="30">
        <v>0</v>
      </c>
      <c r="M5" s="79">
        <v>0.02</v>
      </c>
      <c r="N5" s="33">
        <f>K5+L5</f>
        <v>18187.5</v>
      </c>
      <c r="O5" s="77">
        <f>ROUNDUP(N5*M5,0)</f>
        <v>364</v>
      </c>
      <c r="P5" s="33">
        <f>N5+O5</f>
        <v>18551.5</v>
      </c>
      <c r="Q5" s="33">
        <f>(N5+O5)*2</f>
        <v>37103</v>
      </c>
    </row>
    <row r="6" spans="1:17" x14ac:dyDescent="0.25">
      <c r="A6" s="95" t="s">
        <v>372</v>
      </c>
      <c r="B6" s="477">
        <v>19.95</v>
      </c>
      <c r="C6" s="95" t="s">
        <v>373</v>
      </c>
      <c r="D6" s="95" t="s">
        <v>109</v>
      </c>
      <c r="E6" s="485">
        <v>59.85</v>
      </c>
      <c r="F6" s="487"/>
    </row>
    <row r="7" spans="1:17" x14ac:dyDescent="0.25">
      <c r="A7" s="95" t="s">
        <v>372</v>
      </c>
      <c r="B7" s="477">
        <v>21.45</v>
      </c>
      <c r="C7" s="478" t="s">
        <v>371</v>
      </c>
      <c r="D7" s="478"/>
      <c r="E7" s="485">
        <v>64.349999999999994</v>
      </c>
      <c r="F7" s="487"/>
    </row>
    <row r="8" spans="1:17" x14ac:dyDescent="0.25">
      <c r="A8" s="95" t="s">
        <v>374</v>
      </c>
      <c r="B8" s="477">
        <v>29.5</v>
      </c>
      <c r="C8" s="478" t="s">
        <v>371</v>
      </c>
      <c r="D8" s="478" t="s">
        <v>109</v>
      </c>
      <c r="E8" s="485">
        <v>88.5</v>
      </c>
      <c r="F8" s="487">
        <v>55.3</v>
      </c>
    </row>
    <row r="9" spans="1:17" x14ac:dyDescent="0.25">
      <c r="A9" s="95" t="s">
        <v>375</v>
      </c>
      <c r="B9" s="479">
        <v>30.35</v>
      </c>
      <c r="C9" s="95" t="s">
        <v>371</v>
      </c>
      <c r="D9" s="95" t="s">
        <v>109</v>
      </c>
      <c r="E9" s="485"/>
      <c r="F9" s="487"/>
    </row>
    <row r="10" spans="1:17" x14ac:dyDescent="0.25">
      <c r="A10" s="95" t="s">
        <v>376</v>
      </c>
      <c r="B10" s="480">
        <v>33.049999999999997</v>
      </c>
      <c r="C10" s="95" t="s">
        <v>371</v>
      </c>
      <c r="D10" s="95" t="s">
        <v>109</v>
      </c>
      <c r="E10" s="485">
        <v>99.15</v>
      </c>
      <c r="F10" s="487">
        <v>61.95</v>
      </c>
    </row>
    <row r="11" spans="1:17" x14ac:dyDescent="0.25">
      <c r="A11" s="95" t="s">
        <v>377</v>
      </c>
      <c r="B11" s="476">
        <v>27.25</v>
      </c>
      <c r="C11" s="95" t="s">
        <v>371</v>
      </c>
      <c r="D11" s="95" t="s">
        <v>109</v>
      </c>
      <c r="E11" s="485"/>
      <c r="F11" s="487"/>
    </row>
    <row r="12" spans="1:17" x14ac:dyDescent="0.25">
      <c r="A12" s="95" t="s">
        <v>378</v>
      </c>
      <c r="B12" s="480">
        <v>33.299999999999997</v>
      </c>
      <c r="C12" s="95" t="s">
        <v>371</v>
      </c>
      <c r="D12" s="95" t="s">
        <v>109</v>
      </c>
      <c r="E12" s="485"/>
      <c r="F12" s="487"/>
    </row>
    <row r="13" spans="1:17" x14ac:dyDescent="0.25">
      <c r="A13" s="95" t="s">
        <v>379</v>
      </c>
      <c r="B13" s="477">
        <v>23.15</v>
      </c>
      <c r="C13" s="95" t="s">
        <v>373</v>
      </c>
      <c r="D13" s="95" t="s">
        <v>109</v>
      </c>
      <c r="E13" s="485"/>
      <c r="F13" s="487">
        <v>37.5</v>
      </c>
    </row>
    <row r="14" spans="1:17" x14ac:dyDescent="0.25">
      <c r="A14" s="95" t="s">
        <v>380</v>
      </c>
      <c r="B14" s="481">
        <v>22.55</v>
      </c>
      <c r="C14" s="95" t="s">
        <v>371</v>
      </c>
      <c r="D14" s="95" t="s">
        <v>109</v>
      </c>
      <c r="E14" s="485">
        <v>76.599999999999994</v>
      </c>
      <c r="F14" s="487">
        <v>48.65</v>
      </c>
    </row>
    <row r="15" spans="1:17" x14ac:dyDescent="0.25">
      <c r="A15" s="95" t="s">
        <v>381</v>
      </c>
      <c r="B15" s="481">
        <v>25.25</v>
      </c>
      <c r="C15" s="95" t="s">
        <v>371</v>
      </c>
      <c r="D15" s="95"/>
      <c r="E15" s="485">
        <v>77.849999999999994</v>
      </c>
      <c r="F15" s="487">
        <v>38.200000000000003</v>
      </c>
    </row>
    <row r="16" spans="1:17" x14ac:dyDescent="0.25">
      <c r="A16" s="95" t="s">
        <v>382</v>
      </c>
      <c r="B16" s="476">
        <v>20.95</v>
      </c>
      <c r="C16" s="95" t="s">
        <v>371</v>
      </c>
      <c r="D16" s="95" t="s">
        <v>109</v>
      </c>
      <c r="E16" s="485"/>
      <c r="F16" s="487"/>
    </row>
    <row r="17" spans="1:6" x14ac:dyDescent="0.25">
      <c r="A17" s="95" t="s">
        <v>383</v>
      </c>
      <c r="B17" s="481">
        <v>25.95</v>
      </c>
      <c r="C17" s="95" t="s">
        <v>371</v>
      </c>
      <c r="D17" s="95" t="s">
        <v>109</v>
      </c>
      <c r="E17" s="485">
        <v>75.75</v>
      </c>
      <c r="F17" s="487">
        <v>47.35</v>
      </c>
    </row>
    <row r="18" spans="1:6" x14ac:dyDescent="0.25">
      <c r="A18" s="95" t="s">
        <v>384</v>
      </c>
      <c r="B18" s="480">
        <v>23.35</v>
      </c>
      <c r="C18" s="95" t="s">
        <v>371</v>
      </c>
      <c r="D18" s="95" t="s">
        <v>109</v>
      </c>
      <c r="E18" s="485">
        <v>78.95</v>
      </c>
      <c r="F18" s="487"/>
    </row>
    <row r="19" spans="1:6" x14ac:dyDescent="0.25">
      <c r="A19" s="95" t="s">
        <v>385</v>
      </c>
      <c r="B19" s="477"/>
      <c r="C19" s="95"/>
      <c r="D19" s="95" t="s">
        <v>109</v>
      </c>
      <c r="E19" s="485"/>
      <c r="F19" s="487"/>
    </row>
    <row r="20" spans="1:6" x14ac:dyDescent="0.25">
      <c r="A20" s="95" t="s">
        <v>386</v>
      </c>
      <c r="B20" s="477"/>
      <c r="C20" s="95"/>
      <c r="D20" s="95" t="s">
        <v>109</v>
      </c>
      <c r="E20" s="485">
        <v>90.15</v>
      </c>
      <c r="F20" s="487">
        <v>46.85</v>
      </c>
    </row>
    <row r="21" spans="1:6" x14ac:dyDescent="0.25">
      <c r="A21" s="95" t="s">
        <v>387</v>
      </c>
      <c r="B21" s="477">
        <v>25.85</v>
      </c>
      <c r="C21" s="95"/>
      <c r="D21" s="95" t="s">
        <v>109</v>
      </c>
      <c r="E21" s="485">
        <v>97.95</v>
      </c>
      <c r="F21" s="487">
        <v>47.25</v>
      </c>
    </row>
    <row r="22" spans="1:6" x14ac:dyDescent="0.25">
      <c r="A22" s="95" t="s">
        <v>388</v>
      </c>
      <c r="B22" s="477">
        <v>24.25</v>
      </c>
      <c r="C22" s="95"/>
      <c r="D22" s="95" t="s">
        <v>109</v>
      </c>
      <c r="E22" s="485">
        <v>89.85</v>
      </c>
      <c r="F22" s="487">
        <v>46.5</v>
      </c>
    </row>
    <row r="23" spans="1:6" x14ac:dyDescent="0.25">
      <c r="A23" s="95" t="s">
        <v>389</v>
      </c>
      <c r="B23" s="477">
        <v>18.75</v>
      </c>
      <c r="C23" s="95" t="s">
        <v>373</v>
      </c>
      <c r="D23" s="95" t="s">
        <v>109</v>
      </c>
      <c r="E23" s="485">
        <v>77.55</v>
      </c>
      <c r="F23" s="487"/>
    </row>
    <row r="24" spans="1:6" x14ac:dyDescent="0.25">
      <c r="A24" s="95" t="s">
        <v>390</v>
      </c>
      <c r="B24" s="477">
        <v>18.5</v>
      </c>
      <c r="C24" s="95" t="s">
        <v>373</v>
      </c>
      <c r="D24" s="95" t="s">
        <v>109</v>
      </c>
      <c r="E24" s="485">
        <v>72.75</v>
      </c>
      <c r="F24" s="487">
        <v>38.25</v>
      </c>
    </row>
    <row r="25" spans="1:6" x14ac:dyDescent="0.25">
      <c r="A25" s="95" t="s">
        <v>391</v>
      </c>
      <c r="B25" s="482">
        <v>22.5</v>
      </c>
      <c r="C25" s="95" t="s">
        <v>373</v>
      </c>
      <c r="D25" s="95" t="s">
        <v>109</v>
      </c>
      <c r="E25" s="485"/>
      <c r="F25" s="487"/>
    </row>
    <row r="26" spans="1:6" x14ac:dyDescent="0.25">
      <c r="A26" s="95" t="s">
        <v>392</v>
      </c>
      <c r="B26" s="482">
        <v>45</v>
      </c>
      <c r="C26" s="95" t="s">
        <v>393</v>
      </c>
      <c r="D26" s="95" t="s">
        <v>394</v>
      </c>
      <c r="E26" s="485"/>
      <c r="F26" s="487"/>
    </row>
    <row r="27" spans="1:6" x14ac:dyDescent="0.25">
      <c r="A27" s="95" t="s">
        <v>395</v>
      </c>
      <c r="B27" s="482">
        <v>69</v>
      </c>
      <c r="C27" s="95" t="s">
        <v>373</v>
      </c>
      <c r="D27" s="95">
        <v>6061</v>
      </c>
      <c r="E27" s="485"/>
      <c r="F27" s="487"/>
    </row>
    <row r="28" spans="1:6" x14ac:dyDescent="0.25">
      <c r="A28" s="95" t="s">
        <v>396</v>
      </c>
      <c r="B28" s="482">
        <v>48</v>
      </c>
      <c r="C28" s="95" t="s">
        <v>373</v>
      </c>
      <c r="D28" s="95">
        <v>6061</v>
      </c>
      <c r="E28" s="485"/>
      <c r="F28" s="487"/>
    </row>
    <row r="29" spans="1:6" x14ac:dyDescent="0.25">
      <c r="A29" s="95" t="s">
        <v>397</v>
      </c>
      <c r="B29" s="482">
        <v>50</v>
      </c>
      <c r="C29" s="95" t="s">
        <v>373</v>
      </c>
      <c r="D29" s="95">
        <v>6061</v>
      </c>
      <c r="E29" s="485"/>
      <c r="F29" s="487"/>
    </row>
    <row r="30" spans="1:6" x14ac:dyDescent="0.25">
      <c r="A30" s="95" t="s">
        <v>398</v>
      </c>
      <c r="B30" s="482">
        <v>52.5</v>
      </c>
      <c r="C30" s="95" t="s">
        <v>373</v>
      </c>
      <c r="D30" s="95">
        <v>6061</v>
      </c>
      <c r="E30" s="485"/>
      <c r="F30" s="487"/>
    </row>
    <row r="31" spans="1:6" x14ac:dyDescent="0.25">
      <c r="A31" s="95" t="s">
        <v>399</v>
      </c>
      <c r="B31" s="482">
        <v>50</v>
      </c>
      <c r="C31" s="95" t="s">
        <v>373</v>
      </c>
      <c r="D31" s="95">
        <v>6061</v>
      </c>
      <c r="E31" s="485"/>
      <c r="F31" s="487"/>
    </row>
    <row r="32" spans="1:6" x14ac:dyDescent="0.25">
      <c r="A32" s="95" t="s">
        <v>400</v>
      </c>
      <c r="B32" s="482">
        <v>117.38</v>
      </c>
      <c r="C32" s="95" t="s">
        <v>393</v>
      </c>
      <c r="D32" s="95" t="s">
        <v>401</v>
      </c>
      <c r="E32" s="485"/>
      <c r="F32" s="487"/>
    </row>
    <row r="33" spans="1:6" x14ac:dyDescent="0.25">
      <c r="A33" s="95" t="s">
        <v>402</v>
      </c>
      <c r="B33" s="482">
        <v>25.75</v>
      </c>
      <c r="C33" s="95" t="s">
        <v>371</v>
      </c>
      <c r="D33" s="95" t="s">
        <v>403</v>
      </c>
      <c r="E33" s="485"/>
      <c r="F33" s="487"/>
    </row>
    <row r="34" spans="1:6" x14ac:dyDescent="0.25">
      <c r="A34" s="95" t="s">
        <v>404</v>
      </c>
      <c r="B34" s="476">
        <v>28.78</v>
      </c>
      <c r="C34" s="95" t="s">
        <v>371</v>
      </c>
      <c r="D34" s="95" t="s">
        <v>405</v>
      </c>
      <c r="E34" s="485"/>
      <c r="F34" s="487"/>
    </row>
    <row r="35" spans="1:6" x14ac:dyDescent="0.25">
      <c r="A35" s="95"/>
      <c r="B35" s="482"/>
      <c r="C35" s="95"/>
      <c r="D35" s="95"/>
      <c r="E35" s="485"/>
      <c r="F35" s="487"/>
    </row>
    <row r="36" spans="1:6" x14ac:dyDescent="0.25">
      <c r="A36" s="95"/>
      <c r="B36" s="482"/>
      <c r="C36" s="95"/>
      <c r="D36" s="95"/>
      <c r="E36" s="485"/>
      <c r="F36" s="487"/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73D8-5FA1-4AD3-9B91-97F1F63C429B}">
  <sheetPr>
    <tabColor rgb="FF92D050"/>
  </sheetPr>
  <dimension ref="A1:AB34"/>
  <sheetViews>
    <sheetView zoomScaleNormal="100" workbookViewId="0">
      <selection activeCell="Y27" sqref="Y27:AB33"/>
    </sheetView>
  </sheetViews>
  <sheetFormatPr defaultRowHeight="15" x14ac:dyDescent="0.25"/>
  <cols>
    <col min="4" max="13" width="9.140625" hidden="1" customWidth="1"/>
    <col min="17" max="17" width="0" hidden="1" customWidth="1"/>
    <col min="19" max="19" width="10.5703125" hidden="1" customWidth="1"/>
    <col min="20" max="20" width="12" bestFit="1" customWidth="1"/>
    <col min="21" max="21" width="10.5703125" bestFit="1" customWidth="1"/>
    <col min="23" max="23" width="9.85546875" bestFit="1" customWidth="1"/>
    <col min="27" max="27" width="11.5703125" customWidth="1"/>
    <col min="28" max="28" width="16.5703125" customWidth="1"/>
  </cols>
  <sheetData>
    <row r="1" spans="1:26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5</v>
      </c>
      <c r="B3" s="65">
        <v>7</v>
      </c>
      <c r="C3" s="65">
        <v>8</v>
      </c>
      <c r="D3" s="66">
        <v>0.125</v>
      </c>
      <c r="E3" s="66">
        <v>6.5000000000000002E-2</v>
      </c>
      <c r="F3" s="66">
        <f>(A3+B3)*C3</f>
        <v>96</v>
      </c>
      <c r="G3" s="66">
        <f>(A3+B3)/E3</f>
        <v>184.61538461538461</v>
      </c>
      <c r="H3" s="66">
        <f t="shared" ref="H3" si="0">C3/10</f>
        <v>0.8</v>
      </c>
      <c r="I3" s="66">
        <v>3</v>
      </c>
      <c r="J3" s="67">
        <f t="shared" ref="J3" si="1">H3*G3/60</f>
        <v>2.4615384615384617</v>
      </c>
      <c r="K3" s="67">
        <f>J3+I3</f>
        <v>5.4615384615384617</v>
      </c>
      <c r="L3" s="68">
        <v>250</v>
      </c>
      <c r="M3" s="69">
        <f>L3/60</f>
        <v>4.166666666666667</v>
      </c>
      <c r="N3" s="70">
        <f>ROUNDUP(K3*M3,1)</f>
        <v>22.8</v>
      </c>
      <c r="O3" s="56"/>
      <c r="P3" s="30">
        <v>125</v>
      </c>
      <c r="Q3" s="71">
        <v>0.02</v>
      </c>
      <c r="R3" s="32">
        <v>6</v>
      </c>
      <c r="S3" s="35">
        <f>N3*R3</f>
        <v>136.80000000000001</v>
      </c>
      <c r="T3" s="55">
        <f>IF(S3&gt;Y3, S3, Y3)</f>
        <v>250</v>
      </c>
      <c r="U3" s="55">
        <f>T3+P3</f>
        <v>375</v>
      </c>
      <c r="V3" s="33">
        <f>ROUNDUP(U3*Q3,0)</f>
        <v>8</v>
      </c>
      <c r="W3" s="33">
        <f>U3+V3</f>
        <v>383</v>
      </c>
      <c r="X3" s="34"/>
      <c r="Y3" s="57">
        <v>250</v>
      </c>
      <c r="Z3" s="36">
        <f>ROUNDDOWN(Y3/N3,0)</f>
        <v>10</v>
      </c>
    </row>
    <row r="4" spans="1:26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0"/>
      <c r="T4" s="63"/>
      <c r="U4" s="63"/>
      <c r="V4" s="63"/>
      <c r="W4" s="63"/>
      <c r="X4" s="60"/>
      <c r="Y4" s="60"/>
      <c r="Z4" s="64"/>
    </row>
    <row r="5" spans="1:26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114" t="s">
        <v>204</v>
      </c>
      <c r="T5" s="52" t="s">
        <v>34</v>
      </c>
      <c r="U5" s="44" t="s">
        <v>30</v>
      </c>
      <c r="V5" s="53" t="s">
        <v>36</v>
      </c>
      <c r="W5" s="46" t="s">
        <v>37</v>
      </c>
      <c r="X5" s="21"/>
      <c r="Y5" s="37" t="s">
        <v>32</v>
      </c>
      <c r="Z5" s="37" t="s">
        <v>33</v>
      </c>
    </row>
    <row r="6" spans="1:26" x14ac:dyDescent="0.25">
      <c r="B6" s="14">
        <v>2.875</v>
      </c>
      <c r="C6" s="14">
        <v>3.4</v>
      </c>
      <c r="D6" s="66" t="s">
        <v>0</v>
      </c>
      <c r="E6" s="16">
        <v>0.05</v>
      </c>
      <c r="F6" s="16">
        <f>B6*3.14</f>
        <v>9.0274999999999999</v>
      </c>
      <c r="G6" s="17">
        <f>F6/E6</f>
        <v>180.54999999999998</v>
      </c>
      <c r="H6" s="16">
        <f>C6/10</f>
        <v>0.33999999999999997</v>
      </c>
      <c r="I6" s="16">
        <v>3</v>
      </c>
      <c r="J6" s="19">
        <f>H6*G6/60</f>
        <v>1.0231166666666665</v>
      </c>
      <c r="K6" s="20">
        <f>J6+I6</f>
        <v>4.0231166666666667</v>
      </c>
      <c r="L6" s="68">
        <v>250</v>
      </c>
      <c r="M6" s="69">
        <f>L6/60</f>
        <v>4.166666666666667</v>
      </c>
      <c r="N6" s="18">
        <f>ROUNDUP(K6*M6,1)</f>
        <v>16.8</v>
      </c>
      <c r="O6" s="56"/>
      <c r="P6" s="30">
        <v>125</v>
      </c>
      <c r="Q6" s="71">
        <v>0.02</v>
      </c>
      <c r="R6" s="32">
        <v>24</v>
      </c>
      <c r="S6" s="157">
        <f>+N6*R6</f>
        <v>403.20000000000005</v>
      </c>
      <c r="T6" s="55">
        <f>IF(S6&gt;Y6, S6, Y6)</f>
        <v>403.20000000000005</v>
      </c>
      <c r="U6" s="55">
        <f>T6+P6</f>
        <v>528.20000000000005</v>
      </c>
      <c r="V6" s="33">
        <f>ROUNDUP(U6*Q6,0)</f>
        <v>11</v>
      </c>
      <c r="W6" s="33">
        <f t="shared" ref="W6" si="2">U6+V6</f>
        <v>539.20000000000005</v>
      </c>
      <c r="X6" s="56"/>
      <c r="Y6" s="58">
        <v>250</v>
      </c>
      <c r="Z6" s="47">
        <f>ROUNDDOWN(Y6/N6,0)</f>
        <v>14</v>
      </c>
    </row>
    <row r="7" spans="1:26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8"/>
      <c r="Q7" s="29"/>
      <c r="R7" s="21"/>
      <c r="S7" s="21"/>
      <c r="T7" s="27"/>
      <c r="U7" s="27"/>
      <c r="V7" s="27"/>
      <c r="W7" s="27"/>
      <c r="X7" s="25"/>
      <c r="Y7" s="21"/>
      <c r="Z7" s="21"/>
    </row>
    <row r="8" spans="1:26" x14ac:dyDescent="0.25">
      <c r="A8" s="1"/>
    </row>
    <row r="9" spans="1:26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88"/>
    </row>
    <row r="10" spans="1:26" ht="30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39"/>
      <c r="P10" s="113" t="s">
        <v>27</v>
      </c>
      <c r="Q10" s="113" t="s">
        <v>38</v>
      </c>
      <c r="R10" s="114" t="s">
        <v>35</v>
      </c>
      <c r="S10" s="114" t="s">
        <v>204</v>
      </c>
      <c r="T10" s="114" t="s">
        <v>34</v>
      </c>
      <c r="U10" s="114" t="s">
        <v>30</v>
      </c>
      <c r="V10" s="113" t="s">
        <v>36</v>
      </c>
      <c r="W10" s="115" t="s">
        <v>31</v>
      </c>
      <c r="X10" s="113"/>
      <c r="Y10" s="113" t="s">
        <v>32</v>
      </c>
      <c r="Z10" s="114" t="s">
        <v>33</v>
      </c>
    </row>
    <row r="11" spans="1:26" x14ac:dyDescent="0.25">
      <c r="A11" s="65">
        <v>2.5</v>
      </c>
      <c r="B11" s="65">
        <v>3.7</v>
      </c>
      <c r="C11" s="65">
        <v>3.7</v>
      </c>
      <c r="D11" s="66">
        <v>0.125</v>
      </c>
      <c r="E11" s="66">
        <v>6.5000000000000002E-2</v>
      </c>
      <c r="F11" s="66">
        <f>(A11+B11)*C11</f>
        <v>22.94</v>
      </c>
      <c r="G11" s="66">
        <f>(A11+B11)/E11</f>
        <v>95.384615384615387</v>
      </c>
      <c r="H11" s="66">
        <f t="shared" ref="H11" si="3">C11/10</f>
        <v>0.37</v>
      </c>
      <c r="I11" s="66">
        <v>3</v>
      </c>
      <c r="J11" s="67">
        <f t="shared" ref="J11" si="4">H11*G11/60</f>
        <v>0.58820512820512827</v>
      </c>
      <c r="K11" s="67">
        <f>J11+I11</f>
        <v>3.5882051282051282</v>
      </c>
      <c r="L11" s="68">
        <v>275</v>
      </c>
      <c r="M11" s="69">
        <f>L11/60</f>
        <v>4.583333333333333</v>
      </c>
      <c r="N11" s="70">
        <f>ROUNDUP(K11*M11,1)</f>
        <v>16.5</v>
      </c>
      <c r="O11" s="56"/>
      <c r="P11" s="30">
        <v>125</v>
      </c>
      <c r="Q11" s="71">
        <v>0.02</v>
      </c>
      <c r="R11" s="32">
        <v>1</v>
      </c>
      <c r="S11" s="35">
        <f>N11*R11</f>
        <v>16.5</v>
      </c>
      <c r="T11" s="55">
        <f>IF(S11&gt;Y11, S11, Y11)</f>
        <v>275</v>
      </c>
      <c r="U11" s="55">
        <f>T11+P11</f>
        <v>400</v>
      </c>
      <c r="V11" s="33">
        <f>ROUNDUP(U11*Q11,0)</f>
        <v>8</v>
      </c>
      <c r="W11" s="33">
        <f>U11+V11</f>
        <v>408</v>
      </c>
      <c r="X11" s="34"/>
      <c r="Y11" s="57">
        <v>275</v>
      </c>
      <c r="Z11" s="36">
        <f>ROUNDDOWN(Y11/N11,0)</f>
        <v>16</v>
      </c>
    </row>
    <row r="12" spans="1:26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0"/>
      <c r="S12" s="60"/>
      <c r="T12" s="63"/>
      <c r="U12" s="63"/>
      <c r="V12" s="63"/>
      <c r="W12" s="63"/>
      <c r="X12" s="60"/>
      <c r="Y12" s="60"/>
      <c r="Z12" s="64"/>
    </row>
    <row r="13" spans="1:26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40"/>
      <c r="P13" s="42" t="s">
        <v>27</v>
      </c>
      <c r="Q13" s="43" t="s">
        <v>38</v>
      </c>
      <c r="R13" s="49" t="s">
        <v>35</v>
      </c>
      <c r="S13" s="114" t="s">
        <v>204</v>
      </c>
      <c r="T13" s="52" t="s">
        <v>34</v>
      </c>
      <c r="U13" s="44" t="s">
        <v>30</v>
      </c>
      <c r="V13" s="53" t="s">
        <v>36</v>
      </c>
      <c r="W13" s="46" t="s">
        <v>37</v>
      </c>
      <c r="X13" s="21"/>
      <c r="Y13" s="37" t="s">
        <v>32</v>
      </c>
      <c r="Z13" s="37" t="s">
        <v>33</v>
      </c>
    </row>
    <row r="14" spans="1:26" x14ac:dyDescent="0.25">
      <c r="A14" s="1"/>
      <c r="B14" s="14">
        <v>1.25</v>
      </c>
      <c r="C14" s="14">
        <v>36</v>
      </c>
      <c r="D14" s="66" t="s">
        <v>0</v>
      </c>
      <c r="E14" s="16">
        <v>0.05</v>
      </c>
      <c r="F14" s="16">
        <f>B14*3.14</f>
        <v>3.9250000000000003</v>
      </c>
      <c r="G14" s="17">
        <f>F14/E14</f>
        <v>78.5</v>
      </c>
      <c r="H14" s="16">
        <f>C14/10</f>
        <v>3.6</v>
      </c>
      <c r="I14" s="16">
        <v>3</v>
      </c>
      <c r="J14" s="19">
        <f>H14*G14/60</f>
        <v>4.71</v>
      </c>
      <c r="K14" s="20">
        <f>J14+I14</f>
        <v>7.71</v>
      </c>
      <c r="L14" s="68">
        <v>275</v>
      </c>
      <c r="M14" s="69">
        <f>L14/60</f>
        <v>4.583333333333333</v>
      </c>
      <c r="N14" s="18">
        <f>ROUNDUP(K14*M14,1)</f>
        <v>35.4</v>
      </c>
      <c r="O14" s="56"/>
      <c r="P14" s="30">
        <v>125</v>
      </c>
      <c r="Q14" s="71">
        <v>0.02</v>
      </c>
      <c r="R14" s="32">
        <v>10</v>
      </c>
      <c r="S14" s="51">
        <f>N14*R14</f>
        <v>354</v>
      </c>
      <c r="T14" s="55">
        <f>IF(S14&gt;Y14, S14, Y14)</f>
        <v>354</v>
      </c>
      <c r="U14" s="55">
        <f>T14+P14</f>
        <v>479</v>
      </c>
      <c r="V14" s="33">
        <f>ROUNDUP(U14*Q14,0)</f>
        <v>10</v>
      </c>
      <c r="W14" s="33">
        <f t="shared" ref="W14" si="5">U14+V14</f>
        <v>489</v>
      </c>
      <c r="X14" s="56"/>
      <c r="Y14" s="58">
        <v>275</v>
      </c>
      <c r="Z14" s="47">
        <f>ROUNDDOWN(Y14/N14,0)</f>
        <v>7</v>
      </c>
    </row>
    <row r="17" spans="1:28" ht="24" thickBot="1" x14ac:dyDescent="0.4">
      <c r="A17" s="171"/>
      <c r="B17" s="172" t="s">
        <v>119</v>
      </c>
      <c r="C17" s="173"/>
      <c r="N17" s="554" t="s">
        <v>149</v>
      </c>
      <c r="O17" s="555"/>
      <c r="P17" s="555"/>
      <c r="Q17" s="555"/>
      <c r="R17" s="555"/>
      <c r="S17" s="555"/>
      <c r="T17" s="555"/>
      <c r="U17" s="555"/>
      <c r="V17" s="555"/>
      <c r="W17" s="556"/>
      <c r="Y17" s="541" t="s">
        <v>348</v>
      </c>
      <c r="Z17" s="541"/>
      <c r="AA17" s="541"/>
      <c r="AB17" s="541"/>
    </row>
    <row r="18" spans="1:28" ht="16.5" thickTop="1" x14ac:dyDescent="0.25">
      <c r="A18" s="174" t="s">
        <v>32</v>
      </c>
      <c r="C18" s="175">
        <v>250</v>
      </c>
      <c r="N18" s="174" t="s">
        <v>150</v>
      </c>
      <c r="W18" s="176"/>
      <c r="Y18" s="362" t="s">
        <v>207</v>
      </c>
      <c r="Z18" s="363"/>
      <c r="AA18" s="352"/>
      <c r="AB18" s="364">
        <f>N3</f>
        <v>22.8</v>
      </c>
    </row>
    <row r="19" spans="1:28" ht="15.75" x14ac:dyDescent="0.25">
      <c r="A19" s="174" t="s">
        <v>120</v>
      </c>
      <c r="C19" s="175">
        <v>125</v>
      </c>
      <c r="N19" s="174" t="s">
        <v>151</v>
      </c>
      <c r="W19" s="176"/>
      <c r="Y19" s="365" t="s">
        <v>208</v>
      </c>
      <c r="Z19" s="1"/>
      <c r="AB19" s="366">
        <f>R3</f>
        <v>6</v>
      </c>
    </row>
    <row r="20" spans="1:28" ht="15.75" x14ac:dyDescent="0.25">
      <c r="A20" s="174" t="s">
        <v>36</v>
      </c>
      <c r="C20" s="176" t="s">
        <v>122</v>
      </c>
      <c r="N20" s="174"/>
      <c r="W20" s="176"/>
      <c r="Y20" s="365" t="s">
        <v>209</v>
      </c>
      <c r="Z20" s="1"/>
      <c r="AB20" s="367">
        <f>T3</f>
        <v>250</v>
      </c>
    </row>
    <row r="21" spans="1:28" ht="15.75" x14ac:dyDescent="0.25">
      <c r="A21" s="174" t="s">
        <v>121</v>
      </c>
      <c r="C21" s="176" t="s">
        <v>123</v>
      </c>
      <c r="N21" s="174" t="s">
        <v>152</v>
      </c>
      <c r="W21" s="176"/>
      <c r="Y21" s="365" t="s">
        <v>210</v>
      </c>
      <c r="Z21" s="1"/>
      <c r="AB21" s="367">
        <f>V3</f>
        <v>8</v>
      </c>
    </row>
    <row r="22" spans="1:28" ht="15.75" x14ac:dyDescent="0.25">
      <c r="A22" s="177" t="s">
        <v>124</v>
      </c>
      <c r="B22" s="178"/>
      <c r="C22" s="179">
        <v>100</v>
      </c>
      <c r="N22" s="174" t="s">
        <v>153</v>
      </c>
      <c r="W22" s="176"/>
      <c r="Y22" s="365" t="s">
        <v>216</v>
      </c>
      <c r="AB22" s="368">
        <f>P3</f>
        <v>125</v>
      </c>
    </row>
    <row r="23" spans="1:28" ht="15.75" x14ac:dyDescent="0.25">
      <c r="N23" s="174"/>
      <c r="W23" s="176"/>
      <c r="Y23" s="365" t="s">
        <v>211</v>
      </c>
      <c r="Z23" s="1"/>
      <c r="AB23" s="367">
        <f>W3</f>
        <v>383</v>
      </c>
    </row>
    <row r="24" spans="1:28" ht="16.5" thickBot="1" x14ac:dyDescent="0.3">
      <c r="N24" s="174" t="s">
        <v>154</v>
      </c>
      <c r="W24" s="176"/>
      <c r="Y24" s="369" t="s">
        <v>346</v>
      </c>
      <c r="Z24" s="354"/>
      <c r="AA24" s="539" t="s">
        <v>347</v>
      </c>
      <c r="AB24" s="540"/>
    </row>
    <row r="25" spans="1:28" ht="15.75" thickTop="1" x14ac:dyDescent="0.25">
      <c r="N25" s="177" t="s">
        <v>155</v>
      </c>
      <c r="O25" s="178"/>
      <c r="P25" s="178"/>
      <c r="Q25" s="178"/>
      <c r="R25" s="178"/>
      <c r="S25" s="178"/>
      <c r="T25" s="178"/>
      <c r="U25" s="178"/>
      <c r="V25" s="178"/>
      <c r="W25" s="199"/>
      <c r="AA25" s="1"/>
      <c r="AB25" s="1"/>
    </row>
    <row r="26" spans="1:28" ht="24" thickBot="1" x14ac:dyDescent="0.4">
      <c r="Y26" s="541" t="s">
        <v>284</v>
      </c>
      <c r="Z26" s="541"/>
      <c r="AA26" s="541"/>
      <c r="AB26" s="541"/>
    </row>
    <row r="27" spans="1:28" ht="16.5" thickTop="1" x14ac:dyDescent="0.25">
      <c r="Y27" s="362" t="s">
        <v>207</v>
      </c>
      <c r="Z27" s="363"/>
      <c r="AA27" s="352"/>
      <c r="AB27" s="364">
        <f>N6</f>
        <v>16.8</v>
      </c>
    </row>
    <row r="28" spans="1:28" ht="15.75" x14ac:dyDescent="0.25">
      <c r="Y28" s="365" t="s">
        <v>208</v>
      </c>
      <c r="Z28" s="1"/>
      <c r="AB28" s="366">
        <f>R6</f>
        <v>24</v>
      </c>
    </row>
    <row r="29" spans="1:28" ht="15.75" x14ac:dyDescent="0.25">
      <c r="Y29" s="365" t="s">
        <v>209</v>
      </c>
      <c r="Z29" s="1"/>
      <c r="AB29" s="367">
        <f>T6</f>
        <v>403.20000000000005</v>
      </c>
    </row>
    <row r="30" spans="1:28" ht="15.75" x14ac:dyDescent="0.25">
      <c r="Y30" s="365" t="s">
        <v>210</v>
      </c>
      <c r="Z30" s="1"/>
      <c r="AB30" s="367">
        <f>V6</f>
        <v>11</v>
      </c>
    </row>
    <row r="31" spans="1:28" ht="15.75" x14ac:dyDescent="0.25">
      <c r="Y31" s="365" t="s">
        <v>216</v>
      </c>
      <c r="AB31" s="368">
        <f>P6</f>
        <v>125</v>
      </c>
    </row>
    <row r="32" spans="1:28" ht="15.75" x14ac:dyDescent="0.25">
      <c r="Y32" s="365" t="s">
        <v>211</v>
      </c>
      <c r="Z32" s="1"/>
      <c r="AB32" s="367">
        <f>W6</f>
        <v>539.20000000000005</v>
      </c>
    </row>
    <row r="33" spans="25:28" ht="16.5" thickBot="1" x14ac:dyDescent="0.3">
      <c r="Y33" s="369" t="s">
        <v>346</v>
      </c>
      <c r="Z33" s="354"/>
      <c r="AA33" s="539" t="s">
        <v>347</v>
      </c>
      <c r="AB33" s="540"/>
    </row>
    <row r="34" spans="25:28" ht="15.75" thickTop="1" x14ac:dyDescent="0.25"/>
  </sheetData>
  <mergeCells count="5">
    <mergeCell ref="N17:W17"/>
    <mergeCell ref="Y17:AB17"/>
    <mergeCell ref="AA24:AB24"/>
    <mergeCell ref="Y26:AB26"/>
    <mergeCell ref="AA33:AB33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DAB2-C412-4F90-A00A-89DF1B7D180B}">
  <sheetPr>
    <tabColor rgb="FF92D050"/>
  </sheetPr>
  <dimension ref="A1:Z37"/>
  <sheetViews>
    <sheetView workbookViewId="0">
      <selection activeCell="L18" sqref="L18"/>
    </sheetView>
  </sheetViews>
  <sheetFormatPr defaultRowHeight="15" x14ac:dyDescent="0.25"/>
  <cols>
    <col min="19" max="19" width="12.85546875" customWidth="1"/>
    <col min="24" max="24" width="10.42578125" bestFit="1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203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2.5</v>
      </c>
      <c r="B3" s="65">
        <v>5</v>
      </c>
      <c r="C3" s="65">
        <v>5.25</v>
      </c>
      <c r="D3" s="66">
        <v>0.125</v>
      </c>
      <c r="E3" s="66">
        <v>0.11</v>
      </c>
      <c r="F3" s="66">
        <f>(A3+B3)*C3</f>
        <v>39.375</v>
      </c>
      <c r="G3" s="66">
        <f>(A3+B3)/E3</f>
        <v>68.181818181818187</v>
      </c>
      <c r="H3" s="66">
        <f t="shared" ref="H3" si="0">C3/10</f>
        <v>0.52500000000000002</v>
      </c>
      <c r="I3" s="66">
        <v>6</v>
      </c>
      <c r="J3" s="67">
        <f t="shared" ref="J3" si="1">H3*G3/60</f>
        <v>0.59659090909090906</v>
      </c>
      <c r="K3" s="67">
        <f>J3+I3</f>
        <v>6.5965909090909092</v>
      </c>
      <c r="L3" s="68">
        <v>250</v>
      </c>
      <c r="M3" s="69">
        <f>L3/60</f>
        <v>4.166666666666667</v>
      </c>
      <c r="N3" s="70">
        <f>ROUNDUP(K3*M3,1)</f>
        <v>27.5</v>
      </c>
      <c r="O3" s="56"/>
      <c r="P3" s="30">
        <v>125</v>
      </c>
      <c r="Q3" s="71">
        <v>0.02</v>
      </c>
      <c r="R3" s="32">
        <v>15</v>
      </c>
      <c r="S3" s="35">
        <f>N3*R3</f>
        <v>412.5</v>
      </c>
      <c r="T3" s="33">
        <f>IF(S3&gt;Y3, S3, Y3)</f>
        <v>412.5</v>
      </c>
      <c r="U3" s="33">
        <f>T3+P3</f>
        <v>537.5</v>
      </c>
      <c r="V3" s="33">
        <f>ROUNDUP(U3*Q3,0)</f>
        <v>11</v>
      </c>
      <c r="W3" s="33">
        <f>U3+V3</f>
        <v>548.5</v>
      </c>
      <c r="X3" s="34"/>
      <c r="Y3" s="57">
        <v>250</v>
      </c>
      <c r="Z3" s="36">
        <f>ROUNDDOWN(Y3/N3,0)</f>
        <v>9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203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2.5</v>
      </c>
      <c r="B6" s="65">
        <v>5</v>
      </c>
      <c r="C6" s="65">
        <v>5.25</v>
      </c>
      <c r="D6" s="66">
        <v>0.125</v>
      </c>
      <c r="E6" s="66">
        <v>6.5000000000000002E-2</v>
      </c>
      <c r="F6" s="66">
        <f>(A6+B6)*C6</f>
        <v>39.375</v>
      </c>
      <c r="G6" s="66">
        <f>(A6+B6)/E6</f>
        <v>115.38461538461539</v>
      </c>
      <c r="H6" s="66">
        <f t="shared" ref="H6" si="2">C6/10</f>
        <v>0.52500000000000002</v>
      </c>
      <c r="I6" s="66">
        <v>4</v>
      </c>
      <c r="J6" s="67">
        <f t="shared" ref="J6" si="3">H6*G6/60</f>
        <v>1.0096153846153846</v>
      </c>
      <c r="K6" s="67">
        <f>J6+I6</f>
        <v>5.009615384615385</v>
      </c>
      <c r="L6" s="68">
        <v>250</v>
      </c>
      <c r="M6" s="69">
        <f>L6/60</f>
        <v>4.166666666666667</v>
      </c>
      <c r="N6" s="70">
        <f>ROUNDUP(K6*M6,1)</f>
        <v>20.900000000000002</v>
      </c>
      <c r="O6" s="56"/>
      <c r="P6" s="30">
        <v>125</v>
      </c>
      <c r="Q6" s="71">
        <v>0.02</v>
      </c>
      <c r="R6" s="32">
        <v>15</v>
      </c>
      <c r="S6" s="35">
        <f>N6*R6</f>
        <v>313.50000000000006</v>
      </c>
      <c r="T6" s="33">
        <f>IF(S6&gt;Y6, S6, Y6)</f>
        <v>313.50000000000006</v>
      </c>
      <c r="U6" s="33">
        <f>T6+P6</f>
        <v>438.50000000000006</v>
      </c>
      <c r="V6" s="33">
        <f>ROUNDUP(U6*Q6,0)</f>
        <v>9</v>
      </c>
      <c r="W6" s="33">
        <f>U6+V6</f>
        <v>447.50000000000006</v>
      </c>
      <c r="X6" s="34"/>
      <c r="Y6" s="57">
        <v>250</v>
      </c>
      <c r="Z6" s="36">
        <f>ROUNDDOWN(Y6/N6,0)</f>
        <v>11</v>
      </c>
    </row>
    <row r="7" spans="1:26" ht="26.25" x14ac:dyDescent="0.25">
      <c r="B7" s="168" t="s">
        <v>12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49" t="s">
        <v>204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2.125</v>
      </c>
      <c r="C9" s="14">
        <v>35</v>
      </c>
      <c r="D9" s="66" t="s">
        <v>0</v>
      </c>
      <c r="E9" s="16">
        <v>4.4999999999999998E-2</v>
      </c>
      <c r="F9" s="16">
        <f>B9*3.14</f>
        <v>6.6725000000000003</v>
      </c>
      <c r="G9" s="17">
        <f>F9/E9</f>
        <v>148.2777777777778</v>
      </c>
      <c r="H9" s="16">
        <f>C9/10</f>
        <v>3.5</v>
      </c>
      <c r="I9" s="16">
        <v>4</v>
      </c>
      <c r="J9" s="19">
        <f>H9*G9/60</f>
        <v>8.6495370370370388</v>
      </c>
      <c r="K9" s="20">
        <f>J9+I9</f>
        <v>12.649537037037039</v>
      </c>
      <c r="L9" s="68">
        <v>250</v>
      </c>
      <c r="M9" s="69">
        <f>L9/60</f>
        <v>4.166666666666667</v>
      </c>
      <c r="N9" s="18">
        <f>ROUNDUP(K9*M9,1)</f>
        <v>52.800000000000004</v>
      </c>
      <c r="O9" s="56"/>
      <c r="P9" s="30">
        <v>125</v>
      </c>
      <c r="Q9" s="71">
        <v>0.02</v>
      </c>
      <c r="R9" s="32">
        <v>8</v>
      </c>
      <c r="S9" s="51">
        <f>N9*R9</f>
        <v>422.40000000000003</v>
      </c>
      <c r="T9" s="55">
        <f>IF(S9&gt;Y9, S9, Y9)</f>
        <v>422.40000000000003</v>
      </c>
      <c r="U9" s="55">
        <f>T9+P9</f>
        <v>547.40000000000009</v>
      </c>
      <c r="V9" s="33">
        <f>ROUNDUP(U9*Q9,0)</f>
        <v>11</v>
      </c>
      <c r="W9" s="33">
        <f t="shared" ref="W9" si="4">U9+V9</f>
        <v>558.40000000000009</v>
      </c>
      <c r="X9" s="56"/>
      <c r="Y9" s="58">
        <v>250</v>
      </c>
      <c r="Z9" s="47">
        <f>ROUNDDOWN(Y9/N9,0)</f>
        <v>4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116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205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1.5</v>
      </c>
      <c r="B14" s="65">
        <v>36</v>
      </c>
      <c r="C14" s="65">
        <v>2</v>
      </c>
      <c r="D14" s="66">
        <v>0.125</v>
      </c>
      <c r="E14" s="66">
        <v>6.5000000000000002E-2</v>
      </c>
      <c r="F14" s="66">
        <f>(A14+B14)*C14</f>
        <v>75</v>
      </c>
      <c r="G14" s="66">
        <f>(A14+B14)/E14</f>
        <v>576.92307692307691</v>
      </c>
      <c r="H14" s="66">
        <f t="shared" ref="H14" si="5">C14/10</f>
        <v>0.2</v>
      </c>
      <c r="I14" s="66">
        <v>4</v>
      </c>
      <c r="J14" s="67">
        <f t="shared" ref="J14" si="6">H14*G14/60</f>
        <v>1.9230769230769231</v>
      </c>
      <c r="K14" s="67">
        <f>J14+I14</f>
        <v>5.9230769230769234</v>
      </c>
      <c r="L14" s="68">
        <v>275</v>
      </c>
      <c r="M14" s="69">
        <f>L14/60</f>
        <v>4.583333333333333</v>
      </c>
      <c r="N14" s="70">
        <f>ROUNDUP(K14*M14,1)</f>
        <v>27.200000000000003</v>
      </c>
      <c r="O14" s="56"/>
      <c r="P14" s="30">
        <v>125</v>
      </c>
      <c r="Q14" s="71">
        <v>0.02</v>
      </c>
      <c r="R14" s="32">
        <v>30</v>
      </c>
      <c r="S14" s="35">
        <f>N14*R14</f>
        <v>816.00000000000011</v>
      </c>
      <c r="T14" s="33">
        <f>IF(S14&gt;Y14, S14, Y14)</f>
        <v>816.00000000000011</v>
      </c>
      <c r="U14" s="33">
        <f>T14+P14</f>
        <v>941.00000000000011</v>
      </c>
      <c r="V14" s="33">
        <f>ROUNDUP(U14*Q14,0)</f>
        <v>19</v>
      </c>
      <c r="W14" s="33">
        <f>U14+V14</f>
        <v>960.00000000000011</v>
      </c>
      <c r="X14" s="34"/>
      <c r="Y14" s="57">
        <v>275</v>
      </c>
      <c r="Z14" s="36">
        <f>ROUNDDOWN(Y14/N14,0)</f>
        <v>10</v>
      </c>
    </row>
    <row r="15" spans="1:26" ht="26.25" x14ac:dyDescent="0.25">
      <c r="A15" s="1"/>
      <c r="B15" s="168" t="s">
        <v>117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49" t="s">
        <v>204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26" x14ac:dyDescent="0.25">
      <c r="A17" s="1"/>
      <c r="B17" s="14">
        <v>6.25</v>
      </c>
      <c r="C17" s="14">
        <v>8.8000000000000007</v>
      </c>
      <c r="D17" s="66" t="s">
        <v>0</v>
      </c>
      <c r="E17" s="16">
        <v>4.4999999999999998E-2</v>
      </c>
      <c r="F17" s="16">
        <f>B17*3.14</f>
        <v>19.625</v>
      </c>
      <c r="G17" s="17">
        <f>F17/E17</f>
        <v>436.11111111111114</v>
      </c>
      <c r="H17" s="16">
        <f>C17/10</f>
        <v>0.88000000000000012</v>
      </c>
      <c r="I17" s="16">
        <v>4</v>
      </c>
      <c r="J17" s="19">
        <f>H17*G17/60</f>
        <v>6.3962962962962973</v>
      </c>
      <c r="K17" s="20">
        <f>J17+I17</f>
        <v>10.396296296296297</v>
      </c>
      <c r="L17" s="68">
        <v>275</v>
      </c>
      <c r="M17" s="69">
        <f>L17/60</f>
        <v>4.583333333333333</v>
      </c>
      <c r="N17" s="18">
        <f>ROUNDUP(K17*M17,1)</f>
        <v>47.7</v>
      </c>
      <c r="O17" s="56"/>
      <c r="P17" s="30">
        <v>125</v>
      </c>
      <c r="Q17" s="71">
        <v>0.02</v>
      </c>
      <c r="R17" s="32">
        <v>143</v>
      </c>
      <c r="S17" s="51">
        <f>N17*R17</f>
        <v>6821.1</v>
      </c>
      <c r="T17" s="55">
        <f>IF(S17&gt;Y17, S17, Y17)</f>
        <v>6821.1</v>
      </c>
      <c r="U17" s="55">
        <f>T17+P17</f>
        <v>6946.1</v>
      </c>
      <c r="V17" s="33">
        <f>ROUNDUP(U17*Q17,0)</f>
        <v>139</v>
      </c>
      <c r="W17" s="33">
        <f t="shared" ref="W17" si="7">U17+V17</f>
        <v>7085.1</v>
      </c>
      <c r="X17" s="56"/>
      <c r="Y17" s="58">
        <v>275</v>
      </c>
      <c r="Z17" s="47">
        <f>ROUNDDOWN(Y17/N17,0)</f>
        <v>5</v>
      </c>
    </row>
    <row r="19" spans="1:26" ht="15.75" thickBot="1" x14ac:dyDescent="0.3"/>
    <row r="20" spans="1:26" ht="24" thickBot="1" x14ac:dyDescent="0.4">
      <c r="A20" s="171"/>
      <c r="B20" s="172" t="s">
        <v>119</v>
      </c>
      <c r="C20" s="173"/>
      <c r="N20" s="439"/>
      <c r="O20" s="440" t="s">
        <v>149</v>
      </c>
      <c r="P20" s="441"/>
      <c r="Q20" s="441"/>
      <c r="R20" s="442"/>
      <c r="U20" s="541" t="s">
        <v>348</v>
      </c>
      <c r="V20" s="541"/>
      <c r="W20" s="541"/>
      <c r="X20" s="541"/>
    </row>
    <row r="21" spans="1:26" ht="16.5" thickTop="1" x14ac:dyDescent="0.25">
      <c r="A21" s="174" t="s">
        <v>32</v>
      </c>
      <c r="C21" s="175">
        <v>250</v>
      </c>
      <c r="N21" s="443" t="s">
        <v>150</v>
      </c>
      <c r="R21" s="444"/>
      <c r="U21" s="362" t="s">
        <v>207</v>
      </c>
      <c r="V21" s="363"/>
      <c r="W21" s="352"/>
      <c r="X21" s="364">
        <f>N6</f>
        <v>20.900000000000002</v>
      </c>
    </row>
    <row r="22" spans="1:26" ht="15.75" x14ac:dyDescent="0.25">
      <c r="A22" s="174" t="s">
        <v>120</v>
      </c>
      <c r="C22" s="175">
        <v>125</v>
      </c>
      <c r="N22" s="443" t="s">
        <v>151</v>
      </c>
      <c r="R22" s="444"/>
      <c r="U22" s="365" t="s">
        <v>208</v>
      </c>
      <c r="V22" s="1"/>
      <c r="X22" s="366">
        <f>R6</f>
        <v>15</v>
      </c>
    </row>
    <row r="23" spans="1:26" ht="15.75" x14ac:dyDescent="0.25">
      <c r="A23" s="174" t="s">
        <v>36</v>
      </c>
      <c r="C23" s="176" t="s">
        <v>122</v>
      </c>
      <c r="N23" s="443"/>
      <c r="R23" s="444"/>
      <c r="U23" s="365" t="s">
        <v>209</v>
      </c>
      <c r="V23" s="1"/>
      <c r="X23" s="367">
        <f>T6</f>
        <v>313.50000000000006</v>
      </c>
    </row>
    <row r="24" spans="1:26" ht="15.75" x14ac:dyDescent="0.25">
      <c r="A24" s="174" t="s">
        <v>121</v>
      </c>
      <c r="C24" s="176" t="s">
        <v>123</v>
      </c>
      <c r="N24" s="443" t="s">
        <v>152</v>
      </c>
      <c r="R24" s="444"/>
      <c r="U24" s="365" t="s">
        <v>210</v>
      </c>
      <c r="V24" s="1"/>
      <c r="X24" s="367">
        <f>V6</f>
        <v>9</v>
      </c>
    </row>
    <row r="25" spans="1:26" ht="15.75" x14ac:dyDescent="0.25">
      <c r="A25" s="177" t="s">
        <v>124</v>
      </c>
      <c r="B25" s="178"/>
      <c r="C25" s="179">
        <v>75</v>
      </c>
      <c r="N25" s="443" t="s">
        <v>153</v>
      </c>
      <c r="R25" s="444"/>
      <c r="U25" s="365" t="s">
        <v>216</v>
      </c>
      <c r="X25" s="368">
        <f>P6</f>
        <v>125</v>
      </c>
    </row>
    <row r="26" spans="1:26" ht="15.75" x14ac:dyDescent="0.25">
      <c r="N26" s="443"/>
      <c r="R26" s="444"/>
      <c r="U26" s="365" t="s">
        <v>211</v>
      </c>
      <c r="V26" s="1"/>
      <c r="X26" s="367">
        <f>W6</f>
        <v>447.50000000000006</v>
      </c>
    </row>
    <row r="27" spans="1:26" ht="16.5" thickBot="1" x14ac:dyDescent="0.3">
      <c r="N27" s="443" t="s">
        <v>154</v>
      </c>
      <c r="R27" s="444"/>
      <c r="U27" s="369" t="s">
        <v>346</v>
      </c>
      <c r="V27" s="354"/>
      <c r="W27" s="539" t="s">
        <v>347</v>
      </c>
      <c r="X27" s="540"/>
    </row>
    <row r="28" spans="1:26" ht="16.5" thickTop="1" thickBot="1" x14ac:dyDescent="0.3">
      <c r="N28" s="445" t="s">
        <v>155</v>
      </c>
      <c r="O28" s="446"/>
      <c r="P28" s="446"/>
      <c r="Q28" s="446"/>
      <c r="R28" s="447"/>
      <c r="W28" s="1"/>
      <c r="X28" s="1"/>
    </row>
    <row r="29" spans="1:26" ht="24" thickBot="1" x14ac:dyDescent="0.4">
      <c r="U29" s="541" t="s">
        <v>284</v>
      </c>
      <c r="V29" s="541"/>
      <c r="W29" s="541"/>
      <c r="X29" s="541"/>
    </row>
    <row r="30" spans="1:26" ht="46.5" thickTop="1" thickBot="1" x14ac:dyDescent="0.3">
      <c r="A30" s="356" t="s">
        <v>241</v>
      </c>
      <c r="B30" s="358" t="s">
        <v>29</v>
      </c>
      <c r="C30" s="343" t="s">
        <v>34</v>
      </c>
      <c r="D30" s="343" t="s">
        <v>27</v>
      </c>
      <c r="E30" s="341" t="s">
        <v>39</v>
      </c>
      <c r="F30" s="341" t="s">
        <v>30</v>
      </c>
      <c r="G30" s="349" t="s">
        <v>36</v>
      </c>
      <c r="H30" s="347" t="s">
        <v>31</v>
      </c>
      <c r="I30" s="360" t="s">
        <v>289</v>
      </c>
      <c r="J30" s="360" t="s">
        <v>290</v>
      </c>
      <c r="U30" s="362" t="s">
        <v>207</v>
      </c>
      <c r="V30" s="363"/>
      <c r="W30" s="352"/>
      <c r="X30" s="364">
        <f>N9</f>
        <v>52.800000000000004</v>
      </c>
    </row>
    <row r="31" spans="1:26" ht="17.25" thickTop="1" thickBot="1" x14ac:dyDescent="0.3">
      <c r="A31" s="357">
        <v>32.549999999999997</v>
      </c>
      <c r="B31" s="342">
        <v>42</v>
      </c>
      <c r="C31" s="344">
        <f>IF(I31&gt;J31,I31,J31)</f>
        <v>1367.1</v>
      </c>
      <c r="D31" s="345">
        <v>125</v>
      </c>
      <c r="E31" s="346">
        <v>0.02</v>
      </c>
      <c r="F31" s="344">
        <f>C31+D31</f>
        <v>1492.1</v>
      </c>
      <c r="G31" s="350">
        <f>ROUNDUP(F31*E31,0)</f>
        <v>30</v>
      </c>
      <c r="H31" s="348">
        <f>F31+G31</f>
        <v>1522.1</v>
      </c>
      <c r="I31" s="97">
        <f>A31*B31</f>
        <v>1367.1</v>
      </c>
      <c r="J31">
        <v>225</v>
      </c>
      <c r="U31" s="365" t="s">
        <v>208</v>
      </c>
      <c r="V31" s="1"/>
      <c r="X31" s="366">
        <f>R9</f>
        <v>8</v>
      </c>
    </row>
    <row r="32" spans="1:26" ht="16.5" thickTop="1" x14ac:dyDescent="0.25">
      <c r="U32" s="365" t="s">
        <v>209</v>
      </c>
      <c r="V32" s="1"/>
      <c r="X32" s="367">
        <f>T9</f>
        <v>422.40000000000003</v>
      </c>
    </row>
    <row r="33" spans="4:24" ht="15.75" x14ac:dyDescent="0.25">
      <c r="U33" s="365" t="s">
        <v>210</v>
      </c>
      <c r="V33" s="1"/>
      <c r="X33" s="367">
        <f>V9</f>
        <v>11</v>
      </c>
    </row>
    <row r="34" spans="4:24" ht="16.5" thickBot="1" x14ac:dyDescent="0.3">
      <c r="F34" s="97"/>
      <c r="U34" s="365" t="s">
        <v>216</v>
      </c>
      <c r="X34" s="368">
        <f>P9</f>
        <v>125</v>
      </c>
    </row>
    <row r="35" spans="4:24" ht="16.5" thickTop="1" x14ac:dyDescent="0.25">
      <c r="D35" s="351" t="s">
        <v>286</v>
      </c>
      <c r="E35" s="352"/>
      <c r="F35" s="359">
        <f>B31</f>
        <v>42</v>
      </c>
      <c r="U35" s="365" t="s">
        <v>211</v>
      </c>
      <c r="V35" s="1"/>
      <c r="X35" s="367">
        <f>W9</f>
        <v>558.40000000000009</v>
      </c>
    </row>
    <row r="36" spans="4:24" ht="16.5" thickBot="1" x14ac:dyDescent="0.3">
      <c r="D36" s="353" t="s">
        <v>285</v>
      </c>
      <c r="E36" s="354"/>
      <c r="F36" s="355">
        <f>H31</f>
        <v>1522.1</v>
      </c>
      <c r="U36" s="369" t="s">
        <v>346</v>
      </c>
      <c r="V36" s="354"/>
      <c r="W36" s="539" t="s">
        <v>347</v>
      </c>
      <c r="X36" s="540"/>
    </row>
    <row r="37" spans="4:24" ht="15.75" thickTop="1" x14ac:dyDescent="0.25"/>
  </sheetData>
  <mergeCells count="4">
    <mergeCell ref="U20:X20"/>
    <mergeCell ref="W27:X27"/>
    <mergeCell ref="U29:X29"/>
    <mergeCell ref="W36:X36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58D8-48F7-43F8-8F9A-3AAF7FB46A14}">
  <sheetPr>
    <tabColor rgb="FF00B0F0"/>
  </sheetPr>
  <dimension ref="A1:Y57"/>
  <sheetViews>
    <sheetView zoomScale="85" zoomScaleNormal="85" workbookViewId="0">
      <selection activeCell="G15" sqref="G15"/>
    </sheetView>
  </sheetViews>
  <sheetFormatPr defaultRowHeight="15" x14ac:dyDescent="0.25"/>
  <cols>
    <col min="1" max="1" width="14.85546875" customWidth="1"/>
    <col min="4" max="4" width="12" customWidth="1"/>
    <col min="6" max="6" width="10.85546875" customWidth="1"/>
    <col min="7" max="7" width="11.5703125" customWidth="1"/>
    <col min="9" max="9" width="10.5703125" customWidth="1"/>
    <col min="11" max="11" width="11" customWidth="1"/>
    <col min="12" max="13" width="9.140625" customWidth="1"/>
    <col min="24" max="25" width="9.140625" customWidth="1"/>
  </cols>
  <sheetData>
    <row r="1" spans="1:25" ht="21" x14ac:dyDescent="0.25">
      <c r="A1" s="9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1"/>
      <c r="P1" s="21"/>
      <c r="Q1" s="21"/>
      <c r="R1" s="22"/>
      <c r="S1" s="22"/>
      <c r="T1" s="22"/>
      <c r="U1" s="22"/>
      <c r="V1" s="75"/>
      <c r="W1" s="22"/>
    </row>
    <row r="2" spans="1:25" ht="45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3" t="s">
        <v>5</v>
      </c>
      <c r="O2" s="34"/>
      <c r="P2" s="38" t="s">
        <v>29</v>
      </c>
      <c r="Q2" s="38" t="s">
        <v>204</v>
      </c>
      <c r="R2" s="37" t="s">
        <v>34</v>
      </c>
      <c r="S2" s="37" t="s">
        <v>27</v>
      </c>
      <c r="T2" s="38" t="s">
        <v>39</v>
      </c>
      <c r="U2" s="38" t="s">
        <v>30</v>
      </c>
      <c r="V2" s="74" t="s">
        <v>36</v>
      </c>
      <c r="W2" s="38" t="s">
        <v>31</v>
      </c>
    </row>
    <row r="3" spans="1:25" x14ac:dyDescent="0.25">
      <c r="A3" s="65">
        <v>4.5</v>
      </c>
      <c r="B3" s="65">
        <v>9.5</v>
      </c>
      <c r="C3" s="65">
        <v>14.5</v>
      </c>
      <c r="D3" s="66" t="s">
        <v>0</v>
      </c>
      <c r="E3" s="66">
        <v>4.4999999999999998E-2</v>
      </c>
      <c r="F3" s="66">
        <f>(A3+B3)*C3</f>
        <v>203</v>
      </c>
      <c r="G3" s="66">
        <f>(A3+B3)/E3</f>
        <v>311.11111111111114</v>
      </c>
      <c r="H3" s="66">
        <f t="shared" ref="H3" si="0">C3/10</f>
        <v>1.45</v>
      </c>
      <c r="I3" s="66">
        <v>4</v>
      </c>
      <c r="J3" s="67">
        <f t="shared" ref="J3" si="1">H3*G3/60</f>
        <v>7.518518518518519</v>
      </c>
      <c r="K3" s="67">
        <f>J3+I3</f>
        <v>11.518518518518519</v>
      </c>
      <c r="L3" s="68">
        <v>225</v>
      </c>
      <c r="M3" s="69">
        <f>L3/60</f>
        <v>3.75</v>
      </c>
      <c r="N3" s="70">
        <f>ROUNDUP(K3*M3,1)</f>
        <v>43.2</v>
      </c>
      <c r="O3" s="23"/>
      <c r="P3" s="32">
        <v>10</v>
      </c>
      <c r="Q3" s="35">
        <f>N3*P3</f>
        <v>432</v>
      </c>
      <c r="R3" s="33">
        <f>IF(Q3&gt;X3, Q3, X3)</f>
        <v>432</v>
      </c>
      <c r="S3" s="30">
        <v>125</v>
      </c>
      <c r="T3" s="79">
        <v>0.02</v>
      </c>
      <c r="U3" s="33">
        <f>R3+S3</f>
        <v>557</v>
      </c>
      <c r="V3" s="77">
        <f>ROUNDUP(U3*T3,0)</f>
        <v>12</v>
      </c>
      <c r="W3" s="33">
        <f>U3+V3</f>
        <v>569</v>
      </c>
    </row>
    <row r="4" spans="1:2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4"/>
      <c r="P4" s="21"/>
      <c r="Q4" s="21"/>
      <c r="R4" s="27"/>
      <c r="S4" s="28"/>
      <c r="T4" s="72"/>
      <c r="U4" s="27"/>
      <c r="V4" s="76"/>
      <c r="W4" s="27"/>
    </row>
    <row r="5" spans="1:2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1"/>
      <c r="P5" s="21"/>
      <c r="Q5" s="21"/>
      <c r="R5" s="21"/>
      <c r="S5" s="21"/>
      <c r="T5" s="21"/>
      <c r="U5" s="21"/>
      <c r="V5" s="26"/>
      <c r="W5" s="21"/>
    </row>
    <row r="6" spans="1:25" ht="21" x14ac:dyDescent="0.35">
      <c r="A6" s="171"/>
      <c r="B6" s="172" t="s">
        <v>119</v>
      </c>
      <c r="C6" s="173"/>
      <c r="D6" s="1"/>
      <c r="E6" s="1"/>
      <c r="F6" s="1"/>
      <c r="G6" s="1"/>
      <c r="H6" s="1"/>
      <c r="I6" s="1"/>
      <c r="J6" s="1"/>
      <c r="K6" s="1"/>
      <c r="L6" s="1"/>
      <c r="M6" s="1"/>
      <c r="N6" s="171"/>
      <c r="O6" s="198"/>
      <c r="P6" s="198"/>
      <c r="Q6" s="198"/>
      <c r="R6" s="198"/>
      <c r="S6" s="172" t="s">
        <v>149</v>
      </c>
      <c r="T6" s="198"/>
      <c r="U6" s="198"/>
      <c r="V6" s="198"/>
      <c r="W6" s="173"/>
    </row>
    <row r="7" spans="1:25" x14ac:dyDescent="0.25">
      <c r="A7" s="174" t="s">
        <v>32</v>
      </c>
      <c r="C7" s="280">
        <v>250</v>
      </c>
      <c r="D7" s="1"/>
      <c r="E7" s="1"/>
      <c r="F7" s="1"/>
      <c r="G7" s="1"/>
      <c r="H7" s="1"/>
      <c r="I7" s="1"/>
      <c r="J7" s="1"/>
      <c r="K7" s="1"/>
      <c r="L7" s="1"/>
      <c r="M7" s="1"/>
      <c r="N7" s="174" t="s">
        <v>150</v>
      </c>
      <c r="W7" s="176"/>
    </row>
    <row r="8" spans="1:25" x14ac:dyDescent="0.25">
      <c r="A8" s="174" t="s">
        <v>120</v>
      </c>
      <c r="B8" s="334" t="s">
        <v>122</v>
      </c>
      <c r="C8" s="280">
        <v>75</v>
      </c>
      <c r="D8" s="1"/>
      <c r="E8" s="1"/>
      <c r="F8" s="1"/>
      <c r="G8" s="1"/>
      <c r="H8" s="1"/>
      <c r="I8" s="1"/>
      <c r="J8" s="1"/>
      <c r="K8" s="1"/>
      <c r="L8" s="1"/>
      <c r="M8" s="1"/>
      <c r="N8" s="174" t="s">
        <v>151</v>
      </c>
      <c r="W8" s="176"/>
    </row>
    <row r="9" spans="1:25" x14ac:dyDescent="0.25">
      <c r="A9" s="174" t="s">
        <v>36</v>
      </c>
      <c r="C9" s="200" t="s">
        <v>122</v>
      </c>
      <c r="D9" s="1"/>
      <c r="E9" s="1"/>
      <c r="F9" s="1"/>
      <c r="G9" s="1"/>
      <c r="H9" s="1"/>
      <c r="I9" s="1"/>
      <c r="J9" s="1"/>
      <c r="K9" s="1"/>
      <c r="L9" s="1"/>
      <c r="M9" s="1"/>
      <c r="N9" s="174"/>
      <c r="W9" s="176"/>
    </row>
    <row r="10" spans="1:25" x14ac:dyDescent="0.25">
      <c r="A10" s="174" t="s">
        <v>121</v>
      </c>
      <c r="C10" s="200" t="s">
        <v>123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74" t="s">
        <v>152</v>
      </c>
      <c r="W10" s="176"/>
    </row>
    <row r="11" spans="1:25" x14ac:dyDescent="0.25">
      <c r="A11" s="177" t="s">
        <v>124</v>
      </c>
      <c r="B11" s="178"/>
      <c r="C11" s="201" t="s">
        <v>160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74" t="s">
        <v>153</v>
      </c>
      <c r="W11" s="176"/>
    </row>
    <row r="12" spans="1:2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74"/>
      <c r="W12" s="176"/>
    </row>
    <row r="13" spans="1:25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74" t="s">
        <v>154</v>
      </c>
      <c r="W13" s="176"/>
    </row>
    <row r="14" spans="1:25" ht="47.25" thickTop="1" thickBot="1" x14ac:dyDescent="0.35">
      <c r="A14" s="557" t="s">
        <v>284</v>
      </c>
      <c r="B14" s="558"/>
      <c r="D14" s="356" t="s">
        <v>241</v>
      </c>
      <c r="E14" s="358" t="s">
        <v>29</v>
      </c>
      <c r="F14" s="343" t="s">
        <v>34</v>
      </c>
      <c r="G14" s="343" t="s">
        <v>27</v>
      </c>
      <c r="H14" s="341" t="s">
        <v>39</v>
      </c>
      <c r="I14" s="341" t="s">
        <v>30</v>
      </c>
      <c r="J14" s="349" t="s">
        <v>36</v>
      </c>
      <c r="K14" s="347" t="s">
        <v>31</v>
      </c>
      <c r="L14" s="1"/>
      <c r="M14" s="1"/>
      <c r="N14" s="177" t="s">
        <v>155</v>
      </c>
      <c r="O14" s="178"/>
      <c r="P14" s="178"/>
      <c r="Q14" s="178"/>
      <c r="R14" s="178"/>
      <c r="S14" s="178"/>
      <c r="T14" s="178"/>
      <c r="U14" s="178"/>
      <c r="V14" s="178"/>
      <c r="W14" s="199"/>
    </row>
    <row r="15" spans="1:25" ht="16.5" thickTop="1" thickBot="1" x14ac:dyDescent="0.3">
      <c r="A15" s="337" t="s">
        <v>242</v>
      </c>
      <c r="B15" s="338">
        <v>27.25</v>
      </c>
      <c r="D15" s="357">
        <v>79.8</v>
      </c>
      <c r="E15" s="342">
        <v>4</v>
      </c>
      <c r="F15" s="344">
        <f>IF(X17&gt;Y17,X17,Y17)</f>
        <v>319.2</v>
      </c>
      <c r="G15" s="345">
        <v>0</v>
      </c>
      <c r="H15" s="346">
        <v>0.02</v>
      </c>
      <c r="I15" s="344">
        <f>F15+G15</f>
        <v>319.2</v>
      </c>
      <c r="J15" s="350">
        <f>ROUNDUP(I15*H15,0)</f>
        <v>7</v>
      </c>
      <c r="K15" s="348">
        <f>I15+J15</f>
        <v>326.2</v>
      </c>
    </row>
    <row r="16" spans="1:25" ht="15.75" thickTop="1" x14ac:dyDescent="0.25">
      <c r="A16" s="335" t="s">
        <v>243</v>
      </c>
      <c r="B16" s="336">
        <v>26.95</v>
      </c>
      <c r="X16" t="s">
        <v>287</v>
      </c>
      <c r="Y16" t="s">
        <v>288</v>
      </c>
    </row>
    <row r="17" spans="1:25" x14ac:dyDescent="0.25">
      <c r="A17" s="337" t="s">
        <v>244</v>
      </c>
      <c r="B17" s="338">
        <v>26.15</v>
      </c>
      <c r="X17" s="97">
        <f>D15*E15</f>
        <v>319.2</v>
      </c>
      <c r="Y17" s="192">
        <v>250</v>
      </c>
    </row>
    <row r="18" spans="1:25" ht="15.75" thickBot="1" x14ac:dyDescent="0.3">
      <c r="A18" s="335" t="s">
        <v>245</v>
      </c>
      <c r="B18" s="336">
        <v>25.95</v>
      </c>
      <c r="I18" s="97"/>
    </row>
    <row r="19" spans="1:25" x14ac:dyDescent="0.25">
      <c r="A19" s="337" t="s">
        <v>246</v>
      </c>
      <c r="B19" s="338">
        <v>25.55</v>
      </c>
      <c r="G19" s="382" t="s">
        <v>286</v>
      </c>
      <c r="H19" s="383"/>
      <c r="I19" s="384">
        <f>E15</f>
        <v>4</v>
      </c>
    </row>
    <row r="20" spans="1:25" x14ac:dyDescent="0.25">
      <c r="A20" s="335" t="s">
        <v>247</v>
      </c>
      <c r="B20" s="336">
        <v>25.25</v>
      </c>
      <c r="G20" s="385" t="s">
        <v>285</v>
      </c>
      <c r="I20" s="386">
        <f>K15</f>
        <v>326.2</v>
      </c>
    </row>
    <row r="21" spans="1:25" ht="15.75" thickBot="1" x14ac:dyDescent="0.3">
      <c r="A21" s="337" t="s">
        <v>248</v>
      </c>
      <c r="B21" s="338">
        <v>24.95</v>
      </c>
      <c r="G21" s="387" t="s">
        <v>309</v>
      </c>
      <c r="H21" s="388"/>
      <c r="I21" s="389" t="s">
        <v>310</v>
      </c>
    </row>
    <row r="22" spans="1:25" x14ac:dyDescent="0.25">
      <c r="A22" s="335" t="s">
        <v>249</v>
      </c>
      <c r="B22" s="336">
        <v>25</v>
      </c>
    </row>
    <row r="23" spans="1:25" x14ac:dyDescent="0.25">
      <c r="A23" s="337" t="s">
        <v>250</v>
      </c>
      <c r="B23" s="338">
        <v>28.75</v>
      </c>
    </row>
    <row r="24" spans="1:25" x14ac:dyDescent="0.25">
      <c r="A24" s="335" t="s">
        <v>251</v>
      </c>
      <c r="B24" s="336">
        <v>30.15</v>
      </c>
    </row>
    <row r="25" spans="1:25" x14ac:dyDescent="0.25">
      <c r="A25" s="337" t="s">
        <v>252</v>
      </c>
      <c r="B25" s="338">
        <v>32.75</v>
      </c>
    </row>
    <row r="26" spans="1:25" x14ac:dyDescent="0.25">
      <c r="A26" s="335" t="s">
        <v>253</v>
      </c>
      <c r="B26" s="336">
        <v>35</v>
      </c>
    </row>
    <row r="27" spans="1:25" x14ac:dyDescent="0.25">
      <c r="A27" s="337" t="s">
        <v>254</v>
      </c>
      <c r="B27" s="338">
        <v>36.75</v>
      </c>
    </row>
    <row r="28" spans="1:25" x14ac:dyDescent="0.25">
      <c r="A28" s="335" t="s">
        <v>255</v>
      </c>
      <c r="B28" s="336">
        <v>40</v>
      </c>
    </row>
    <row r="29" spans="1:25" x14ac:dyDescent="0.25">
      <c r="A29" s="337" t="s">
        <v>256</v>
      </c>
      <c r="B29" s="338">
        <v>44.25</v>
      </c>
    </row>
    <row r="30" spans="1:25" x14ac:dyDescent="0.25">
      <c r="A30" s="335" t="s">
        <v>257</v>
      </c>
      <c r="B30" s="336">
        <v>48.9</v>
      </c>
    </row>
    <row r="31" spans="1:25" x14ac:dyDescent="0.25">
      <c r="A31" s="337" t="s">
        <v>258</v>
      </c>
      <c r="B31" s="338">
        <v>50.85</v>
      </c>
    </row>
    <row r="32" spans="1:25" x14ac:dyDescent="0.25">
      <c r="A32" s="335" t="s">
        <v>259</v>
      </c>
      <c r="B32" s="336">
        <v>53.5</v>
      </c>
    </row>
    <row r="33" spans="1:2" x14ac:dyDescent="0.25">
      <c r="A33" s="337" t="s">
        <v>260</v>
      </c>
      <c r="B33" s="338">
        <v>56.75</v>
      </c>
    </row>
    <row r="34" spans="1:2" x14ac:dyDescent="0.25">
      <c r="A34" s="335" t="s">
        <v>261</v>
      </c>
      <c r="B34" s="336">
        <v>59</v>
      </c>
    </row>
    <row r="35" spans="1:2" x14ac:dyDescent="0.25">
      <c r="A35" s="337" t="s">
        <v>262</v>
      </c>
      <c r="B35" s="338">
        <v>63.25</v>
      </c>
    </row>
    <row r="36" spans="1:2" x14ac:dyDescent="0.25">
      <c r="A36" s="335" t="s">
        <v>263</v>
      </c>
      <c r="B36" s="336">
        <v>68.2</v>
      </c>
    </row>
    <row r="37" spans="1:2" x14ac:dyDescent="0.25">
      <c r="A37" s="337" t="s">
        <v>264</v>
      </c>
      <c r="B37" s="338">
        <v>72.75</v>
      </c>
    </row>
    <row r="38" spans="1:2" x14ac:dyDescent="0.25">
      <c r="A38" s="335" t="s">
        <v>265</v>
      </c>
      <c r="B38" s="336">
        <v>74.5</v>
      </c>
    </row>
    <row r="39" spans="1:2" x14ac:dyDescent="0.25">
      <c r="A39" s="337" t="s">
        <v>266</v>
      </c>
      <c r="B39" s="338">
        <v>79.900000000000006</v>
      </c>
    </row>
    <row r="40" spans="1:2" x14ac:dyDescent="0.25">
      <c r="A40" s="335" t="s">
        <v>267</v>
      </c>
      <c r="B40" s="336">
        <v>88.25</v>
      </c>
    </row>
    <row r="41" spans="1:2" x14ac:dyDescent="0.25">
      <c r="A41" s="337" t="s">
        <v>268</v>
      </c>
      <c r="B41" s="338">
        <v>96.9</v>
      </c>
    </row>
    <row r="42" spans="1:2" x14ac:dyDescent="0.25">
      <c r="A42" s="335" t="s">
        <v>269</v>
      </c>
      <c r="B42" s="336">
        <v>105.25</v>
      </c>
    </row>
    <row r="43" spans="1:2" x14ac:dyDescent="0.25">
      <c r="A43" s="337" t="s">
        <v>270</v>
      </c>
      <c r="B43" s="338">
        <v>119.95</v>
      </c>
    </row>
    <row r="44" spans="1:2" x14ac:dyDescent="0.25">
      <c r="A44" s="335" t="s">
        <v>271</v>
      </c>
      <c r="B44" s="336">
        <v>134.25</v>
      </c>
    </row>
    <row r="45" spans="1:2" x14ac:dyDescent="0.25">
      <c r="A45" s="337" t="s">
        <v>272</v>
      </c>
      <c r="B45" s="338">
        <v>158.25</v>
      </c>
    </row>
    <row r="46" spans="1:2" x14ac:dyDescent="0.25">
      <c r="A46" s="335" t="s">
        <v>273</v>
      </c>
      <c r="B46" s="336">
        <v>178.95</v>
      </c>
    </row>
    <row r="47" spans="1:2" x14ac:dyDescent="0.25">
      <c r="A47" s="337" t="s">
        <v>274</v>
      </c>
      <c r="B47" s="338">
        <v>192.5</v>
      </c>
    </row>
    <row r="48" spans="1:2" x14ac:dyDescent="0.25">
      <c r="A48" s="335" t="s">
        <v>275</v>
      </c>
      <c r="B48" s="336">
        <v>213.9</v>
      </c>
    </row>
    <row r="49" spans="1:2" x14ac:dyDescent="0.25">
      <c r="A49" s="337" t="s">
        <v>276</v>
      </c>
      <c r="B49" s="338">
        <v>226.65</v>
      </c>
    </row>
    <row r="50" spans="1:2" x14ac:dyDescent="0.25">
      <c r="A50" s="335" t="s">
        <v>277</v>
      </c>
      <c r="B50" s="336">
        <v>239.35</v>
      </c>
    </row>
    <row r="51" spans="1:2" x14ac:dyDescent="0.25">
      <c r="A51" s="337" t="s">
        <v>278</v>
      </c>
      <c r="B51" s="338">
        <v>252.3</v>
      </c>
    </row>
    <row r="52" spans="1:2" x14ac:dyDescent="0.25">
      <c r="A52" s="335" t="s">
        <v>279</v>
      </c>
      <c r="B52" s="336">
        <v>267</v>
      </c>
    </row>
    <row r="53" spans="1:2" x14ac:dyDescent="0.25">
      <c r="A53" s="337" t="s">
        <v>280</v>
      </c>
      <c r="B53" s="338">
        <v>278.5</v>
      </c>
    </row>
    <row r="54" spans="1:2" x14ac:dyDescent="0.25">
      <c r="A54" s="335" t="s">
        <v>281</v>
      </c>
      <c r="B54" s="336">
        <v>291.25</v>
      </c>
    </row>
    <row r="55" spans="1:2" x14ac:dyDescent="0.25">
      <c r="A55" s="337" t="s">
        <v>282</v>
      </c>
      <c r="B55" s="338">
        <v>303.5</v>
      </c>
    </row>
    <row r="56" spans="1:2" ht="15.75" thickBot="1" x14ac:dyDescent="0.3">
      <c r="A56" s="339" t="s">
        <v>283</v>
      </c>
      <c r="B56" s="340">
        <v>318.75</v>
      </c>
    </row>
    <row r="57" spans="1:2" ht="15.75" thickTop="1" x14ac:dyDescent="0.25"/>
  </sheetData>
  <mergeCells count="1">
    <mergeCell ref="A14:B14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FBC0-B569-4EC9-ACF6-4426FB32F51D}">
  <sheetPr>
    <tabColor rgb="FF92D050"/>
  </sheetPr>
  <dimension ref="A1:D6"/>
  <sheetViews>
    <sheetView topLeftCell="A9" zoomScaleNormal="100" workbookViewId="0">
      <selection activeCell="L1" sqref="L1:P1048576"/>
    </sheetView>
  </sheetViews>
  <sheetFormatPr defaultRowHeight="15" x14ac:dyDescent="0.25"/>
  <cols>
    <col min="3" max="3" width="21.85546875" customWidth="1"/>
  </cols>
  <sheetData>
    <row r="1" spans="1:4" ht="21" x14ac:dyDescent="0.35">
      <c r="A1" s="171"/>
      <c r="B1" s="172" t="s">
        <v>119</v>
      </c>
      <c r="C1" s="173"/>
      <c r="D1" s="173"/>
    </row>
    <row r="2" spans="1:4" x14ac:dyDescent="0.25">
      <c r="A2" s="174" t="s">
        <v>32</v>
      </c>
      <c r="C2" s="280">
        <v>225</v>
      </c>
      <c r="D2" s="175">
        <v>250</v>
      </c>
    </row>
    <row r="3" spans="1:4" x14ac:dyDescent="0.25">
      <c r="A3" s="174" t="s">
        <v>120</v>
      </c>
      <c r="B3" s="334"/>
      <c r="C3" s="280" t="s">
        <v>160</v>
      </c>
      <c r="D3" s="175">
        <v>125</v>
      </c>
    </row>
    <row r="4" spans="1:4" x14ac:dyDescent="0.25">
      <c r="A4" s="174" t="s">
        <v>36</v>
      </c>
      <c r="C4" s="200" t="s">
        <v>426</v>
      </c>
      <c r="D4" s="176" t="s">
        <v>122</v>
      </c>
    </row>
    <row r="5" spans="1:4" x14ac:dyDescent="0.25">
      <c r="A5" s="174" t="s">
        <v>121</v>
      </c>
      <c r="C5" s="200" t="s">
        <v>310</v>
      </c>
      <c r="D5" s="176" t="s">
        <v>123</v>
      </c>
    </row>
    <row r="6" spans="1:4" x14ac:dyDescent="0.25">
      <c r="A6" s="177" t="s">
        <v>124</v>
      </c>
      <c r="B6" s="178"/>
      <c r="C6" s="201" t="s">
        <v>160</v>
      </c>
      <c r="D6" s="179">
        <v>100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6D5A-7E01-41FB-8278-57BD11F7BAD9}">
  <sheetPr>
    <tabColor rgb="FFFF0000"/>
  </sheetPr>
  <dimension ref="A1"/>
  <sheetViews>
    <sheetView workbookViewId="0">
      <selection activeCell="K49" sqref="K49"/>
    </sheetView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D90F-DA08-4CD8-89DD-BE43EB265DE1}">
  <sheetPr>
    <tabColor rgb="FF92D050"/>
  </sheetPr>
  <dimension ref="A1:Z28"/>
  <sheetViews>
    <sheetView workbookViewId="0">
      <selection activeCell="A7" sqref="A7"/>
    </sheetView>
  </sheetViews>
  <sheetFormatPr defaultRowHeight="15" x14ac:dyDescent="0.25"/>
  <cols>
    <col min="4" max="4" width="9.140625" hidden="1" customWidth="1"/>
    <col min="5" max="13" width="0" hidden="1" customWidth="1"/>
    <col min="19" max="19" width="10.42578125" hidden="1" customWidth="1"/>
    <col min="20" max="20" width="11.28515625" customWidth="1"/>
    <col min="21" max="21" width="11" customWidth="1"/>
    <col min="23" max="23" width="10.8554687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2.75</v>
      </c>
      <c r="B3" s="65">
        <v>4</v>
      </c>
      <c r="C3" s="65">
        <v>59</v>
      </c>
      <c r="D3" s="66">
        <v>0.125</v>
      </c>
      <c r="E3" s="66">
        <v>0.105</v>
      </c>
      <c r="F3" s="66">
        <f>(A3+B3)*C3</f>
        <v>398.25</v>
      </c>
      <c r="G3" s="66">
        <f>(A3+B3)/E3</f>
        <v>64.285714285714292</v>
      </c>
      <c r="H3" s="66">
        <f t="shared" ref="H3" si="0">C3/10</f>
        <v>5.9</v>
      </c>
      <c r="I3" s="66">
        <v>5</v>
      </c>
      <c r="J3" s="67">
        <f t="shared" ref="J3" si="1">H3*G3/60</f>
        <v>6.3214285714285721</v>
      </c>
      <c r="K3" s="67">
        <f>J3+I3</f>
        <v>11.321428571428573</v>
      </c>
      <c r="L3" s="68">
        <v>225</v>
      </c>
      <c r="M3" s="69">
        <f>L3/60</f>
        <v>3.75</v>
      </c>
      <c r="N3" s="247">
        <f>ROUNDUP(K3*M3,1)</f>
        <v>42.5</v>
      </c>
      <c r="O3" s="56"/>
      <c r="P3" s="30">
        <v>125</v>
      </c>
      <c r="Q3" s="71">
        <v>0.02</v>
      </c>
      <c r="R3" s="32">
        <v>1</v>
      </c>
      <c r="S3" s="35">
        <f>N3*R3</f>
        <v>42.5</v>
      </c>
      <c r="T3" s="33">
        <f>IF(S3&gt;Y3, S3, Y3)</f>
        <v>225</v>
      </c>
      <c r="U3" s="33">
        <f>T3+P3</f>
        <v>350</v>
      </c>
      <c r="V3" s="33">
        <f>ROUNDUP(U3*Q3,0)</f>
        <v>7</v>
      </c>
      <c r="W3" s="249">
        <f>U3+V3</f>
        <v>357</v>
      </c>
      <c r="X3" s="34"/>
      <c r="Y3" s="57">
        <v>225</v>
      </c>
      <c r="Z3" s="36">
        <f>ROUNDDOWN(Y3/N3,0)</f>
        <v>5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204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3</v>
      </c>
      <c r="B6" s="65">
        <v>3.5</v>
      </c>
      <c r="C6" s="65">
        <v>4</v>
      </c>
      <c r="D6" s="66">
        <v>0.125</v>
      </c>
      <c r="E6" s="66">
        <v>6.5000000000000002E-2</v>
      </c>
      <c r="F6" s="66">
        <f>(A6+B6)*C6</f>
        <v>26</v>
      </c>
      <c r="G6" s="66">
        <f>(A6+B6)/E6</f>
        <v>100</v>
      </c>
      <c r="H6" s="66">
        <f t="shared" ref="H6" si="2">C6/10</f>
        <v>0.4</v>
      </c>
      <c r="I6" s="66">
        <v>3</v>
      </c>
      <c r="J6" s="67">
        <f t="shared" ref="J6" si="3">H6*G6/60</f>
        <v>0.66666666666666663</v>
      </c>
      <c r="K6" s="67">
        <f>J6+I6</f>
        <v>3.6666666666666665</v>
      </c>
      <c r="L6" s="68">
        <v>225</v>
      </c>
      <c r="M6" s="69">
        <f>L6/60</f>
        <v>3.75</v>
      </c>
      <c r="N6" s="247">
        <f>ROUNDUP(K6*M6,1)</f>
        <v>13.799999999999999</v>
      </c>
      <c r="O6" s="56"/>
      <c r="P6" s="30">
        <v>125</v>
      </c>
      <c r="Q6" s="71">
        <v>0.02</v>
      </c>
      <c r="R6" s="32">
        <v>7</v>
      </c>
      <c r="S6" s="35">
        <f>N6*R6</f>
        <v>96.6</v>
      </c>
      <c r="T6" s="33">
        <f>IF(S6&gt;Y6, S6, Y6)</f>
        <v>225</v>
      </c>
      <c r="U6" s="33">
        <f>T6+P6</f>
        <v>350</v>
      </c>
      <c r="V6" s="33">
        <f>ROUNDUP(U6*Q6,0)</f>
        <v>7</v>
      </c>
      <c r="W6" s="249">
        <f>U6+V6</f>
        <v>357</v>
      </c>
      <c r="X6" s="34"/>
      <c r="Y6" s="57">
        <v>225</v>
      </c>
      <c r="Z6" s="36">
        <f>ROUNDDOWN(Y6/N6,0)</f>
        <v>16</v>
      </c>
    </row>
    <row r="7" spans="1:26" ht="26.25" x14ac:dyDescent="0.25">
      <c r="B7" s="168" t="s">
        <v>12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204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15.58</v>
      </c>
      <c r="C9" s="14">
        <v>5.75</v>
      </c>
      <c r="D9" s="66" t="s">
        <v>0</v>
      </c>
      <c r="E9" s="16">
        <v>6.5000000000000002E-2</v>
      </c>
      <c r="F9" s="16">
        <f>B9*3.14</f>
        <v>48.921199999999999</v>
      </c>
      <c r="G9" s="17">
        <f>F9/E9</f>
        <v>752.63384615384609</v>
      </c>
      <c r="H9" s="16">
        <f>C9/10</f>
        <v>0.57499999999999996</v>
      </c>
      <c r="I9" s="16">
        <v>3</v>
      </c>
      <c r="J9" s="19">
        <f>H9*G9/60</f>
        <v>7.2127410256410247</v>
      </c>
      <c r="K9" s="20">
        <f>J9+I9</f>
        <v>10.212741025641025</v>
      </c>
      <c r="L9" s="68">
        <v>225</v>
      </c>
      <c r="M9" s="69">
        <f>L9/60</f>
        <v>3.75</v>
      </c>
      <c r="N9" s="248">
        <f>ROUNDUP(K9*M9,1)</f>
        <v>38.300000000000004</v>
      </c>
      <c r="O9" s="56"/>
      <c r="P9" s="30">
        <v>125</v>
      </c>
      <c r="Q9" s="71">
        <v>0.02</v>
      </c>
      <c r="R9" s="32">
        <v>3</v>
      </c>
      <c r="S9" s="35">
        <f>N9*R9</f>
        <v>114.9</v>
      </c>
      <c r="T9" s="33">
        <f>IF(S9&gt;Y9, S9, Y9)</f>
        <v>225</v>
      </c>
      <c r="U9" s="33">
        <f>T9+P9</f>
        <v>350</v>
      </c>
      <c r="V9" s="33">
        <f>ROUNDUP(U9*Q9,0)</f>
        <v>7</v>
      </c>
      <c r="W9" s="249">
        <f t="shared" ref="W9" si="4">U9+V9</f>
        <v>357</v>
      </c>
      <c r="X9" s="56"/>
      <c r="Y9" s="58">
        <v>225</v>
      </c>
      <c r="Z9" s="47">
        <f>ROUNDDOWN(Y9/N9,0)</f>
        <v>5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204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1.5</v>
      </c>
      <c r="B14" s="65">
        <v>36</v>
      </c>
      <c r="C14" s="65">
        <v>20</v>
      </c>
      <c r="D14" s="66">
        <v>0.125</v>
      </c>
      <c r="E14" s="66">
        <v>6.5000000000000002E-2</v>
      </c>
      <c r="F14" s="66">
        <f>(A14+B14)*C14</f>
        <v>750</v>
      </c>
      <c r="G14" s="66">
        <f>(A14+B14)/E14</f>
        <v>576.92307692307691</v>
      </c>
      <c r="H14" s="66">
        <f t="shared" ref="H14" si="5">C14/10</f>
        <v>2</v>
      </c>
      <c r="I14" s="66">
        <v>3</v>
      </c>
      <c r="J14" s="67">
        <f t="shared" ref="J14" si="6">H14*G14/60</f>
        <v>19.23076923076923</v>
      </c>
      <c r="K14" s="67">
        <f>J14+I14</f>
        <v>22.23076923076923</v>
      </c>
      <c r="L14" s="68">
        <v>250</v>
      </c>
      <c r="M14" s="69">
        <f>L14/60</f>
        <v>4.166666666666667</v>
      </c>
      <c r="N14" s="247">
        <f>ROUNDUP(K14*M14,1)</f>
        <v>92.699999999999989</v>
      </c>
      <c r="O14" s="56"/>
      <c r="P14" s="30">
        <v>125</v>
      </c>
      <c r="Q14" s="71">
        <v>0.02</v>
      </c>
      <c r="R14" s="32">
        <v>1</v>
      </c>
      <c r="S14" s="35">
        <f>N14*R14</f>
        <v>92.699999999999989</v>
      </c>
      <c r="T14" s="33">
        <f>IF(S14&gt;Y14, S14, Y14)</f>
        <v>250</v>
      </c>
      <c r="U14" s="33">
        <f>T14+P14</f>
        <v>375</v>
      </c>
      <c r="V14" s="33">
        <f>ROUNDUP(U14*Q14,0)</f>
        <v>8</v>
      </c>
      <c r="W14" s="249">
        <f>U14+V14</f>
        <v>383</v>
      </c>
      <c r="X14" s="34"/>
      <c r="Y14" s="57">
        <v>250</v>
      </c>
      <c r="Z14" s="36">
        <f>ROUNDDOWN(Y14/N14,0)</f>
        <v>2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204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26" x14ac:dyDescent="0.25">
      <c r="A17" s="1"/>
      <c r="B17" s="14">
        <v>2</v>
      </c>
      <c r="C17" s="14">
        <v>2</v>
      </c>
      <c r="D17" s="66" t="s">
        <v>0</v>
      </c>
      <c r="E17" s="16">
        <v>6.5000000000000002E-2</v>
      </c>
      <c r="F17" s="16">
        <f>B17*3.14</f>
        <v>6.28</v>
      </c>
      <c r="G17" s="17">
        <f>F17/E17</f>
        <v>96.615384615384613</v>
      </c>
      <c r="H17" s="16">
        <f>C17/10</f>
        <v>0.2</v>
      </c>
      <c r="I17" s="16">
        <v>3</v>
      </c>
      <c r="J17" s="19">
        <f>H17*G17/60</f>
        <v>0.32205128205128208</v>
      </c>
      <c r="K17" s="20">
        <f>J17+I17</f>
        <v>3.322051282051282</v>
      </c>
      <c r="L17" s="68">
        <v>250</v>
      </c>
      <c r="M17" s="69">
        <f>L17/60</f>
        <v>4.166666666666667</v>
      </c>
      <c r="N17" s="248">
        <f>ROUNDUP(K17*M17,1)</f>
        <v>13.9</v>
      </c>
      <c r="O17" s="56"/>
      <c r="P17" s="30">
        <v>125</v>
      </c>
      <c r="Q17" s="71">
        <v>0.02</v>
      </c>
      <c r="R17" s="32">
        <v>1</v>
      </c>
      <c r="S17" s="35">
        <f>N17*R17</f>
        <v>13.9</v>
      </c>
      <c r="T17" s="33">
        <f>IF(S17&gt;Y17, S17, Y17)</f>
        <v>250</v>
      </c>
      <c r="U17" s="33">
        <f>T17+P17</f>
        <v>375</v>
      </c>
      <c r="V17" s="33">
        <f>ROUNDUP(U17*Q17,0)</f>
        <v>8</v>
      </c>
      <c r="W17" s="249">
        <f t="shared" ref="W17" si="7">U17+V17</f>
        <v>383</v>
      </c>
      <c r="X17" s="56"/>
      <c r="Y17" s="58">
        <v>250</v>
      </c>
      <c r="Z17" s="47">
        <f>ROUNDDOWN(Y17/N17,0)</f>
        <v>17</v>
      </c>
    </row>
    <row r="20" spans="1:26" ht="21" x14ac:dyDescent="0.35">
      <c r="A20" s="171"/>
      <c r="B20" s="172" t="s">
        <v>119</v>
      </c>
      <c r="C20" s="173"/>
      <c r="N20" s="171"/>
      <c r="O20" s="198"/>
      <c r="P20" s="198"/>
      <c r="Q20" s="172" t="s">
        <v>149</v>
      </c>
      <c r="R20" s="198"/>
      <c r="S20" s="172" t="s">
        <v>149</v>
      </c>
      <c r="T20" s="198"/>
      <c r="U20" s="198"/>
      <c r="V20" s="198"/>
      <c r="W20" s="173"/>
    </row>
    <row r="21" spans="1:26" x14ac:dyDescent="0.25">
      <c r="A21" s="174" t="s">
        <v>32</v>
      </c>
      <c r="C21" s="175">
        <v>225</v>
      </c>
      <c r="N21" s="174" t="s">
        <v>150</v>
      </c>
      <c r="W21" s="176"/>
    </row>
    <row r="22" spans="1:26" x14ac:dyDescent="0.25">
      <c r="A22" s="174" t="s">
        <v>120</v>
      </c>
      <c r="C22" s="175">
        <v>125</v>
      </c>
      <c r="N22" s="174" t="s">
        <v>151</v>
      </c>
      <c r="W22" s="176"/>
    </row>
    <row r="23" spans="1:26" x14ac:dyDescent="0.25">
      <c r="A23" s="174" t="s">
        <v>36</v>
      </c>
      <c r="C23" s="200" t="s">
        <v>122</v>
      </c>
      <c r="N23" s="174"/>
      <c r="W23" s="176"/>
    </row>
    <row r="24" spans="1:26" x14ac:dyDescent="0.25">
      <c r="A24" s="174" t="s">
        <v>121</v>
      </c>
      <c r="C24" s="176" t="s">
        <v>123</v>
      </c>
      <c r="N24" s="174" t="s">
        <v>152</v>
      </c>
      <c r="W24" s="176"/>
    </row>
    <row r="25" spans="1:26" x14ac:dyDescent="0.25">
      <c r="A25" s="177" t="s">
        <v>124</v>
      </c>
      <c r="B25" s="178"/>
      <c r="C25" s="179">
        <v>100</v>
      </c>
      <c r="N25" s="174" t="s">
        <v>153</v>
      </c>
      <c r="W25" s="176"/>
    </row>
    <row r="26" spans="1:26" x14ac:dyDescent="0.25">
      <c r="N26" s="174"/>
      <c r="W26" s="176"/>
    </row>
    <row r="27" spans="1:26" x14ac:dyDescent="0.25">
      <c r="N27" s="174" t="s">
        <v>154</v>
      </c>
      <c r="W27" s="176"/>
    </row>
    <row r="28" spans="1:26" x14ac:dyDescent="0.25">
      <c r="N28" s="177" t="s">
        <v>155</v>
      </c>
      <c r="O28" s="178"/>
      <c r="P28" s="178"/>
      <c r="Q28" s="178"/>
      <c r="R28" s="178"/>
      <c r="S28" s="178"/>
      <c r="T28" s="178"/>
      <c r="U28" s="178"/>
      <c r="V28" s="178"/>
      <c r="W28" s="199"/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3FD9-6453-43EC-8E2B-30CBFCB5129D}">
  <sheetPr>
    <tabColor rgb="FF92D050"/>
  </sheetPr>
  <dimension ref="A1:Z30"/>
  <sheetViews>
    <sheetView workbookViewId="0">
      <selection activeCell="A22" sqref="A22:C27"/>
    </sheetView>
  </sheetViews>
  <sheetFormatPr defaultRowHeight="15" x14ac:dyDescent="0.25"/>
  <cols>
    <col min="4" max="8" width="0" hidden="1" customWidth="1"/>
    <col min="10" max="13" width="0" hidden="1" customWidth="1"/>
    <col min="17" max="17" width="0" hidden="1" customWidth="1"/>
    <col min="19" max="19" width="9.85546875" hidden="1" customWidth="1"/>
  </cols>
  <sheetData>
    <row r="1" spans="1:26" ht="26.25" x14ac:dyDescent="0.25">
      <c r="A1" s="134" t="s">
        <v>353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3</v>
      </c>
      <c r="B3" s="65">
        <v>54</v>
      </c>
      <c r="C3" s="65">
        <v>64</v>
      </c>
      <c r="D3" s="66">
        <v>0.125</v>
      </c>
      <c r="E3" s="66">
        <v>0.15</v>
      </c>
      <c r="F3" s="66">
        <f>(A3+B3)*C3</f>
        <v>3648</v>
      </c>
      <c r="G3" s="66">
        <f>(A3+B3)/E3</f>
        <v>380</v>
      </c>
      <c r="H3" s="66">
        <f t="shared" ref="H3" si="0">C3/10</f>
        <v>6.4</v>
      </c>
      <c r="I3" s="66">
        <v>6</v>
      </c>
      <c r="J3" s="67">
        <f t="shared" ref="J3" si="1">H3*G3/60</f>
        <v>40.533333333333331</v>
      </c>
      <c r="K3" s="67">
        <f>J3+I3</f>
        <v>46.533333333333331</v>
      </c>
      <c r="L3" s="68">
        <v>225</v>
      </c>
      <c r="M3" s="69">
        <f>L3/60</f>
        <v>3.75</v>
      </c>
      <c r="N3" s="247">
        <f>ROUNDUP(K3*M3,1)</f>
        <v>174.5</v>
      </c>
      <c r="O3" s="56"/>
      <c r="P3" s="30">
        <v>0</v>
      </c>
      <c r="Q3" s="71">
        <v>0.02</v>
      </c>
      <c r="R3" s="32">
        <v>1</v>
      </c>
      <c r="S3" s="35">
        <f>N3*R3</f>
        <v>174.5</v>
      </c>
      <c r="T3" s="33">
        <f>IF(S3&gt;Y3, S3, Y3)</f>
        <v>225</v>
      </c>
      <c r="U3" s="33">
        <f>T3+P3</f>
        <v>225</v>
      </c>
      <c r="V3" s="33">
        <f>ROUNDUP(U3*Q3,0)</f>
        <v>5</v>
      </c>
      <c r="W3" s="249">
        <f>U3+V3</f>
        <v>230</v>
      </c>
      <c r="X3" s="34"/>
      <c r="Y3" s="57">
        <v>225</v>
      </c>
      <c r="Z3" s="36">
        <f>ROUNDDOWN(Y3/N3,0)</f>
        <v>1</v>
      </c>
    </row>
    <row r="4" spans="1:26" ht="26.25" x14ac:dyDescent="0.25">
      <c r="A4" s="134" t="s">
        <v>354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204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3</v>
      </c>
      <c r="B6" s="65">
        <v>52</v>
      </c>
      <c r="C6" s="65">
        <v>64</v>
      </c>
      <c r="D6" s="66">
        <v>0.125</v>
      </c>
      <c r="E6" s="66">
        <v>8.5000000000000006E-2</v>
      </c>
      <c r="F6" s="66">
        <f>(A6+B6)*C6</f>
        <v>3520</v>
      </c>
      <c r="G6" s="66">
        <f>(A6+B6)/E6</f>
        <v>647.05882352941171</v>
      </c>
      <c r="H6" s="66">
        <f t="shared" ref="H6" si="2">C6/10</f>
        <v>6.4</v>
      </c>
      <c r="I6" s="66">
        <v>4</v>
      </c>
      <c r="J6" s="67">
        <f t="shared" ref="J6" si="3">H6*G6/60</f>
        <v>69.019607843137251</v>
      </c>
      <c r="K6" s="67">
        <f>J6+I6</f>
        <v>73.019607843137251</v>
      </c>
      <c r="L6" s="68">
        <v>225</v>
      </c>
      <c r="M6" s="69">
        <f>L6/60</f>
        <v>3.75</v>
      </c>
      <c r="N6" s="247">
        <f>ROUNDUP(K6*M6,1)</f>
        <v>273.90000000000003</v>
      </c>
      <c r="O6" s="56"/>
      <c r="P6" s="30">
        <v>0</v>
      </c>
      <c r="Q6" s="71">
        <v>0.02</v>
      </c>
      <c r="R6" s="32">
        <v>1</v>
      </c>
      <c r="S6" s="35">
        <f>N6*R6</f>
        <v>273.90000000000003</v>
      </c>
      <c r="T6" s="33">
        <f>IF(S6&gt;Y6, S6, Y6)</f>
        <v>273.90000000000003</v>
      </c>
      <c r="U6" s="33">
        <f>T6+P6</f>
        <v>273.90000000000003</v>
      </c>
      <c r="V6" s="33">
        <f>ROUNDUP(U6*Q6,0)</f>
        <v>6</v>
      </c>
      <c r="W6" s="249">
        <f>U6+V6</f>
        <v>279.90000000000003</v>
      </c>
      <c r="X6" s="34"/>
      <c r="Y6" s="57">
        <v>225</v>
      </c>
      <c r="Z6" s="36">
        <f>ROUNDDOWN(Y6/N6,0)</f>
        <v>0</v>
      </c>
    </row>
    <row r="7" spans="1:26" ht="26.25" x14ac:dyDescent="0.25">
      <c r="B7" s="168" t="s">
        <v>355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204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42.125</v>
      </c>
      <c r="C9" s="14">
        <v>6.62</v>
      </c>
      <c r="D9" s="66" t="s">
        <v>0</v>
      </c>
      <c r="E9" s="16">
        <v>6.5000000000000002E-2</v>
      </c>
      <c r="F9" s="16">
        <f>B9*3.14</f>
        <v>132.27250000000001</v>
      </c>
      <c r="G9" s="17">
        <f>F9/E9</f>
        <v>2034.9615384615386</v>
      </c>
      <c r="H9" s="16">
        <f>C9/10</f>
        <v>0.66200000000000003</v>
      </c>
      <c r="I9" s="16">
        <v>3</v>
      </c>
      <c r="J9" s="19">
        <f>H9*G9/60</f>
        <v>22.452408974358978</v>
      </c>
      <c r="K9" s="20">
        <f>J9+I9</f>
        <v>25.452408974358978</v>
      </c>
      <c r="L9" s="68">
        <v>225</v>
      </c>
      <c r="M9" s="69">
        <f>L9/60</f>
        <v>3.75</v>
      </c>
      <c r="N9" s="248">
        <f>ROUNDUP(K9*M9,1)</f>
        <v>95.5</v>
      </c>
      <c r="O9" s="56"/>
      <c r="P9" s="30">
        <v>125</v>
      </c>
      <c r="Q9" s="71">
        <v>0.02</v>
      </c>
      <c r="R9" s="32">
        <v>3</v>
      </c>
      <c r="S9" s="35">
        <f>N9*R9</f>
        <v>286.5</v>
      </c>
      <c r="T9" s="33">
        <f>IF(S9&gt;Y9, S9, Y9)</f>
        <v>286.5</v>
      </c>
      <c r="U9" s="33">
        <f>T9+P9</f>
        <v>411.5</v>
      </c>
      <c r="V9" s="33">
        <f>ROUNDUP(U9*Q9,0)</f>
        <v>9</v>
      </c>
      <c r="W9" s="249">
        <f t="shared" ref="W9" si="4">U9+V9</f>
        <v>420.5</v>
      </c>
      <c r="X9" s="56"/>
      <c r="Y9" s="58">
        <v>225</v>
      </c>
      <c r="Z9" s="47">
        <f>ROUNDDOWN(Y9/N9,0)</f>
        <v>2</v>
      </c>
    </row>
    <row r="10" spans="1:26" x14ac:dyDescent="0.25">
      <c r="B10" s="8"/>
      <c r="C10" s="8"/>
      <c r="D10" s="417"/>
      <c r="E10" s="418"/>
      <c r="F10" s="418"/>
      <c r="G10" s="419"/>
      <c r="H10" s="418"/>
      <c r="I10" s="418"/>
      <c r="J10" s="418"/>
      <c r="K10" s="419"/>
      <c r="L10" s="420"/>
      <c r="M10" s="421"/>
      <c r="N10" s="422"/>
      <c r="O10" s="21"/>
      <c r="P10" s="28"/>
      <c r="Q10" s="29"/>
      <c r="R10" s="21"/>
      <c r="S10" s="27"/>
      <c r="T10" s="27"/>
      <c r="U10" s="27"/>
      <c r="V10" s="27"/>
      <c r="W10" s="423"/>
      <c r="X10" s="21"/>
      <c r="Y10" s="28"/>
      <c r="Z10" s="21"/>
    </row>
    <row r="11" spans="1:26" ht="26.25" x14ac:dyDescent="0.25">
      <c r="A11" s="134" t="s">
        <v>352</v>
      </c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82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88"/>
    </row>
    <row r="12" spans="1:26" ht="30" x14ac:dyDescent="0.25">
      <c r="A12" s="111" t="s">
        <v>23</v>
      </c>
      <c r="B12" s="111" t="s">
        <v>8</v>
      </c>
      <c r="C12" s="111" t="s">
        <v>7</v>
      </c>
      <c r="D12" s="111" t="s">
        <v>2</v>
      </c>
      <c r="E12" s="111" t="s">
        <v>1</v>
      </c>
      <c r="F12" s="111" t="s">
        <v>6</v>
      </c>
      <c r="G12" s="111" t="s">
        <v>3</v>
      </c>
      <c r="H12" s="111" t="s">
        <v>21</v>
      </c>
      <c r="I12" s="111" t="s">
        <v>9</v>
      </c>
      <c r="J12" s="111" t="s">
        <v>4</v>
      </c>
      <c r="K12" s="111" t="s">
        <v>10</v>
      </c>
      <c r="L12" s="111" t="s">
        <v>24</v>
      </c>
      <c r="M12" s="111" t="s">
        <v>25</v>
      </c>
      <c r="N12" s="112" t="s">
        <v>5</v>
      </c>
      <c r="O12" s="39"/>
      <c r="P12" s="113" t="s">
        <v>27</v>
      </c>
      <c r="Q12" s="113" t="s">
        <v>38</v>
      </c>
      <c r="R12" s="114" t="s">
        <v>35</v>
      </c>
      <c r="S12" s="114" t="s">
        <v>204</v>
      </c>
      <c r="T12" s="114" t="s">
        <v>34</v>
      </c>
      <c r="U12" s="114" t="s">
        <v>30</v>
      </c>
      <c r="V12" s="113" t="s">
        <v>36</v>
      </c>
      <c r="W12" s="115" t="s">
        <v>31</v>
      </c>
      <c r="X12" s="113"/>
      <c r="Y12" s="113" t="s">
        <v>32</v>
      </c>
      <c r="Z12" s="114" t="s">
        <v>33</v>
      </c>
    </row>
    <row r="13" spans="1:26" x14ac:dyDescent="0.25">
      <c r="A13" s="65">
        <v>3</v>
      </c>
      <c r="B13" s="65">
        <v>52</v>
      </c>
      <c r="C13" s="65">
        <v>64</v>
      </c>
      <c r="D13" s="66">
        <v>0.125</v>
      </c>
      <c r="E13" s="66">
        <v>0.15</v>
      </c>
      <c r="F13" s="66">
        <f>(A13+B13)*C13</f>
        <v>3520</v>
      </c>
      <c r="G13" s="66">
        <f>(A13+B13)/E13</f>
        <v>366.66666666666669</v>
      </c>
      <c r="H13" s="66">
        <f t="shared" ref="H13" si="5">C13/10</f>
        <v>6.4</v>
      </c>
      <c r="I13" s="66">
        <v>6</v>
      </c>
      <c r="J13" s="67">
        <f t="shared" ref="J13" si="6">H13*G13/60</f>
        <v>39.111111111111114</v>
      </c>
      <c r="K13" s="67">
        <f>J13+I13</f>
        <v>45.111111111111114</v>
      </c>
      <c r="L13" s="68">
        <v>250</v>
      </c>
      <c r="M13" s="69">
        <f>L13/60</f>
        <v>4.166666666666667</v>
      </c>
      <c r="N13" s="247">
        <f>ROUNDUP(K13*M13,1)</f>
        <v>188</v>
      </c>
      <c r="O13" s="56"/>
      <c r="P13" s="30">
        <v>0</v>
      </c>
      <c r="Q13" s="71">
        <v>0.02</v>
      </c>
      <c r="R13" s="32">
        <v>1</v>
      </c>
      <c r="S13" s="35">
        <f>N13*R13</f>
        <v>188</v>
      </c>
      <c r="T13" s="33">
        <f>IF(S13&gt;Y13, S13, Y13)</f>
        <v>225</v>
      </c>
      <c r="U13" s="33">
        <f>T13+P13</f>
        <v>225</v>
      </c>
      <c r="V13" s="33">
        <f>ROUNDUP(U13*Q13,0)</f>
        <v>5</v>
      </c>
      <c r="W13" s="249">
        <f>U13+V13</f>
        <v>230</v>
      </c>
      <c r="X13" s="34"/>
      <c r="Y13" s="57">
        <v>225</v>
      </c>
      <c r="Z13" s="36">
        <f>ROUNDDOWN(Y13/N13,0)</f>
        <v>1</v>
      </c>
    </row>
    <row r="14" spans="1:26" ht="26.25" x14ac:dyDescent="0.25">
      <c r="A14" s="134" t="s">
        <v>147</v>
      </c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82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88"/>
    </row>
    <row r="15" spans="1:26" ht="30" x14ac:dyDescent="0.25">
      <c r="A15" s="111" t="s">
        <v>23</v>
      </c>
      <c r="B15" s="111" t="s">
        <v>8</v>
      </c>
      <c r="C15" s="111" t="s">
        <v>7</v>
      </c>
      <c r="D15" s="111" t="s">
        <v>2</v>
      </c>
      <c r="E15" s="111" t="s">
        <v>1</v>
      </c>
      <c r="F15" s="111" t="s">
        <v>6</v>
      </c>
      <c r="G15" s="111" t="s">
        <v>3</v>
      </c>
      <c r="H15" s="111" t="s">
        <v>21</v>
      </c>
      <c r="I15" s="111" t="s">
        <v>9</v>
      </c>
      <c r="J15" s="111" t="s">
        <v>4</v>
      </c>
      <c r="K15" s="111" t="s">
        <v>10</v>
      </c>
      <c r="L15" s="111" t="s">
        <v>24</v>
      </c>
      <c r="M15" s="111" t="s">
        <v>25</v>
      </c>
      <c r="N15" s="112" t="s">
        <v>5</v>
      </c>
      <c r="O15" s="39"/>
      <c r="P15" s="113" t="s">
        <v>27</v>
      </c>
      <c r="Q15" s="113" t="s">
        <v>38</v>
      </c>
      <c r="R15" s="114" t="s">
        <v>35</v>
      </c>
      <c r="S15" s="114" t="s">
        <v>204</v>
      </c>
      <c r="T15" s="114" t="s">
        <v>34</v>
      </c>
      <c r="U15" s="114" t="s">
        <v>30</v>
      </c>
      <c r="V15" s="113" t="s">
        <v>36</v>
      </c>
      <c r="W15" s="115" t="s">
        <v>31</v>
      </c>
      <c r="X15" s="113"/>
      <c r="Y15" s="113" t="s">
        <v>32</v>
      </c>
      <c r="Z15" s="114" t="s">
        <v>33</v>
      </c>
    </row>
    <row r="16" spans="1:26" x14ac:dyDescent="0.25">
      <c r="A16" s="65">
        <v>1.5</v>
      </c>
      <c r="B16" s="65">
        <v>36</v>
      </c>
      <c r="C16" s="65">
        <v>20</v>
      </c>
      <c r="D16" s="66">
        <v>0.125</v>
      </c>
      <c r="E16" s="66">
        <v>8.5000000000000006E-2</v>
      </c>
      <c r="F16" s="66">
        <f>(A16+B16)*C16</f>
        <v>750</v>
      </c>
      <c r="G16" s="66">
        <f>(A16+B16)/E16</f>
        <v>441.17647058823525</v>
      </c>
      <c r="H16" s="66">
        <f t="shared" ref="H16" si="7">C16/10</f>
        <v>2</v>
      </c>
      <c r="I16" s="66">
        <v>4</v>
      </c>
      <c r="J16" s="67">
        <f t="shared" ref="J16" si="8">H16*G16/60</f>
        <v>14.705882352941176</v>
      </c>
      <c r="K16" s="67">
        <f>J16+I16</f>
        <v>18.705882352941174</v>
      </c>
      <c r="L16" s="68">
        <v>250</v>
      </c>
      <c r="M16" s="69">
        <f>L16/60</f>
        <v>4.166666666666667</v>
      </c>
      <c r="N16" s="247">
        <f>ROUNDUP(K16*M16,1)</f>
        <v>78</v>
      </c>
      <c r="O16" s="56"/>
      <c r="P16" s="30">
        <v>125</v>
      </c>
      <c r="Q16" s="71">
        <v>0.02</v>
      </c>
      <c r="R16" s="32">
        <v>1</v>
      </c>
      <c r="S16" s="35">
        <f>N16*R16</f>
        <v>78</v>
      </c>
      <c r="T16" s="33">
        <f>IF(S16&gt;Y16, S16, Y16)</f>
        <v>250</v>
      </c>
      <c r="U16" s="33">
        <f>T16+P16</f>
        <v>375</v>
      </c>
      <c r="V16" s="33">
        <f>ROUNDUP(U16*Q16,0)</f>
        <v>8</v>
      </c>
      <c r="W16" s="249">
        <f>U16+V16</f>
        <v>383</v>
      </c>
      <c r="X16" s="34"/>
      <c r="Y16" s="57">
        <v>250</v>
      </c>
      <c r="Z16" s="36">
        <f>ROUNDDOWN(Y16/N16,0)</f>
        <v>3</v>
      </c>
    </row>
    <row r="17" spans="1:26" ht="26.25" x14ac:dyDescent="0.25">
      <c r="A17" s="1"/>
      <c r="B17" s="168" t="s">
        <v>148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0"/>
      <c r="P17" s="61"/>
      <c r="Q17" s="62"/>
      <c r="R17" s="60"/>
      <c r="S17" s="60"/>
      <c r="T17" s="63"/>
      <c r="U17" s="63"/>
      <c r="V17" s="63"/>
      <c r="W17" s="63"/>
      <c r="X17" s="60"/>
      <c r="Y17" s="60"/>
      <c r="Z17" s="64"/>
    </row>
    <row r="18" spans="1:26" x14ac:dyDescent="0.25">
      <c r="A18" s="1"/>
      <c r="B18" s="4" t="s">
        <v>13</v>
      </c>
      <c r="C18" s="4" t="s">
        <v>7</v>
      </c>
      <c r="D18" s="2" t="s">
        <v>2</v>
      </c>
      <c r="E18" s="4" t="s">
        <v>1</v>
      </c>
      <c r="F18" s="5" t="s">
        <v>20</v>
      </c>
      <c r="G18" s="4" t="s">
        <v>14</v>
      </c>
      <c r="H18" s="4" t="s">
        <v>15</v>
      </c>
      <c r="I18" s="4" t="s">
        <v>17</v>
      </c>
      <c r="J18" s="4" t="s">
        <v>16</v>
      </c>
      <c r="K18" s="4" t="s">
        <v>18</v>
      </c>
      <c r="L18" s="2" t="s">
        <v>24</v>
      </c>
      <c r="M18" s="2" t="s">
        <v>25</v>
      </c>
      <c r="N18" s="6" t="s">
        <v>19</v>
      </c>
      <c r="O18" s="40"/>
      <c r="P18" s="42" t="s">
        <v>27</v>
      </c>
      <c r="Q18" s="43" t="s">
        <v>38</v>
      </c>
      <c r="R18" s="49" t="s">
        <v>35</v>
      </c>
      <c r="S18" s="114" t="s">
        <v>204</v>
      </c>
      <c r="T18" s="52" t="s">
        <v>34</v>
      </c>
      <c r="U18" s="44" t="s">
        <v>30</v>
      </c>
      <c r="V18" s="53" t="s">
        <v>36</v>
      </c>
      <c r="W18" s="46" t="s">
        <v>37</v>
      </c>
      <c r="X18" s="21"/>
      <c r="Y18" s="37" t="s">
        <v>32</v>
      </c>
      <c r="Z18" s="37" t="s">
        <v>33</v>
      </c>
    </row>
    <row r="19" spans="1:26" x14ac:dyDescent="0.25">
      <c r="A19" s="1"/>
      <c r="B19" s="14">
        <v>2</v>
      </c>
      <c r="C19" s="14">
        <v>2</v>
      </c>
      <c r="D19" s="66" t="s">
        <v>0</v>
      </c>
      <c r="E19" s="16">
        <v>6.5000000000000002E-2</v>
      </c>
      <c r="F19" s="16">
        <f>B19*3.14</f>
        <v>6.28</v>
      </c>
      <c r="G19" s="17">
        <f>F19/E19</f>
        <v>96.615384615384613</v>
      </c>
      <c r="H19" s="16">
        <f>C19/10</f>
        <v>0.2</v>
      </c>
      <c r="I19" s="16">
        <v>3</v>
      </c>
      <c r="J19" s="19">
        <f>H19*G19/60</f>
        <v>0.32205128205128208</v>
      </c>
      <c r="K19" s="20">
        <f>J19+I19</f>
        <v>3.322051282051282</v>
      </c>
      <c r="L19" s="68">
        <v>250</v>
      </c>
      <c r="M19" s="69">
        <f>L19/60</f>
        <v>4.166666666666667</v>
      </c>
      <c r="N19" s="248">
        <f>ROUNDUP(K19*M19,1)</f>
        <v>13.9</v>
      </c>
      <c r="O19" s="56"/>
      <c r="P19" s="30">
        <v>125</v>
      </c>
      <c r="Q19" s="71">
        <v>0.02</v>
      </c>
      <c r="R19" s="32">
        <v>1</v>
      </c>
      <c r="S19" s="35">
        <f>N19*R19</f>
        <v>13.9</v>
      </c>
      <c r="T19" s="33">
        <f>IF(S19&gt;Y19, S19, Y19)</f>
        <v>250</v>
      </c>
      <c r="U19" s="33">
        <f>T19+P19</f>
        <v>375</v>
      </c>
      <c r="V19" s="33">
        <f>ROUNDUP(U19*Q19,0)</f>
        <v>8</v>
      </c>
      <c r="W19" s="249">
        <f t="shared" ref="W19" si="9">U19+V19</f>
        <v>383</v>
      </c>
      <c r="X19" s="56"/>
      <c r="Y19" s="58">
        <v>250</v>
      </c>
      <c r="Z19" s="47">
        <f>ROUNDDOWN(Y19/N19,0)</f>
        <v>17</v>
      </c>
    </row>
    <row r="22" spans="1:26" ht="21" x14ac:dyDescent="0.35">
      <c r="A22" s="171"/>
      <c r="B22" s="172" t="s">
        <v>119</v>
      </c>
      <c r="C22" s="173"/>
      <c r="I22" s="171"/>
      <c r="J22" s="198"/>
      <c r="K22" s="198"/>
      <c r="L22" s="198"/>
      <c r="M22" s="198"/>
      <c r="N22" s="172" t="s">
        <v>149</v>
      </c>
      <c r="O22" s="198"/>
      <c r="P22" s="198"/>
      <c r="Q22" s="198"/>
      <c r="R22" s="173"/>
    </row>
    <row r="23" spans="1:26" x14ac:dyDescent="0.25">
      <c r="A23" s="174" t="s">
        <v>32</v>
      </c>
      <c r="C23" s="175">
        <v>225</v>
      </c>
      <c r="I23" s="174" t="s">
        <v>150</v>
      </c>
      <c r="R23" s="176"/>
    </row>
    <row r="24" spans="1:26" ht="15.75" x14ac:dyDescent="0.25">
      <c r="A24" s="174" t="s">
        <v>120</v>
      </c>
      <c r="C24" s="175">
        <v>125</v>
      </c>
      <c r="I24" s="174" t="s">
        <v>151</v>
      </c>
      <c r="R24" s="176"/>
      <c r="W24" s="169"/>
    </row>
    <row r="25" spans="1:26" ht="15.75" x14ac:dyDescent="0.25">
      <c r="A25" s="174" t="s">
        <v>36</v>
      </c>
      <c r="C25" s="200" t="s">
        <v>122</v>
      </c>
      <c r="I25" s="174"/>
      <c r="R25" s="176"/>
      <c r="W25" s="170"/>
    </row>
    <row r="26" spans="1:26" ht="15.75" x14ac:dyDescent="0.25">
      <c r="A26" s="174" t="s">
        <v>121</v>
      </c>
      <c r="C26" s="176" t="s">
        <v>123</v>
      </c>
      <c r="I26" s="174" t="s">
        <v>152</v>
      </c>
      <c r="R26" s="176"/>
      <c r="W26" s="170"/>
    </row>
    <row r="27" spans="1:26" ht="15.75" x14ac:dyDescent="0.25">
      <c r="A27" s="177" t="s">
        <v>124</v>
      </c>
      <c r="B27" s="178"/>
      <c r="C27" s="179">
        <v>100</v>
      </c>
      <c r="I27" s="174" t="s">
        <v>153</v>
      </c>
      <c r="R27" s="176"/>
      <c r="W27" s="170"/>
    </row>
    <row r="28" spans="1:26" ht="15.75" x14ac:dyDescent="0.25">
      <c r="I28" s="174"/>
      <c r="R28" s="176"/>
      <c r="W28" s="170"/>
    </row>
    <row r="29" spans="1:26" x14ac:dyDescent="0.25">
      <c r="I29" s="174" t="s">
        <v>154</v>
      </c>
      <c r="R29" s="176"/>
    </row>
    <row r="30" spans="1:26" x14ac:dyDescent="0.25">
      <c r="I30" s="177" t="s">
        <v>155</v>
      </c>
      <c r="J30" s="178"/>
      <c r="K30" s="178"/>
      <c r="L30" s="178"/>
      <c r="M30" s="178"/>
      <c r="N30" s="178"/>
      <c r="O30" s="178"/>
      <c r="P30" s="178"/>
      <c r="Q30" s="178"/>
      <c r="R30" s="199"/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3DAB-9D4D-405E-856E-A90C8AF28F7D}">
  <sheetPr>
    <tabColor rgb="FF92D050"/>
  </sheetPr>
  <dimension ref="A1:Z37"/>
  <sheetViews>
    <sheetView workbookViewId="0">
      <selection activeCell="R7" sqref="R7"/>
    </sheetView>
  </sheetViews>
  <sheetFormatPr defaultRowHeight="15" x14ac:dyDescent="0.25"/>
  <cols>
    <col min="4" max="13" width="0" hidden="1" customWidth="1"/>
    <col min="17" max="17" width="0" hidden="1" customWidth="1"/>
    <col min="19" max="19" width="9.85546875" hidden="1" customWidth="1"/>
    <col min="20" max="20" width="12" bestFit="1" customWidth="1"/>
    <col min="21" max="21" width="10.85546875" customWidth="1"/>
    <col min="23" max="23" width="10.5703125" customWidth="1"/>
    <col min="24" max="24" width="16.8554687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203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1.25</v>
      </c>
      <c r="B3" s="65">
        <v>22.5</v>
      </c>
      <c r="C3" s="65">
        <v>22.5</v>
      </c>
      <c r="D3" s="66">
        <v>0.125</v>
      </c>
      <c r="E3" s="66">
        <v>0.11</v>
      </c>
      <c r="F3" s="66">
        <f>(A3+B3)*C3</f>
        <v>534.375</v>
      </c>
      <c r="G3" s="66">
        <f>(A3+B3)/E3</f>
        <v>215.90909090909091</v>
      </c>
      <c r="H3" s="66">
        <f t="shared" ref="H3" si="0">C3/10</f>
        <v>2.25</v>
      </c>
      <c r="I3" s="66">
        <v>6</v>
      </c>
      <c r="J3" s="67">
        <f t="shared" ref="J3" si="1">H3*G3/60</f>
        <v>8.0965909090909101</v>
      </c>
      <c r="K3" s="67">
        <f>J3+I3</f>
        <v>14.09659090909091</v>
      </c>
      <c r="L3" s="68">
        <v>250</v>
      </c>
      <c r="M3" s="69">
        <f>L3/60</f>
        <v>4.166666666666667</v>
      </c>
      <c r="N3" s="70">
        <f>ROUNDUP(K3*M3,1)</f>
        <v>58.800000000000004</v>
      </c>
      <c r="O3" s="56"/>
      <c r="P3" s="30">
        <v>125</v>
      </c>
      <c r="Q3" s="71">
        <v>0.02</v>
      </c>
      <c r="R3" s="32">
        <v>18</v>
      </c>
      <c r="S3" s="35">
        <f>N3*R3</f>
        <v>1058.4000000000001</v>
      </c>
      <c r="T3" s="33">
        <f>IF(S3&gt;Y3, S3, Y3)</f>
        <v>1058.4000000000001</v>
      </c>
      <c r="U3" s="33">
        <f>T3+P3</f>
        <v>1183.4000000000001</v>
      </c>
      <c r="V3" s="33">
        <f>ROUNDUP(U3*Q3,0)</f>
        <v>24</v>
      </c>
      <c r="W3" s="33">
        <f>U3+V3</f>
        <v>1207.4000000000001</v>
      </c>
      <c r="X3" s="34"/>
      <c r="Y3" s="57">
        <v>250</v>
      </c>
      <c r="Z3" s="36">
        <f>ROUNDDOWN(Y3/N3,0)</f>
        <v>4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203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1.5</v>
      </c>
      <c r="B6" s="65">
        <v>4</v>
      </c>
      <c r="C6" s="65">
        <v>3.1</v>
      </c>
      <c r="D6" s="66">
        <v>0.125</v>
      </c>
      <c r="E6" s="66">
        <v>6.5000000000000002E-2</v>
      </c>
      <c r="F6" s="66">
        <f>(A6+B6)*C6</f>
        <v>17.05</v>
      </c>
      <c r="G6" s="66">
        <f>(A6+B6)/E6</f>
        <v>84.615384615384613</v>
      </c>
      <c r="H6" s="66">
        <f t="shared" ref="H6" si="2">C6/10</f>
        <v>0.31</v>
      </c>
      <c r="I6" s="66">
        <v>4</v>
      </c>
      <c r="J6" s="67">
        <f t="shared" ref="J6" si="3">H6*G6/60</f>
        <v>0.43717948717948718</v>
      </c>
      <c r="K6" s="67">
        <f>J6+I6</f>
        <v>4.4371794871794874</v>
      </c>
      <c r="L6" s="68">
        <v>250</v>
      </c>
      <c r="M6" s="69">
        <f>L6/60</f>
        <v>4.166666666666667</v>
      </c>
      <c r="N6" s="70">
        <f>ROUNDUP(K6*M6,1)</f>
        <v>18.5</v>
      </c>
      <c r="O6" s="56"/>
      <c r="P6" s="30">
        <v>125</v>
      </c>
      <c r="Q6" s="71">
        <v>0.02</v>
      </c>
      <c r="R6" s="32">
        <v>44</v>
      </c>
      <c r="S6" s="35">
        <f>N6*R6</f>
        <v>814</v>
      </c>
      <c r="T6" s="33">
        <f>IF(S6&gt;Y6, S6, Y6)</f>
        <v>814</v>
      </c>
      <c r="U6" s="33">
        <f>T6+P6</f>
        <v>939</v>
      </c>
      <c r="V6" s="33">
        <f>ROUNDUP(U6*Q6,0)</f>
        <v>19</v>
      </c>
      <c r="W6" s="33">
        <f>U6+V6</f>
        <v>958</v>
      </c>
      <c r="X6" s="34"/>
      <c r="Y6" s="57">
        <v>250</v>
      </c>
      <c r="Z6" s="36">
        <f>ROUNDDOWN(Y6/N6,0)</f>
        <v>13</v>
      </c>
    </row>
    <row r="7" spans="1:26" ht="26.25" x14ac:dyDescent="0.25">
      <c r="B7" s="168" t="s">
        <v>12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49" t="s">
        <v>204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5</v>
      </c>
      <c r="C9" s="14">
        <v>1.9</v>
      </c>
      <c r="D9" s="66" t="s">
        <v>0</v>
      </c>
      <c r="E9" s="16">
        <v>4.4999999999999998E-2</v>
      </c>
      <c r="F9" s="16">
        <f>B9*3.14</f>
        <v>15.700000000000001</v>
      </c>
      <c r="G9" s="17">
        <f>F9/E9</f>
        <v>348.88888888888891</v>
      </c>
      <c r="H9" s="16">
        <f>C9/10</f>
        <v>0.19</v>
      </c>
      <c r="I9" s="16">
        <v>4</v>
      </c>
      <c r="J9" s="19">
        <f>H9*G9/60</f>
        <v>1.1048148148148149</v>
      </c>
      <c r="K9" s="20">
        <f>J9+I9</f>
        <v>5.1048148148148149</v>
      </c>
      <c r="L9" s="68">
        <v>250</v>
      </c>
      <c r="M9" s="69">
        <f>L9/60</f>
        <v>4.166666666666667</v>
      </c>
      <c r="N9" s="18">
        <f>ROUNDUP(K9*M9,1)</f>
        <v>21.3</v>
      </c>
      <c r="O9" s="56"/>
      <c r="P9" s="30">
        <v>125</v>
      </c>
      <c r="Q9" s="71">
        <v>0.02</v>
      </c>
      <c r="R9" s="32">
        <v>32</v>
      </c>
      <c r="S9" s="51">
        <f>N9*R9</f>
        <v>681.6</v>
      </c>
      <c r="T9" s="55">
        <f>IF(S9&gt;Y9, S9, Y9)</f>
        <v>681.6</v>
      </c>
      <c r="U9" s="55">
        <f>T9+P9</f>
        <v>806.6</v>
      </c>
      <c r="V9" s="33">
        <f>ROUNDUP(U9*Q9,0)</f>
        <v>17</v>
      </c>
      <c r="W9" s="33">
        <f t="shared" ref="W9" si="4">U9+V9</f>
        <v>823.6</v>
      </c>
      <c r="X9" s="56"/>
      <c r="Y9" s="58">
        <v>250</v>
      </c>
      <c r="Z9" s="47">
        <f>ROUNDDOWN(Y9/N9,0)</f>
        <v>11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116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205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1.5</v>
      </c>
      <c r="B14" s="65">
        <v>36</v>
      </c>
      <c r="C14" s="65">
        <v>2</v>
      </c>
      <c r="D14" s="66">
        <v>0.125</v>
      </c>
      <c r="E14" s="66">
        <v>6.5000000000000002E-2</v>
      </c>
      <c r="F14" s="66">
        <f>(A14+B14)*C14</f>
        <v>75</v>
      </c>
      <c r="G14" s="66">
        <f>(A14+B14)/E14</f>
        <v>576.92307692307691</v>
      </c>
      <c r="H14" s="66">
        <f t="shared" ref="H14" si="5">C14/10</f>
        <v>0.2</v>
      </c>
      <c r="I14" s="66">
        <v>4</v>
      </c>
      <c r="J14" s="67">
        <f t="shared" ref="J14" si="6">H14*G14/60</f>
        <v>1.9230769230769231</v>
      </c>
      <c r="K14" s="67">
        <f>J14+I14</f>
        <v>5.9230769230769234</v>
      </c>
      <c r="L14" s="68">
        <v>275</v>
      </c>
      <c r="M14" s="69">
        <f>L14/60</f>
        <v>4.583333333333333</v>
      </c>
      <c r="N14" s="70">
        <f>ROUNDUP(K14*M14,1)</f>
        <v>27.200000000000003</v>
      </c>
      <c r="O14" s="56"/>
      <c r="P14" s="30">
        <v>125</v>
      </c>
      <c r="Q14" s="71">
        <v>0.02</v>
      </c>
      <c r="R14" s="32">
        <v>30</v>
      </c>
      <c r="S14" s="35">
        <f>N14*R14</f>
        <v>816.00000000000011</v>
      </c>
      <c r="T14" s="33">
        <f>IF(S14&gt;Y14, S14, Y14)</f>
        <v>816.00000000000011</v>
      </c>
      <c r="U14" s="33">
        <f>T14+P14</f>
        <v>941.00000000000011</v>
      </c>
      <c r="V14" s="33">
        <f>ROUNDUP(U14*Q14,0)</f>
        <v>19</v>
      </c>
      <c r="W14" s="33">
        <f>U14+V14</f>
        <v>960.00000000000011</v>
      </c>
      <c r="X14" s="34"/>
      <c r="Y14" s="57">
        <v>275</v>
      </c>
      <c r="Z14" s="36">
        <f>ROUNDDOWN(Y14/N14,0)</f>
        <v>10</v>
      </c>
    </row>
    <row r="15" spans="1:26" ht="26.25" x14ac:dyDescent="0.25">
      <c r="A15" s="1"/>
      <c r="B15" s="168" t="s">
        <v>117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49" t="s">
        <v>204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26" x14ac:dyDescent="0.25">
      <c r="A17" s="1"/>
      <c r="B17" s="14">
        <v>0.625</v>
      </c>
      <c r="C17" s="14">
        <v>144</v>
      </c>
      <c r="D17" s="66" t="s">
        <v>0</v>
      </c>
      <c r="E17" s="16">
        <v>4.4999999999999998E-2</v>
      </c>
      <c r="F17" s="16">
        <f>B17*3.14</f>
        <v>1.9625000000000001</v>
      </c>
      <c r="G17" s="17">
        <f>F17/E17</f>
        <v>43.611111111111114</v>
      </c>
      <c r="H17" s="16">
        <f>C17/10</f>
        <v>14.4</v>
      </c>
      <c r="I17" s="16">
        <v>4</v>
      </c>
      <c r="J17" s="19">
        <f>H17*G17/60</f>
        <v>10.466666666666669</v>
      </c>
      <c r="K17" s="20">
        <f>J17+I17</f>
        <v>14.466666666666669</v>
      </c>
      <c r="L17" s="68">
        <v>275</v>
      </c>
      <c r="M17" s="69">
        <f>L17/60</f>
        <v>4.583333333333333</v>
      </c>
      <c r="N17" s="18">
        <f>ROUNDUP(K17*M17,1)</f>
        <v>66.399999999999991</v>
      </c>
      <c r="O17" s="56"/>
      <c r="P17" s="30">
        <v>125</v>
      </c>
      <c r="Q17" s="71">
        <v>0.02</v>
      </c>
      <c r="R17" s="32">
        <v>143</v>
      </c>
      <c r="S17" s="51">
        <f>N17*R17</f>
        <v>9495.1999999999989</v>
      </c>
      <c r="T17" s="55">
        <f>IF(S17&gt;Y17, S17, Y17)</f>
        <v>9495.1999999999989</v>
      </c>
      <c r="U17" s="55">
        <f>T17+P17</f>
        <v>9620.1999999999989</v>
      </c>
      <c r="V17" s="33">
        <f>ROUNDUP(U17*Q17,0)</f>
        <v>193</v>
      </c>
      <c r="W17" s="33">
        <f t="shared" ref="W17" si="7">U17+V17</f>
        <v>9813.1999999999989</v>
      </c>
      <c r="X17" s="56"/>
      <c r="Y17" s="58">
        <v>275</v>
      </c>
      <c r="Z17" s="47">
        <f>ROUNDDOWN(Y17/N17,0)</f>
        <v>4</v>
      </c>
    </row>
    <row r="19" spans="1:26" ht="15.75" thickBot="1" x14ac:dyDescent="0.3"/>
    <row r="20" spans="1:26" ht="24" thickBot="1" x14ac:dyDescent="0.4">
      <c r="A20" s="171"/>
      <c r="B20" s="172" t="s">
        <v>119</v>
      </c>
      <c r="C20" s="173"/>
      <c r="N20" s="439"/>
      <c r="O20" s="440" t="s">
        <v>149</v>
      </c>
      <c r="P20" s="441"/>
      <c r="Q20" s="441"/>
      <c r="R20" s="442"/>
      <c r="U20" s="541" t="s">
        <v>348</v>
      </c>
      <c r="V20" s="541"/>
      <c r="W20" s="541"/>
      <c r="X20" s="541"/>
    </row>
    <row r="21" spans="1:26" ht="16.5" thickTop="1" x14ac:dyDescent="0.25">
      <c r="A21" s="174" t="s">
        <v>32</v>
      </c>
      <c r="C21" s="175">
        <v>250</v>
      </c>
      <c r="N21" s="443" t="s">
        <v>150</v>
      </c>
      <c r="R21" s="444"/>
      <c r="U21" s="362" t="s">
        <v>207</v>
      </c>
      <c r="V21" s="363"/>
      <c r="W21" s="352"/>
      <c r="X21" s="364">
        <f>N6</f>
        <v>18.5</v>
      </c>
    </row>
    <row r="22" spans="1:26" ht="15.75" x14ac:dyDescent="0.25">
      <c r="A22" s="174" t="s">
        <v>120</v>
      </c>
      <c r="C22" s="175">
        <v>125</v>
      </c>
      <c r="N22" s="443" t="s">
        <v>151</v>
      </c>
      <c r="R22" s="444"/>
      <c r="U22" s="365" t="s">
        <v>208</v>
      </c>
      <c r="V22" s="1"/>
      <c r="X22" s="366">
        <f>R6</f>
        <v>44</v>
      </c>
    </row>
    <row r="23" spans="1:26" ht="15.75" x14ac:dyDescent="0.25">
      <c r="A23" s="174" t="s">
        <v>36</v>
      </c>
      <c r="C23" s="176" t="s">
        <v>122</v>
      </c>
      <c r="N23" s="443"/>
      <c r="R23" s="444"/>
      <c r="U23" s="365" t="s">
        <v>209</v>
      </c>
      <c r="V23" s="1"/>
      <c r="X23" s="367">
        <f>T6</f>
        <v>814</v>
      </c>
    </row>
    <row r="24" spans="1:26" ht="15.75" x14ac:dyDescent="0.25">
      <c r="A24" s="174" t="s">
        <v>121</v>
      </c>
      <c r="C24" s="176" t="s">
        <v>123</v>
      </c>
      <c r="N24" s="443" t="s">
        <v>152</v>
      </c>
      <c r="R24" s="444"/>
      <c r="U24" s="365" t="s">
        <v>210</v>
      </c>
      <c r="V24" s="1"/>
      <c r="X24" s="367">
        <f>V6</f>
        <v>19</v>
      </c>
    </row>
    <row r="25" spans="1:26" ht="15.75" x14ac:dyDescent="0.25">
      <c r="A25" s="177" t="s">
        <v>124</v>
      </c>
      <c r="B25" s="178"/>
      <c r="C25" s="179">
        <v>75</v>
      </c>
      <c r="N25" s="443" t="s">
        <v>153</v>
      </c>
      <c r="R25" s="444"/>
      <c r="U25" s="365" t="s">
        <v>216</v>
      </c>
      <c r="X25" s="368">
        <f>P6</f>
        <v>125</v>
      </c>
    </row>
    <row r="26" spans="1:26" ht="15.75" x14ac:dyDescent="0.25">
      <c r="N26" s="443"/>
      <c r="R26" s="444"/>
      <c r="U26" s="365" t="s">
        <v>211</v>
      </c>
      <c r="V26" s="1"/>
      <c r="X26" s="367">
        <f>W6</f>
        <v>958</v>
      </c>
    </row>
    <row r="27" spans="1:26" ht="16.5" thickBot="1" x14ac:dyDescent="0.3">
      <c r="N27" s="443" t="s">
        <v>154</v>
      </c>
      <c r="R27" s="444"/>
      <c r="U27" s="369" t="s">
        <v>346</v>
      </c>
      <c r="V27" s="354"/>
      <c r="W27" s="539" t="s">
        <v>347</v>
      </c>
      <c r="X27" s="540"/>
    </row>
    <row r="28" spans="1:26" ht="16.5" thickTop="1" thickBot="1" x14ac:dyDescent="0.3">
      <c r="N28" s="445" t="s">
        <v>155</v>
      </c>
      <c r="O28" s="446"/>
      <c r="P28" s="446"/>
      <c r="Q28" s="446"/>
      <c r="R28" s="447"/>
      <c r="W28" s="1"/>
      <c r="X28" s="1"/>
    </row>
    <row r="29" spans="1:26" ht="24" thickBot="1" x14ac:dyDescent="0.4">
      <c r="U29" s="541" t="s">
        <v>284</v>
      </c>
      <c r="V29" s="541"/>
      <c r="W29" s="541"/>
      <c r="X29" s="541"/>
    </row>
    <row r="30" spans="1:26" ht="46.5" thickTop="1" thickBot="1" x14ac:dyDescent="0.3">
      <c r="A30" s="356" t="s">
        <v>241</v>
      </c>
      <c r="B30" s="358" t="s">
        <v>29</v>
      </c>
      <c r="C30" s="343" t="s">
        <v>34</v>
      </c>
      <c r="D30" s="343" t="s">
        <v>27</v>
      </c>
      <c r="E30" s="341" t="s">
        <v>39</v>
      </c>
      <c r="F30" s="341" t="s">
        <v>30</v>
      </c>
      <c r="G30" s="349" t="s">
        <v>36</v>
      </c>
      <c r="H30" s="347" t="s">
        <v>31</v>
      </c>
      <c r="I30" s="360" t="s">
        <v>289</v>
      </c>
      <c r="J30" s="360" t="s">
        <v>290</v>
      </c>
      <c r="U30" s="362" t="s">
        <v>207</v>
      </c>
      <c r="V30" s="363"/>
      <c r="W30" s="352"/>
      <c r="X30" s="364">
        <f>N9</f>
        <v>21.3</v>
      </c>
    </row>
    <row r="31" spans="1:26" ht="17.25" thickTop="1" thickBot="1" x14ac:dyDescent="0.3">
      <c r="A31" s="357">
        <v>32.549999999999997</v>
      </c>
      <c r="B31" s="342">
        <v>42</v>
      </c>
      <c r="C31" s="344">
        <f>IF(I31&gt;J31,I31,J31)</f>
        <v>1367.1</v>
      </c>
      <c r="D31" s="345">
        <v>125</v>
      </c>
      <c r="E31" s="346">
        <v>0.02</v>
      </c>
      <c r="F31" s="344">
        <f>C31+D31</f>
        <v>1492.1</v>
      </c>
      <c r="G31" s="350">
        <f>ROUNDUP(F31*E31,0)</f>
        <v>30</v>
      </c>
      <c r="H31" s="348">
        <f>F31+G31</f>
        <v>1522.1</v>
      </c>
      <c r="I31" s="97">
        <f>A31*B31</f>
        <v>1367.1</v>
      </c>
      <c r="J31">
        <v>225</v>
      </c>
      <c r="U31" s="365" t="s">
        <v>208</v>
      </c>
      <c r="V31" s="1"/>
      <c r="X31" s="366">
        <f>R9</f>
        <v>32</v>
      </c>
    </row>
    <row r="32" spans="1:26" ht="16.5" thickTop="1" x14ac:dyDescent="0.25">
      <c r="U32" s="365" t="s">
        <v>209</v>
      </c>
      <c r="V32" s="1"/>
      <c r="X32" s="367">
        <f>T9</f>
        <v>681.6</v>
      </c>
    </row>
    <row r="33" spans="4:24" ht="15.75" x14ac:dyDescent="0.25">
      <c r="U33" s="365" t="s">
        <v>210</v>
      </c>
      <c r="V33" s="1"/>
      <c r="X33" s="367">
        <f>V9</f>
        <v>17</v>
      </c>
    </row>
    <row r="34" spans="4:24" ht="16.5" thickBot="1" x14ac:dyDescent="0.3">
      <c r="F34" s="97"/>
      <c r="U34" s="365" t="s">
        <v>216</v>
      </c>
      <c r="X34" s="368">
        <f>P9</f>
        <v>125</v>
      </c>
    </row>
    <row r="35" spans="4:24" ht="16.5" thickTop="1" x14ac:dyDescent="0.25">
      <c r="D35" s="351" t="s">
        <v>286</v>
      </c>
      <c r="E35" s="352"/>
      <c r="F35" s="359">
        <f>B31</f>
        <v>42</v>
      </c>
      <c r="U35" s="365" t="s">
        <v>211</v>
      </c>
      <c r="V35" s="1"/>
      <c r="X35" s="367">
        <f>W9</f>
        <v>823.6</v>
      </c>
    </row>
    <row r="36" spans="4:24" ht="16.5" thickBot="1" x14ac:dyDescent="0.3">
      <c r="D36" s="353" t="s">
        <v>285</v>
      </c>
      <c r="E36" s="354"/>
      <c r="F36" s="355">
        <f>H31</f>
        <v>1522.1</v>
      </c>
      <c r="U36" s="369" t="s">
        <v>346</v>
      </c>
      <c r="V36" s="354"/>
      <c r="W36" s="539" t="s">
        <v>347</v>
      </c>
      <c r="X36" s="540"/>
    </row>
    <row r="37" spans="4:24" ht="15.75" thickTop="1" x14ac:dyDescent="0.25"/>
  </sheetData>
  <mergeCells count="4">
    <mergeCell ref="U20:X20"/>
    <mergeCell ref="W27:X27"/>
    <mergeCell ref="U29:X29"/>
    <mergeCell ref="W36:X36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E786-1DE5-4CEF-A857-2B6F0586BDFC}">
  <sheetPr>
    <tabColor rgb="FF92D050"/>
  </sheetPr>
  <dimension ref="A1:AC37"/>
  <sheetViews>
    <sheetView workbookViewId="0">
      <selection activeCell="V20" sqref="V20:Y36"/>
    </sheetView>
  </sheetViews>
  <sheetFormatPr defaultRowHeight="15" x14ac:dyDescent="0.25"/>
  <cols>
    <col min="4" max="13" width="0" hidden="1" customWidth="1"/>
    <col min="19" max="19" width="0" hidden="1" customWidth="1"/>
    <col min="24" max="24" width="12.140625" customWidth="1"/>
    <col min="25" max="25" width="20.7109375" customWidth="1"/>
    <col min="28" max="28" width="21" customWidth="1"/>
    <col min="29" max="29" width="20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0.25</v>
      </c>
      <c r="B3" s="65">
        <v>16</v>
      </c>
      <c r="C3" s="65">
        <v>16.25</v>
      </c>
      <c r="D3" s="66">
        <v>0.125</v>
      </c>
      <c r="E3" s="66">
        <v>0.1</v>
      </c>
      <c r="F3" s="66">
        <f>(A3+B3)*C3</f>
        <v>264.0625</v>
      </c>
      <c r="G3" s="66">
        <f>(A3+B3)/E3</f>
        <v>162.5</v>
      </c>
      <c r="H3" s="66">
        <f t="shared" ref="H3" si="0">C3/10</f>
        <v>1.625</v>
      </c>
      <c r="I3" s="66">
        <v>6</v>
      </c>
      <c r="J3" s="67">
        <f t="shared" ref="J3" si="1">H3*G3/60</f>
        <v>4.401041666666667</v>
      </c>
      <c r="K3" s="67">
        <f>J3+I3</f>
        <v>10.401041666666668</v>
      </c>
      <c r="L3" s="68">
        <v>225</v>
      </c>
      <c r="M3" s="69">
        <f>L3/60</f>
        <v>3.75</v>
      </c>
      <c r="N3" s="70">
        <f>ROUNDUP(K3*M3,1)</f>
        <v>39.1</v>
      </c>
      <c r="O3" s="56"/>
      <c r="P3" s="30">
        <v>0</v>
      </c>
      <c r="Q3" s="71">
        <v>0.02</v>
      </c>
      <c r="R3" s="32">
        <v>5</v>
      </c>
      <c r="S3" s="35">
        <f>N3*R3</f>
        <v>195.5</v>
      </c>
      <c r="T3" s="33">
        <f>IF(S3&gt;Y3,S3,Y3)</f>
        <v>225</v>
      </c>
      <c r="U3" s="33">
        <f>T3+P3</f>
        <v>225</v>
      </c>
      <c r="V3" s="33">
        <f>ROUNDUP(U3*Q3,0)</f>
        <v>5</v>
      </c>
      <c r="W3" s="33">
        <f>U3+V3</f>
        <v>230</v>
      </c>
      <c r="X3" s="34"/>
      <c r="Y3" s="57">
        <v>225</v>
      </c>
      <c r="Z3" s="36">
        <f>ROUNDDOWN(Y3/N3,0)</f>
        <v>5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3.5</v>
      </c>
      <c r="B6" s="65">
        <v>35</v>
      </c>
      <c r="C6" s="65">
        <v>35</v>
      </c>
      <c r="D6" s="66">
        <v>0.125</v>
      </c>
      <c r="E6" s="66">
        <v>4.4999999999999998E-2</v>
      </c>
      <c r="F6" s="66">
        <f>(A6+B6)*C6</f>
        <v>1347.5</v>
      </c>
      <c r="G6" s="66">
        <f>(A6+B6)/E6</f>
        <v>855.55555555555554</v>
      </c>
      <c r="H6" s="66">
        <f t="shared" ref="H6" si="2">C6/10</f>
        <v>3.5</v>
      </c>
      <c r="I6" s="66">
        <v>3.5</v>
      </c>
      <c r="J6" s="67">
        <f t="shared" ref="J6" si="3">H6*G6/60</f>
        <v>49.907407407407405</v>
      </c>
      <c r="K6" s="67">
        <f>J6+I6</f>
        <v>53.407407407407405</v>
      </c>
      <c r="L6" s="68">
        <v>225</v>
      </c>
      <c r="M6" s="69">
        <f>L6/60</f>
        <v>3.75</v>
      </c>
      <c r="N6" s="70">
        <f>ROUNDUP(K6*M6,1)</f>
        <v>200.29999999999998</v>
      </c>
      <c r="O6" s="56"/>
      <c r="P6" s="30">
        <v>125</v>
      </c>
      <c r="Q6" s="71">
        <v>0.02</v>
      </c>
      <c r="R6" s="32">
        <v>5</v>
      </c>
      <c r="S6" s="35">
        <f>N6*R6</f>
        <v>1001.4999999999999</v>
      </c>
      <c r="T6" s="33">
        <f>IF(S6&gt;Y6,S6,Y6)</f>
        <v>1001.4999999999999</v>
      </c>
      <c r="U6" s="33">
        <f>T6+P6</f>
        <v>1126.5</v>
      </c>
      <c r="V6" s="33">
        <f>ROUNDUP(U6*Q6,0)</f>
        <v>23</v>
      </c>
      <c r="W6" s="33">
        <f>U6+V6</f>
        <v>1149.5</v>
      </c>
      <c r="X6" s="34"/>
      <c r="Y6" s="57">
        <v>225</v>
      </c>
      <c r="Z6" s="36">
        <f>ROUNDDOWN(Y6/N6,0)</f>
        <v>1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2.125</v>
      </c>
      <c r="C9" s="14">
        <v>36</v>
      </c>
      <c r="D9" s="66" t="s">
        <v>0</v>
      </c>
      <c r="E9" s="16">
        <v>4.4999999999999998E-2</v>
      </c>
      <c r="F9" s="16">
        <f>B9*3.14</f>
        <v>6.6725000000000003</v>
      </c>
      <c r="G9" s="17">
        <f>F9/E9</f>
        <v>148.2777777777778</v>
      </c>
      <c r="H9" s="16">
        <f>C9/10</f>
        <v>3.6</v>
      </c>
      <c r="I9" s="16">
        <v>2</v>
      </c>
      <c r="J9" s="19">
        <f>H9*G9/60</f>
        <v>8.8966666666666683</v>
      </c>
      <c r="K9" s="20">
        <f>J9+I9</f>
        <v>10.896666666666668</v>
      </c>
      <c r="L9" s="68">
        <v>225</v>
      </c>
      <c r="M9" s="69">
        <f>L9/60</f>
        <v>3.75</v>
      </c>
      <c r="N9" s="18">
        <f>ROUNDUP(K9*M9,1)</f>
        <v>40.9</v>
      </c>
      <c r="O9" s="56"/>
      <c r="P9" s="30">
        <v>125</v>
      </c>
      <c r="Q9" s="71">
        <v>0.02</v>
      </c>
      <c r="R9" s="32">
        <v>16</v>
      </c>
      <c r="S9" s="35">
        <f>N9*R9</f>
        <v>654.4</v>
      </c>
      <c r="T9" s="33">
        <f>IF(S9&gt;Y9,S9,Y9)</f>
        <v>654.4</v>
      </c>
      <c r="U9" s="33">
        <f>T9+P9</f>
        <v>779.4</v>
      </c>
      <c r="V9" s="33">
        <f>ROUNDUP(U9*Q9,0)</f>
        <v>16</v>
      </c>
      <c r="W9" s="33">
        <f t="shared" ref="W9" si="4">U9+V9</f>
        <v>795.4</v>
      </c>
      <c r="X9" s="56"/>
      <c r="Y9" s="58">
        <v>225</v>
      </c>
      <c r="Z9" s="47">
        <f>ROUNDDOWN(Y9/N9,0)</f>
        <v>5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3.5</v>
      </c>
      <c r="J14" s="67">
        <f t="shared" ref="J14" si="6">H14*G14/60</f>
        <v>0.1111111111111111</v>
      </c>
      <c r="K14" s="67">
        <f>J14+I14</f>
        <v>3.6111111111111112</v>
      </c>
      <c r="L14" s="68">
        <v>250</v>
      </c>
      <c r="M14" s="69">
        <f>L14/60</f>
        <v>4.166666666666667</v>
      </c>
      <c r="N14" s="70">
        <f>ROUNDUP(K14*M14,1)</f>
        <v>15.1</v>
      </c>
      <c r="O14" s="56"/>
      <c r="P14" s="30">
        <v>125</v>
      </c>
      <c r="Q14" s="71">
        <v>0.02</v>
      </c>
      <c r="R14" s="32">
        <v>50</v>
      </c>
      <c r="S14" s="35">
        <f>N14*R14</f>
        <v>755</v>
      </c>
      <c r="T14" s="33">
        <f>IF(S14&gt;Y14,S14,Y14)</f>
        <v>755</v>
      </c>
      <c r="U14" s="33">
        <f>T14+P14</f>
        <v>880</v>
      </c>
      <c r="V14" s="33">
        <f>ROUNDUP(U14*Q14,0)</f>
        <v>18</v>
      </c>
      <c r="W14" s="33">
        <f>U14+V14</f>
        <v>898</v>
      </c>
      <c r="X14" s="34"/>
      <c r="Y14" s="57">
        <v>250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29" x14ac:dyDescent="0.25">
      <c r="A17" s="1"/>
      <c r="B17" s="14">
        <v>9.5</v>
      </c>
      <c r="C17" s="14">
        <v>2</v>
      </c>
      <c r="D17" s="66" t="s">
        <v>0</v>
      </c>
      <c r="E17" s="16">
        <v>4.4999999999999998E-2</v>
      </c>
      <c r="F17" s="16">
        <f>B17*3.14</f>
        <v>29.830000000000002</v>
      </c>
      <c r="G17" s="17">
        <f>F17/E17</f>
        <v>662.88888888888891</v>
      </c>
      <c r="H17" s="16">
        <f>C17/10</f>
        <v>0.2</v>
      </c>
      <c r="I17" s="16">
        <v>4</v>
      </c>
      <c r="J17" s="19">
        <f>H17*G17/60</f>
        <v>2.2096296296296298</v>
      </c>
      <c r="K17" s="20">
        <f>J17+I17</f>
        <v>6.2096296296296298</v>
      </c>
      <c r="L17" s="68">
        <v>250</v>
      </c>
      <c r="M17" s="69">
        <f>L17/60</f>
        <v>4.166666666666667</v>
      </c>
      <c r="N17" s="18">
        <f>ROUNDUP(K17*M17,1)</f>
        <v>25.900000000000002</v>
      </c>
      <c r="O17" s="56"/>
      <c r="P17" s="30">
        <v>125</v>
      </c>
      <c r="Q17" s="71">
        <v>0.02</v>
      </c>
      <c r="R17" s="32">
        <v>1</v>
      </c>
      <c r="S17" s="35">
        <f>N17*R17</f>
        <v>25.900000000000002</v>
      </c>
      <c r="T17" s="33">
        <f>IF(S17&gt;Y17,S17,Y17)</f>
        <v>250</v>
      </c>
      <c r="U17" s="33">
        <f>T17+P17</f>
        <v>375</v>
      </c>
      <c r="V17" s="33">
        <f>ROUNDUP(U17*Q17,0)</f>
        <v>8</v>
      </c>
      <c r="W17" s="33">
        <f t="shared" ref="W17" si="7">U17+V17</f>
        <v>383</v>
      </c>
      <c r="X17" s="56"/>
      <c r="Y17" s="58">
        <v>250</v>
      </c>
      <c r="Z17" s="47">
        <f>ROUNDDOWN(Y17/N17,0)</f>
        <v>9</v>
      </c>
    </row>
    <row r="19" spans="1:29" ht="15.75" thickBot="1" x14ac:dyDescent="0.3"/>
    <row r="20" spans="1:29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494" t="s">
        <v>348</v>
      </c>
      <c r="W20" s="436"/>
      <c r="X20" s="436"/>
      <c r="Y20" s="436"/>
      <c r="Z20" s="1"/>
      <c r="AA20" s="460" t="s">
        <v>362</v>
      </c>
      <c r="AB20" s="461"/>
      <c r="AC20" s="461"/>
    </row>
    <row r="21" spans="1:29" ht="16.5" thickTop="1" x14ac:dyDescent="0.25">
      <c r="A21" s="373" t="s">
        <v>32</v>
      </c>
      <c r="C21" s="376">
        <v>225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200.29999999999998</v>
      </c>
      <c r="Z21" s="1"/>
      <c r="AA21" s="462" t="s">
        <v>207</v>
      </c>
      <c r="AB21" s="463"/>
      <c r="AC21" s="470">
        <f>N3</f>
        <v>39.1</v>
      </c>
    </row>
    <row r="22" spans="1:29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5</v>
      </c>
      <c r="Z22" s="1"/>
      <c r="AA22" s="464" t="s">
        <v>208</v>
      </c>
      <c r="AB22" s="1"/>
      <c r="AC22" s="471">
        <f>R3</f>
        <v>5</v>
      </c>
    </row>
    <row r="23" spans="1:29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1001.4999999999999</v>
      </c>
      <c r="Z23" s="1"/>
      <c r="AA23" s="464" t="s">
        <v>209</v>
      </c>
      <c r="AB23" s="1"/>
      <c r="AC23" s="469">
        <f>T3</f>
        <v>225</v>
      </c>
    </row>
    <row r="24" spans="1:29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23</v>
      </c>
      <c r="Z24" s="1"/>
      <c r="AA24" s="464" t="s">
        <v>210</v>
      </c>
      <c r="AB24" s="1"/>
      <c r="AC24" s="469">
        <f>V3</f>
        <v>5</v>
      </c>
    </row>
    <row r="25" spans="1:29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  <c r="AA25" s="464" t="s">
        <v>216</v>
      </c>
      <c r="AC25" s="465">
        <f>-P3</f>
        <v>0</v>
      </c>
    </row>
    <row r="26" spans="1:29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1149.5</v>
      </c>
      <c r="Z26" s="1"/>
      <c r="AA26" s="464" t="s">
        <v>211</v>
      </c>
      <c r="AB26" s="1"/>
      <c r="AC26" s="469">
        <f>W3</f>
        <v>230</v>
      </c>
    </row>
    <row r="27" spans="1:29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8" t="s">
        <v>347</v>
      </c>
    </row>
    <row r="28" spans="1:29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29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29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40.9</v>
      </c>
      <c r="Z30" s="1"/>
    </row>
    <row r="31" spans="1:29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16</v>
      </c>
      <c r="Z31" s="1"/>
    </row>
    <row r="32" spans="1:29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654.4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16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795.4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2">
    <mergeCell ref="V29:Y29"/>
    <mergeCell ref="X36:Y36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F69F-668A-42E5-BC00-DBD83D2E2F73}">
  <sheetPr>
    <tabColor rgb="FF92D050"/>
  </sheetPr>
  <dimension ref="A1:AC37"/>
  <sheetViews>
    <sheetView workbookViewId="0">
      <selection activeCell="V20" sqref="V20:Y36"/>
    </sheetView>
  </sheetViews>
  <sheetFormatPr defaultRowHeight="15" x14ac:dyDescent="0.25"/>
  <cols>
    <col min="4" max="13" width="0" hidden="1" customWidth="1"/>
    <col min="17" max="17" width="0" hidden="1" customWidth="1"/>
    <col min="19" max="19" width="0" hidden="1" customWidth="1"/>
    <col min="23" max="23" width="20.140625" customWidth="1"/>
    <col min="24" max="24" width="4.42578125" customWidth="1"/>
    <col min="25" max="25" width="16.85546875" customWidth="1"/>
    <col min="27" max="27" width="29.85546875" customWidth="1"/>
    <col min="28" max="28" width="4.7109375" customWidth="1"/>
    <col min="29" max="29" width="17.8554687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0.25</v>
      </c>
      <c r="B3" s="65">
        <v>16</v>
      </c>
      <c r="C3" s="65">
        <v>16.25</v>
      </c>
      <c r="D3" s="66">
        <v>0.125</v>
      </c>
      <c r="E3" s="66">
        <v>0.125</v>
      </c>
      <c r="F3" s="66">
        <f>(A3+B3)*C3</f>
        <v>264.0625</v>
      </c>
      <c r="G3" s="66">
        <f>(A3+B3)/E3</f>
        <v>130</v>
      </c>
      <c r="H3" s="66">
        <f t="shared" ref="H3" si="0">C3/10</f>
        <v>1.625</v>
      </c>
      <c r="I3" s="66">
        <v>3.5</v>
      </c>
      <c r="J3" s="67">
        <f t="shared" ref="J3" si="1">H3*G3/60</f>
        <v>3.5208333333333335</v>
      </c>
      <c r="K3" s="67">
        <f>J3+I3</f>
        <v>7.0208333333333339</v>
      </c>
      <c r="L3" s="68">
        <v>225</v>
      </c>
      <c r="M3" s="69">
        <f>L3/60</f>
        <v>3.75</v>
      </c>
      <c r="N3" s="70">
        <f>ROUNDUP(K3*M3,1)</f>
        <v>26.400000000000002</v>
      </c>
      <c r="O3" s="56"/>
      <c r="P3" s="30">
        <v>0</v>
      </c>
      <c r="Q3" s="71">
        <v>0.02</v>
      </c>
      <c r="R3" s="32">
        <v>5</v>
      </c>
      <c r="S3" s="35">
        <f>N3*R3</f>
        <v>132</v>
      </c>
      <c r="T3" s="33">
        <f>IF(S3&gt;Y3,S3,Y3)</f>
        <v>225</v>
      </c>
      <c r="U3" s="33">
        <f>T3+P3</f>
        <v>225</v>
      </c>
      <c r="V3" s="33">
        <f>ROUNDUP(U3*Q3,0)</f>
        <v>5</v>
      </c>
      <c r="W3" s="33">
        <f>U3+V3</f>
        <v>230</v>
      </c>
      <c r="X3" s="34"/>
      <c r="Y3" s="57">
        <v>225</v>
      </c>
      <c r="Z3" s="36">
        <f>ROUNDDOWN(Y3/N3,0)</f>
        <v>8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3.5</v>
      </c>
      <c r="B6" s="65">
        <v>35</v>
      </c>
      <c r="C6" s="65">
        <v>35</v>
      </c>
      <c r="D6" s="66">
        <v>0.125</v>
      </c>
      <c r="E6" s="66">
        <v>4.4999999999999998E-2</v>
      </c>
      <c r="F6" s="66">
        <f>(A6+B6)*C6</f>
        <v>1347.5</v>
      </c>
      <c r="G6" s="66">
        <f>(A6+B6)/E6</f>
        <v>855.55555555555554</v>
      </c>
      <c r="H6" s="66">
        <f t="shared" ref="H6" si="2">C6/10</f>
        <v>3.5</v>
      </c>
      <c r="I6" s="66">
        <v>3.5</v>
      </c>
      <c r="J6" s="67">
        <f t="shared" ref="J6" si="3">H6*G6/60</f>
        <v>49.907407407407405</v>
      </c>
      <c r="K6" s="67">
        <f>J6+I6</f>
        <v>53.407407407407405</v>
      </c>
      <c r="L6" s="68">
        <v>225</v>
      </c>
      <c r="M6" s="69">
        <f>L6/60</f>
        <v>3.75</v>
      </c>
      <c r="N6" s="70">
        <f>ROUNDUP(K6*M6,1)</f>
        <v>200.29999999999998</v>
      </c>
      <c r="O6" s="56"/>
      <c r="P6" s="30">
        <v>125</v>
      </c>
      <c r="Q6" s="71">
        <v>0.02</v>
      </c>
      <c r="R6" s="32">
        <v>5</v>
      </c>
      <c r="S6" s="35">
        <f>N6*R6</f>
        <v>1001.4999999999999</v>
      </c>
      <c r="T6" s="33">
        <f>IF(S6&gt;Y6,S6,Y6)</f>
        <v>1001.4999999999999</v>
      </c>
      <c r="U6" s="33">
        <f>T6+P6</f>
        <v>1126.5</v>
      </c>
      <c r="V6" s="33">
        <f>ROUNDUP(U6*Q6,0)</f>
        <v>23</v>
      </c>
      <c r="W6" s="33">
        <f>U6+V6</f>
        <v>1149.5</v>
      </c>
      <c r="X6" s="34"/>
      <c r="Y6" s="57">
        <v>225</v>
      </c>
      <c r="Z6" s="36">
        <f>ROUNDDOWN(Y6/N6,0)</f>
        <v>1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2.125</v>
      </c>
      <c r="C9" s="14">
        <v>36</v>
      </c>
      <c r="D9" s="66" t="s">
        <v>0</v>
      </c>
      <c r="E9" s="16">
        <v>4.4999999999999998E-2</v>
      </c>
      <c r="F9" s="16">
        <f>B9*3.14</f>
        <v>6.6725000000000003</v>
      </c>
      <c r="G9" s="17">
        <f>F9/E9</f>
        <v>148.2777777777778</v>
      </c>
      <c r="H9" s="16">
        <f>C9/10</f>
        <v>3.6</v>
      </c>
      <c r="I9" s="16">
        <v>2</v>
      </c>
      <c r="J9" s="19">
        <f>H9*G9/60</f>
        <v>8.8966666666666683</v>
      </c>
      <c r="K9" s="20">
        <f>J9+I9</f>
        <v>10.896666666666668</v>
      </c>
      <c r="L9" s="68">
        <v>225</v>
      </c>
      <c r="M9" s="69">
        <f>L9/60</f>
        <v>3.75</v>
      </c>
      <c r="N9" s="18">
        <f>ROUNDUP(K9*M9,1)</f>
        <v>40.9</v>
      </c>
      <c r="O9" s="56"/>
      <c r="P9" s="30">
        <v>125</v>
      </c>
      <c r="Q9" s="71">
        <v>0.02</v>
      </c>
      <c r="R9" s="32">
        <v>16</v>
      </c>
      <c r="S9" s="35">
        <f>N9*R9</f>
        <v>654.4</v>
      </c>
      <c r="T9" s="33">
        <f>IF(S9&gt;Y9,S9,Y9)</f>
        <v>654.4</v>
      </c>
      <c r="U9" s="33">
        <f>T9+P9</f>
        <v>779.4</v>
      </c>
      <c r="V9" s="33">
        <f>ROUNDUP(U9*Q9,0)</f>
        <v>16</v>
      </c>
      <c r="W9" s="33">
        <f t="shared" ref="W9" si="4">U9+V9</f>
        <v>795.4</v>
      </c>
      <c r="X9" s="56"/>
      <c r="Y9" s="58">
        <v>225</v>
      </c>
      <c r="Z9" s="47">
        <f>ROUNDDOWN(Y9/N9,0)</f>
        <v>5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3.5</v>
      </c>
      <c r="J14" s="67">
        <f t="shared" ref="J14" si="6">H14*G14/60</f>
        <v>0.1111111111111111</v>
      </c>
      <c r="K14" s="67">
        <f>J14+I14</f>
        <v>3.6111111111111112</v>
      </c>
      <c r="L14" s="68">
        <v>250</v>
      </c>
      <c r="M14" s="69">
        <f>L14/60</f>
        <v>4.166666666666667</v>
      </c>
      <c r="N14" s="70">
        <f>ROUNDUP(K14*M14,1)</f>
        <v>15.1</v>
      </c>
      <c r="O14" s="56"/>
      <c r="P14" s="30">
        <v>125</v>
      </c>
      <c r="Q14" s="71">
        <v>0.02</v>
      </c>
      <c r="R14" s="32">
        <v>50</v>
      </c>
      <c r="S14" s="35">
        <f>N14*R14</f>
        <v>755</v>
      </c>
      <c r="T14" s="33">
        <f>IF(S14&gt;Y14,S14,Y14)</f>
        <v>755</v>
      </c>
      <c r="U14" s="33">
        <f>T14+P14</f>
        <v>880</v>
      </c>
      <c r="V14" s="33">
        <f>ROUNDUP(U14*Q14,0)</f>
        <v>18</v>
      </c>
      <c r="W14" s="33">
        <f>U14+V14</f>
        <v>898</v>
      </c>
      <c r="X14" s="34"/>
      <c r="Y14" s="57">
        <v>250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29" x14ac:dyDescent="0.25">
      <c r="A17" s="1"/>
      <c r="B17" s="14">
        <v>9.5</v>
      </c>
      <c r="C17" s="14">
        <v>2</v>
      </c>
      <c r="D17" s="66" t="s">
        <v>0</v>
      </c>
      <c r="E17" s="16">
        <v>4.4999999999999998E-2</v>
      </c>
      <c r="F17" s="16">
        <f>B17*3.14</f>
        <v>29.830000000000002</v>
      </c>
      <c r="G17" s="17">
        <f>F17/E17</f>
        <v>662.88888888888891</v>
      </c>
      <c r="H17" s="16">
        <f>C17/10</f>
        <v>0.2</v>
      </c>
      <c r="I17" s="16">
        <v>4</v>
      </c>
      <c r="J17" s="19">
        <f>H17*G17/60</f>
        <v>2.2096296296296298</v>
      </c>
      <c r="K17" s="20">
        <f>J17+I17</f>
        <v>6.2096296296296298</v>
      </c>
      <c r="L17" s="68">
        <v>250</v>
      </c>
      <c r="M17" s="69">
        <f>L17/60</f>
        <v>4.166666666666667</v>
      </c>
      <c r="N17" s="18">
        <f>ROUNDUP(K17*M17,1)</f>
        <v>25.900000000000002</v>
      </c>
      <c r="O17" s="56"/>
      <c r="P17" s="30">
        <v>125</v>
      </c>
      <c r="Q17" s="71">
        <v>0.02</v>
      </c>
      <c r="R17" s="32">
        <v>1</v>
      </c>
      <c r="S17" s="35">
        <f>N17*R17</f>
        <v>25.900000000000002</v>
      </c>
      <c r="T17" s="33">
        <f>IF(S17&gt;Y17,S17,Y17)</f>
        <v>250</v>
      </c>
      <c r="U17" s="33">
        <f>T17+P17</f>
        <v>375</v>
      </c>
      <c r="V17" s="33">
        <f>ROUNDUP(U17*Q17,0)</f>
        <v>8</v>
      </c>
      <c r="W17" s="33">
        <f t="shared" ref="W17" si="7">U17+V17</f>
        <v>383</v>
      </c>
      <c r="X17" s="56"/>
      <c r="Y17" s="58">
        <v>250</v>
      </c>
      <c r="Z17" s="47">
        <f>ROUNDDOWN(Y17/N17,0)</f>
        <v>9</v>
      </c>
    </row>
    <row r="19" spans="1:29" ht="15.75" thickBot="1" x14ac:dyDescent="0.3"/>
    <row r="20" spans="1:29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494" t="s">
        <v>348</v>
      </c>
      <c r="W20" s="436"/>
      <c r="X20" s="436"/>
      <c r="Y20" s="436"/>
      <c r="Z20" s="1"/>
      <c r="AA20" s="460" t="s">
        <v>362</v>
      </c>
      <c r="AB20" s="461"/>
      <c r="AC20" s="461"/>
    </row>
    <row r="21" spans="1:29" ht="16.5" thickTop="1" x14ac:dyDescent="0.25">
      <c r="A21" s="373" t="s">
        <v>32</v>
      </c>
      <c r="C21" s="376">
        <v>225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200.29999999999998</v>
      </c>
      <c r="Z21" s="1"/>
      <c r="AA21" s="462" t="s">
        <v>207</v>
      </c>
      <c r="AB21" s="463"/>
      <c r="AC21" s="470">
        <f>N3</f>
        <v>26.400000000000002</v>
      </c>
    </row>
    <row r="22" spans="1:29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5</v>
      </c>
      <c r="Z22" s="1"/>
      <c r="AA22" s="464" t="s">
        <v>208</v>
      </c>
      <c r="AB22" s="1"/>
      <c r="AC22" s="471">
        <f>R3</f>
        <v>5</v>
      </c>
    </row>
    <row r="23" spans="1:29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1001.4999999999999</v>
      </c>
      <c r="Z23" s="1"/>
      <c r="AA23" s="464" t="s">
        <v>209</v>
      </c>
      <c r="AB23" s="1"/>
      <c r="AC23" s="469">
        <f>T3</f>
        <v>225</v>
      </c>
    </row>
    <row r="24" spans="1:29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23</v>
      </c>
      <c r="Z24" s="1"/>
      <c r="AA24" s="464" t="s">
        <v>210</v>
      </c>
      <c r="AB24" s="1"/>
      <c r="AC24" s="469">
        <f>V3</f>
        <v>5</v>
      </c>
    </row>
    <row r="25" spans="1:29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  <c r="AA25" s="464" t="s">
        <v>216</v>
      </c>
      <c r="AC25" s="465">
        <f>-P3</f>
        <v>0</v>
      </c>
    </row>
    <row r="26" spans="1:29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1149.5</v>
      </c>
      <c r="Z26" s="1"/>
      <c r="AA26" s="464" t="s">
        <v>211</v>
      </c>
      <c r="AB26" s="1"/>
      <c r="AC26" s="469">
        <f>W3</f>
        <v>230</v>
      </c>
    </row>
    <row r="27" spans="1:29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8" t="s">
        <v>347</v>
      </c>
    </row>
    <row r="28" spans="1:29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29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29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40.9</v>
      </c>
      <c r="Z30" s="1"/>
    </row>
    <row r="31" spans="1:29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16</v>
      </c>
      <c r="Z31" s="1"/>
    </row>
    <row r="32" spans="1:29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654.4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16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795.4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2">
    <mergeCell ref="V29:Y29"/>
    <mergeCell ref="X36:Y36"/>
  </mergeCell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D3E6-B7EA-4819-AD54-3F19E11DE37C}">
  <sheetPr>
    <tabColor rgb="FF92D050"/>
  </sheetPr>
  <dimension ref="A1:AD37"/>
  <sheetViews>
    <sheetView workbookViewId="0">
      <selection activeCell="R7" sqref="R7"/>
    </sheetView>
  </sheetViews>
  <sheetFormatPr defaultRowHeight="15" x14ac:dyDescent="0.25"/>
  <cols>
    <col min="4" max="13" width="0" hidden="1" customWidth="1"/>
    <col min="19" max="19" width="0" hidden="1" customWidth="1"/>
    <col min="20" max="20" width="10.5703125" customWidth="1"/>
    <col min="21" max="21" width="11.7109375" customWidth="1"/>
    <col min="23" max="23" width="11" customWidth="1"/>
    <col min="25" max="25" width="18.42578125" customWidth="1"/>
    <col min="28" max="28" width="21" customWidth="1"/>
    <col min="29" max="29" width="5" customWidth="1"/>
    <col min="30" max="30" width="16.2851562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0.25</v>
      </c>
      <c r="B3" s="65">
        <v>16</v>
      </c>
      <c r="C3" s="65">
        <v>16.25</v>
      </c>
      <c r="D3" s="66">
        <v>0.125</v>
      </c>
      <c r="E3" s="66">
        <v>0.1</v>
      </c>
      <c r="F3" s="66">
        <f>(A3+B3)*C3</f>
        <v>264.0625</v>
      </c>
      <c r="G3" s="66">
        <f>(A3+B3)/E3</f>
        <v>162.5</v>
      </c>
      <c r="H3" s="66">
        <f t="shared" ref="H3" si="0">C3/10</f>
        <v>1.625</v>
      </c>
      <c r="I3" s="66">
        <v>6</v>
      </c>
      <c r="J3" s="67">
        <f t="shared" ref="J3" si="1">H3*G3/60</f>
        <v>4.401041666666667</v>
      </c>
      <c r="K3" s="67">
        <f>J3+I3</f>
        <v>10.401041666666668</v>
      </c>
      <c r="L3" s="68">
        <v>250</v>
      </c>
      <c r="M3" s="69">
        <f>L3/60</f>
        <v>4.166666666666667</v>
      </c>
      <c r="N3" s="70">
        <f>ROUNDUP(K3*M3,1)</f>
        <v>43.4</v>
      </c>
      <c r="O3" s="56"/>
      <c r="P3" s="30">
        <v>0</v>
      </c>
      <c r="Q3" s="71">
        <v>0.02</v>
      </c>
      <c r="R3" s="32">
        <v>5</v>
      </c>
      <c r="S3" s="35">
        <f>N3*R3</f>
        <v>217</v>
      </c>
      <c r="T3" s="33">
        <f>IF(S3&gt;Y3,S3,Y3)</f>
        <v>250</v>
      </c>
      <c r="U3" s="33">
        <f>T3+P3</f>
        <v>250</v>
      </c>
      <c r="V3" s="33">
        <f>ROUNDUP(U3*Q3,0)</f>
        <v>5</v>
      </c>
      <c r="W3" s="33">
        <f>U3+V3</f>
        <v>255</v>
      </c>
      <c r="X3" s="34"/>
      <c r="Y3" s="57">
        <v>250</v>
      </c>
      <c r="Z3" s="36">
        <f>ROUNDDOWN(Y3/N3,0)</f>
        <v>5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2.25</v>
      </c>
      <c r="B6" s="65">
        <v>3.8</v>
      </c>
      <c r="C6" s="65">
        <v>5</v>
      </c>
      <c r="D6" s="66">
        <v>0.125</v>
      </c>
      <c r="E6" s="66">
        <v>4.4999999999999998E-2</v>
      </c>
      <c r="F6" s="66">
        <f>(A6+B6)*C6</f>
        <v>30.25</v>
      </c>
      <c r="G6" s="66">
        <f>(A6+B6)/E6</f>
        <v>134.44444444444446</v>
      </c>
      <c r="H6" s="66">
        <f t="shared" ref="H6" si="2">C6/10</f>
        <v>0.5</v>
      </c>
      <c r="I6" s="66">
        <v>3.5</v>
      </c>
      <c r="J6" s="67">
        <f t="shared" ref="J6" si="3">H6*G6/60</f>
        <v>1.1203703703703705</v>
      </c>
      <c r="K6" s="67">
        <f>J6+I6</f>
        <v>4.6203703703703702</v>
      </c>
      <c r="L6" s="68">
        <v>250</v>
      </c>
      <c r="M6" s="69">
        <f>L6/60</f>
        <v>4.166666666666667</v>
      </c>
      <c r="N6" s="70">
        <f>ROUNDUP(K6*M6,1)</f>
        <v>19.3</v>
      </c>
      <c r="O6" s="56"/>
      <c r="P6" s="30">
        <v>125</v>
      </c>
      <c r="Q6" s="71">
        <v>0.02</v>
      </c>
      <c r="R6" s="32">
        <v>11</v>
      </c>
      <c r="S6" s="35">
        <f>N6*R6</f>
        <v>212.3</v>
      </c>
      <c r="T6" s="33">
        <f>IF(S6&gt;Y6,S6,Y6)</f>
        <v>250</v>
      </c>
      <c r="U6" s="33">
        <f>T6+P6</f>
        <v>375</v>
      </c>
      <c r="V6" s="33">
        <f>ROUNDUP(U6*Q6,0)</f>
        <v>8</v>
      </c>
      <c r="W6" s="33">
        <f>U6+V6</f>
        <v>383</v>
      </c>
      <c r="X6" s="34"/>
      <c r="Y6" s="57">
        <v>250</v>
      </c>
      <c r="Z6" s="36">
        <f>ROUNDDOWN(Y6/N6,0)</f>
        <v>12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2.125</v>
      </c>
      <c r="C9" s="14">
        <v>36</v>
      </c>
      <c r="D9" s="66" t="s">
        <v>0</v>
      </c>
      <c r="E9" s="16">
        <v>4.4999999999999998E-2</v>
      </c>
      <c r="F9" s="16">
        <f>B9*3.14</f>
        <v>6.6725000000000003</v>
      </c>
      <c r="G9" s="17">
        <f>F9/E9</f>
        <v>148.2777777777778</v>
      </c>
      <c r="H9" s="16">
        <f>C9/10</f>
        <v>3.6</v>
      </c>
      <c r="I9" s="16">
        <v>2</v>
      </c>
      <c r="J9" s="19">
        <f>H9*G9/60</f>
        <v>8.8966666666666683</v>
      </c>
      <c r="K9" s="20">
        <f>J9+I9</f>
        <v>10.896666666666668</v>
      </c>
      <c r="L9" s="68">
        <v>250</v>
      </c>
      <c r="M9" s="69">
        <f>L9/60</f>
        <v>4.166666666666667</v>
      </c>
      <c r="N9" s="18">
        <f>ROUNDUP(K9*M9,1)</f>
        <v>45.5</v>
      </c>
      <c r="O9" s="56"/>
      <c r="P9" s="30">
        <v>125</v>
      </c>
      <c r="Q9" s="71">
        <v>0.02</v>
      </c>
      <c r="R9" s="32">
        <v>16</v>
      </c>
      <c r="S9" s="35">
        <f>N9*R9</f>
        <v>728</v>
      </c>
      <c r="T9" s="33">
        <f>IF(S9&gt;Y9,S9,Y9)</f>
        <v>728</v>
      </c>
      <c r="U9" s="33">
        <f>T9+P9</f>
        <v>853</v>
      </c>
      <c r="V9" s="33">
        <f>ROUNDUP(U9*Q9,0)</f>
        <v>18</v>
      </c>
      <c r="W9" s="33">
        <f t="shared" ref="W9" si="4">U9+V9</f>
        <v>871</v>
      </c>
      <c r="X9" s="56"/>
      <c r="Y9" s="58">
        <v>250</v>
      </c>
      <c r="Z9" s="47">
        <f>ROUNDDOWN(Y9/N9,0)</f>
        <v>5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3.5</v>
      </c>
      <c r="J14" s="67">
        <f t="shared" ref="J14" si="6">H14*G14/60</f>
        <v>0.1111111111111111</v>
      </c>
      <c r="K14" s="67">
        <f>J14+I14</f>
        <v>3.6111111111111112</v>
      </c>
      <c r="L14" s="68">
        <v>275</v>
      </c>
      <c r="M14" s="69">
        <f>L14/60</f>
        <v>4.583333333333333</v>
      </c>
      <c r="N14" s="70">
        <f>ROUNDUP(K14*M14,1)</f>
        <v>16.600000000000001</v>
      </c>
      <c r="O14" s="56"/>
      <c r="P14" s="30">
        <v>125</v>
      </c>
      <c r="Q14" s="71">
        <v>0.02</v>
      </c>
      <c r="R14" s="32">
        <v>50</v>
      </c>
      <c r="S14" s="35">
        <f>N14*R14</f>
        <v>830.00000000000011</v>
      </c>
      <c r="T14" s="33">
        <f>IF(S14&gt;Y14,S14,Y14)</f>
        <v>830.00000000000011</v>
      </c>
      <c r="U14" s="33">
        <f>T14+P14</f>
        <v>955.00000000000011</v>
      </c>
      <c r="V14" s="33">
        <f>ROUNDUP(U14*Q14,0)</f>
        <v>20</v>
      </c>
      <c r="W14" s="33">
        <f>U14+V14</f>
        <v>975.00000000000011</v>
      </c>
      <c r="X14" s="34"/>
      <c r="Y14" s="57">
        <v>275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A17" s="1"/>
      <c r="B17" s="14">
        <v>9.5</v>
      </c>
      <c r="C17" s="14">
        <v>2</v>
      </c>
      <c r="D17" s="66" t="s">
        <v>0</v>
      </c>
      <c r="E17" s="16">
        <v>4.4999999999999998E-2</v>
      </c>
      <c r="F17" s="16">
        <f>B17*3.14</f>
        <v>29.830000000000002</v>
      </c>
      <c r="G17" s="17">
        <f>F17/E17</f>
        <v>662.88888888888891</v>
      </c>
      <c r="H17" s="16">
        <f>C17/10</f>
        <v>0.2</v>
      </c>
      <c r="I17" s="16">
        <v>4</v>
      </c>
      <c r="J17" s="19">
        <f>H17*G17/60</f>
        <v>2.2096296296296298</v>
      </c>
      <c r="K17" s="20">
        <f>J17+I17</f>
        <v>6.2096296296296298</v>
      </c>
      <c r="L17" s="68">
        <v>275</v>
      </c>
      <c r="M17" s="69">
        <f>L17/60</f>
        <v>4.583333333333333</v>
      </c>
      <c r="N17" s="18">
        <f>ROUNDUP(K17*M17,1)</f>
        <v>28.5</v>
      </c>
      <c r="O17" s="56"/>
      <c r="P17" s="30">
        <v>125</v>
      </c>
      <c r="Q17" s="71">
        <v>0.02</v>
      </c>
      <c r="R17" s="32">
        <v>1</v>
      </c>
      <c r="S17" s="35">
        <f>N17*R17</f>
        <v>28.5</v>
      </c>
      <c r="T17" s="33">
        <f>IF(S17&gt;Y17,S17,Y17)</f>
        <v>275</v>
      </c>
      <c r="U17" s="33">
        <f>T17+P17</f>
        <v>400</v>
      </c>
      <c r="V17" s="33">
        <f>ROUNDUP(U17*Q17,0)</f>
        <v>8</v>
      </c>
      <c r="W17" s="33">
        <f t="shared" ref="W17" si="7">U17+V17</f>
        <v>408</v>
      </c>
      <c r="X17" s="56"/>
      <c r="Y17" s="58">
        <v>275</v>
      </c>
      <c r="Z17" s="47">
        <f>ROUNDDOWN(Y17/N17,0)</f>
        <v>9</v>
      </c>
    </row>
    <row r="19" spans="1:30" ht="15.75" thickBot="1" x14ac:dyDescent="0.3"/>
    <row r="20" spans="1:30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436" t="s">
        <v>348</v>
      </c>
      <c r="W20" s="436"/>
      <c r="X20" s="436"/>
      <c r="Y20" s="436"/>
      <c r="Z20" s="1"/>
      <c r="AA20" s="460" t="s">
        <v>362</v>
      </c>
      <c r="AB20" s="461"/>
      <c r="AC20" s="461"/>
      <c r="AD20" s="461"/>
    </row>
    <row r="21" spans="1:30" ht="16.5" thickTop="1" x14ac:dyDescent="0.25">
      <c r="A21" s="373" t="s">
        <v>32</v>
      </c>
      <c r="C21" s="376">
        <v>250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19.3</v>
      </c>
      <c r="Z21" s="1"/>
      <c r="AA21" s="462" t="s">
        <v>207</v>
      </c>
      <c r="AB21" s="463"/>
      <c r="AC21" s="383"/>
      <c r="AD21" s="470">
        <f>N3</f>
        <v>43.4</v>
      </c>
    </row>
    <row r="22" spans="1:30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11</v>
      </c>
      <c r="Z22" s="1"/>
      <c r="AA22" s="464" t="s">
        <v>208</v>
      </c>
      <c r="AB22" s="1"/>
      <c r="AD22" s="471">
        <f>R3</f>
        <v>5</v>
      </c>
    </row>
    <row r="23" spans="1:30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250</v>
      </c>
      <c r="Z23" s="1"/>
      <c r="AA23" s="464" t="s">
        <v>209</v>
      </c>
      <c r="AB23" s="1"/>
      <c r="AD23" s="469">
        <f>T3</f>
        <v>250</v>
      </c>
    </row>
    <row r="24" spans="1:30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8</v>
      </c>
      <c r="Z24" s="1"/>
      <c r="AA24" s="464" t="s">
        <v>210</v>
      </c>
      <c r="AB24" s="1"/>
      <c r="AD24" s="469">
        <f>V3</f>
        <v>5</v>
      </c>
    </row>
    <row r="25" spans="1:30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  <c r="AA25" s="464" t="s">
        <v>216</v>
      </c>
      <c r="AD25" s="465">
        <f>-P3</f>
        <v>0</v>
      </c>
    </row>
    <row r="26" spans="1:30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383</v>
      </c>
      <c r="Z26" s="1"/>
      <c r="AA26" s="464" t="s">
        <v>211</v>
      </c>
      <c r="AB26" s="1"/>
      <c r="AD26" s="469">
        <f>W3</f>
        <v>255</v>
      </c>
    </row>
    <row r="27" spans="1:30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7"/>
      <c r="AD27" s="468" t="s">
        <v>347</v>
      </c>
    </row>
    <row r="28" spans="1:30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30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30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45.5</v>
      </c>
      <c r="Z30" s="1"/>
    </row>
    <row r="31" spans="1:30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16</v>
      </c>
      <c r="Z31" s="1"/>
    </row>
    <row r="32" spans="1:30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728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18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871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2">
    <mergeCell ref="V29:Y29"/>
    <mergeCell ref="X36:Y36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B2DE-1914-46D7-B02B-67B6793E4043}">
  <sheetPr>
    <tabColor rgb="FF00B0F0"/>
  </sheetPr>
  <dimension ref="A1:AK33"/>
  <sheetViews>
    <sheetView workbookViewId="0">
      <selection activeCell="Q16" sqref="Q16"/>
    </sheetView>
  </sheetViews>
  <sheetFormatPr defaultRowHeight="15" x14ac:dyDescent="0.25"/>
  <cols>
    <col min="1" max="1" width="18.28515625" customWidth="1"/>
    <col min="4" max="13" width="0" hidden="1" customWidth="1"/>
    <col min="14" max="14" width="13.140625" hidden="1" customWidth="1"/>
    <col min="15" max="15" width="0" hidden="1" customWidth="1"/>
    <col min="16" max="16" width="10.5703125" customWidth="1"/>
    <col min="18" max="18" width="12.7109375" customWidth="1"/>
    <col min="19" max="19" width="14.5703125" customWidth="1"/>
    <col min="20" max="20" width="16.42578125" customWidth="1"/>
    <col min="24" max="24" width="12.5703125" customWidth="1"/>
    <col min="25" max="25" width="12.140625" customWidth="1"/>
    <col min="26" max="26" width="18.42578125" customWidth="1"/>
    <col min="27" max="27" width="15.42578125" customWidth="1"/>
    <col min="29" max="29" width="11.5703125" customWidth="1"/>
    <col min="33" max="33" width="11.7109375" customWidth="1"/>
    <col min="35" max="35" width="15.42578125" customWidth="1"/>
  </cols>
  <sheetData>
    <row r="1" spans="1:37" ht="21" x14ac:dyDescent="0.25">
      <c r="A1" s="9" t="s">
        <v>240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93"/>
      <c r="AA1" s="21"/>
      <c r="AB1" s="21"/>
      <c r="AC1" s="22"/>
      <c r="AD1" s="22"/>
      <c r="AE1" s="22"/>
      <c r="AF1" s="22"/>
      <c r="AG1" s="22"/>
      <c r="AH1" s="75"/>
      <c r="AI1" s="22"/>
      <c r="AJ1" s="22"/>
      <c r="AK1" s="88"/>
    </row>
    <row r="2" spans="1:37" ht="60" x14ac:dyDescent="0.25">
      <c r="A2" s="2" t="s">
        <v>217</v>
      </c>
      <c r="B2" s="2" t="s">
        <v>218</v>
      </c>
      <c r="C2" s="2" t="s">
        <v>173</v>
      </c>
      <c r="D2" s="322" t="s">
        <v>2</v>
      </c>
      <c r="E2" s="322" t="s">
        <v>219</v>
      </c>
      <c r="F2" s="322" t="s">
        <v>20</v>
      </c>
      <c r="G2" s="2" t="s">
        <v>1</v>
      </c>
      <c r="H2" s="2" t="s">
        <v>220</v>
      </c>
      <c r="I2" s="322" t="s">
        <v>221</v>
      </c>
      <c r="J2" s="322" t="s">
        <v>222</v>
      </c>
      <c r="K2" s="322" t="s">
        <v>223</v>
      </c>
      <c r="L2" s="322" t="s">
        <v>224</v>
      </c>
      <c r="M2" s="322" t="s">
        <v>225</v>
      </c>
      <c r="N2" s="322" t="s">
        <v>226</v>
      </c>
      <c r="O2" s="322" t="s">
        <v>9</v>
      </c>
      <c r="P2" s="322" t="s">
        <v>457</v>
      </c>
      <c r="Q2" s="322" t="s">
        <v>455</v>
      </c>
      <c r="R2" s="322" t="s">
        <v>459</v>
      </c>
      <c r="S2" s="322" t="s">
        <v>458</v>
      </c>
      <c r="T2" s="322" t="s">
        <v>456</v>
      </c>
      <c r="U2" s="322" t="s">
        <v>460</v>
      </c>
      <c r="V2" s="322" t="s">
        <v>10</v>
      </c>
      <c r="W2" s="322" t="s">
        <v>24</v>
      </c>
      <c r="X2" s="322" t="s">
        <v>25</v>
      </c>
      <c r="Y2" s="521" t="s">
        <v>441</v>
      </c>
      <c r="Z2" s="195" t="s">
        <v>230</v>
      </c>
      <c r="AA2" s="323" t="s">
        <v>204</v>
      </c>
      <c r="AB2" s="38" t="s">
        <v>29</v>
      </c>
      <c r="AC2" s="37" t="s">
        <v>34</v>
      </c>
      <c r="AD2" s="38" t="s">
        <v>27</v>
      </c>
      <c r="AE2" s="37" t="s">
        <v>465</v>
      </c>
      <c r="AF2" s="38" t="s">
        <v>39</v>
      </c>
      <c r="AG2" s="38" t="s">
        <v>30</v>
      </c>
      <c r="AH2" s="74" t="s">
        <v>36</v>
      </c>
      <c r="AI2" s="38" t="s">
        <v>31</v>
      </c>
      <c r="AJ2" s="37" t="s">
        <v>32</v>
      </c>
      <c r="AK2" s="41" t="s">
        <v>33</v>
      </c>
    </row>
    <row r="3" spans="1:37" x14ac:dyDescent="0.25">
      <c r="A3" s="65">
        <v>15.125</v>
      </c>
      <c r="B3" s="65">
        <v>7.8</v>
      </c>
      <c r="C3" s="65">
        <v>10.625</v>
      </c>
      <c r="D3" s="66" t="s">
        <v>0</v>
      </c>
      <c r="E3" s="66">
        <f>(A3-B3)/2</f>
        <v>3.6625000000000001</v>
      </c>
      <c r="F3" s="66">
        <f>A3*3.14159265359</f>
        <v>47.516588885548749</v>
      </c>
      <c r="G3" s="66">
        <v>0.05</v>
      </c>
      <c r="H3" s="66">
        <v>3.1415926535900001</v>
      </c>
      <c r="I3" s="66">
        <f>(A3+B3)*C3</f>
        <v>243.578125</v>
      </c>
      <c r="J3" s="66">
        <f>E3*F3</f>
        <v>174.0295067933223</v>
      </c>
      <c r="K3" s="66">
        <f>C3/G3</f>
        <v>212.5</v>
      </c>
      <c r="L3" s="66">
        <f>E3/G3</f>
        <v>73.25</v>
      </c>
      <c r="M3" s="66">
        <f>F3/10</f>
        <v>4.7516588885548749</v>
      </c>
      <c r="N3" s="66">
        <f>F3/10</f>
        <v>4.7516588885548749</v>
      </c>
      <c r="O3" s="66">
        <v>10</v>
      </c>
      <c r="P3" s="67">
        <f t="shared" ref="P3" si="0">M3*K3/60</f>
        <v>16.828791896965182</v>
      </c>
      <c r="Q3" s="67">
        <v>3</v>
      </c>
      <c r="R3" s="67">
        <f>P3*Q3</f>
        <v>50.486375690895542</v>
      </c>
      <c r="S3" s="67">
        <f>N3*L3/60</f>
        <v>5.8009835597774098</v>
      </c>
      <c r="T3" s="67">
        <v>2</v>
      </c>
      <c r="U3" s="67">
        <f>+S3*T3</f>
        <v>11.60196711955482</v>
      </c>
      <c r="V3" s="67">
        <f>R3+O3+U3</f>
        <v>72.088342810450357</v>
      </c>
      <c r="W3" s="68">
        <v>250</v>
      </c>
      <c r="X3" s="69">
        <f>W3/60</f>
        <v>4.166666666666667</v>
      </c>
      <c r="Y3" s="522" t="s">
        <v>156</v>
      </c>
      <c r="Z3" s="70">
        <f>AA3</f>
        <v>300.40000000000003</v>
      </c>
      <c r="AA3" s="70">
        <f>ROUNDUP(V3*X3,1)</f>
        <v>300.40000000000003</v>
      </c>
      <c r="AB3" s="32">
        <v>12</v>
      </c>
      <c r="AC3" s="33">
        <f>Z3*AB3</f>
        <v>3604.8</v>
      </c>
      <c r="AD3" s="30">
        <v>150</v>
      </c>
      <c r="AE3" s="30">
        <v>450</v>
      </c>
      <c r="AF3" s="79">
        <v>0.02</v>
      </c>
      <c r="AG3" s="33">
        <f>AC3+AD3</f>
        <v>3754.8</v>
      </c>
      <c r="AH3" s="77">
        <f>ROUNDUP(AG3*AF3,0)</f>
        <v>76</v>
      </c>
      <c r="AI3" s="33">
        <f>AG3+AH3+AE3</f>
        <v>4280.8</v>
      </c>
      <c r="AJ3" s="57">
        <v>225</v>
      </c>
      <c r="AK3" s="78">
        <f>ROUNDDOWN(AJ3/Z3,0)</f>
        <v>0</v>
      </c>
    </row>
    <row r="5" spans="1:37" ht="21" x14ac:dyDescent="0.25">
      <c r="B5" s="80" t="s">
        <v>451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2"/>
      <c r="P5" s="82"/>
      <c r="Q5" s="82"/>
      <c r="R5" s="83"/>
      <c r="S5" s="84"/>
      <c r="T5" s="85"/>
      <c r="U5" s="83"/>
      <c r="V5" s="86"/>
      <c r="W5" s="83"/>
      <c r="X5" s="82"/>
      <c r="Y5" s="87"/>
    </row>
    <row r="6" spans="1:37" ht="45" x14ac:dyDescent="0.25">
      <c r="B6" s="4" t="s">
        <v>13</v>
      </c>
      <c r="C6" s="4" t="s">
        <v>7</v>
      </c>
      <c r="D6" s="2" t="s">
        <v>2</v>
      </c>
      <c r="E6" s="4" t="s">
        <v>1</v>
      </c>
      <c r="F6" s="5" t="s">
        <v>20</v>
      </c>
      <c r="G6" s="4" t="s">
        <v>14</v>
      </c>
      <c r="H6" s="4" t="s">
        <v>15</v>
      </c>
      <c r="I6" s="4" t="s">
        <v>17</v>
      </c>
      <c r="J6" s="4" t="s">
        <v>16</v>
      </c>
      <c r="K6" s="4" t="s">
        <v>18</v>
      </c>
      <c r="L6" s="2" t="s">
        <v>24</v>
      </c>
      <c r="M6" s="2" t="s">
        <v>25</v>
      </c>
      <c r="N6" s="6" t="s">
        <v>464</v>
      </c>
      <c r="O6" s="530" t="s">
        <v>463</v>
      </c>
      <c r="P6" s="530" t="s">
        <v>235</v>
      </c>
      <c r="Q6" s="38" t="s">
        <v>29</v>
      </c>
      <c r="R6" s="38" t="s">
        <v>203</v>
      </c>
      <c r="S6" s="44" t="s">
        <v>34</v>
      </c>
      <c r="T6" s="42" t="s">
        <v>27</v>
      </c>
      <c r="U6" s="42" t="s">
        <v>465</v>
      </c>
      <c r="V6" s="73" t="s">
        <v>39</v>
      </c>
      <c r="W6" s="44" t="s">
        <v>30</v>
      </c>
      <c r="X6" s="45" t="s">
        <v>36</v>
      </c>
      <c r="Y6" s="44" t="s">
        <v>31</v>
      </c>
      <c r="Z6" s="37" t="s">
        <v>32</v>
      </c>
      <c r="AA6" s="41" t="s">
        <v>33</v>
      </c>
    </row>
    <row r="7" spans="1:37" x14ac:dyDescent="0.25">
      <c r="B7" s="14">
        <v>6.25</v>
      </c>
      <c r="C7" s="14">
        <v>72</v>
      </c>
      <c r="D7" s="7" t="s">
        <v>0</v>
      </c>
      <c r="E7" s="16">
        <v>0.14499999999999999</v>
      </c>
      <c r="F7" s="16">
        <f>B7*3.14</f>
        <v>19.625</v>
      </c>
      <c r="G7" s="17">
        <f>F7/E7</f>
        <v>135.34482758620692</v>
      </c>
      <c r="H7" s="16">
        <f>C7/10</f>
        <v>7.2</v>
      </c>
      <c r="I7" s="16">
        <v>5</v>
      </c>
      <c r="J7" s="19">
        <f>H7*G7/60</f>
        <v>16.241379310344833</v>
      </c>
      <c r="K7" s="20">
        <f>J7+I7</f>
        <v>21.241379310344833</v>
      </c>
      <c r="L7" s="11">
        <v>250</v>
      </c>
      <c r="M7" s="12">
        <f>L7/60</f>
        <v>4.166666666666667</v>
      </c>
      <c r="N7" s="18">
        <f>ROUNDUP(K7*M7,1)</f>
        <v>88.6</v>
      </c>
      <c r="O7" s="531">
        <f>L11</f>
        <v>89.7</v>
      </c>
      <c r="P7" s="531">
        <f>IF(N7&gt;O7,N7,O7)</f>
        <v>89.7</v>
      </c>
      <c r="Q7" s="32">
        <v>10</v>
      </c>
      <c r="R7" s="35">
        <f>W7+T7</f>
        <v>1047</v>
      </c>
      <c r="S7" s="33">
        <f>P7*Q7</f>
        <v>897</v>
      </c>
      <c r="T7" s="30">
        <v>150</v>
      </c>
      <c r="U7" s="30">
        <v>0</v>
      </c>
      <c r="V7" s="79">
        <v>0.02</v>
      </c>
      <c r="W7" s="33">
        <f>IF(S7&gt;Z7, S7, Z7)</f>
        <v>897</v>
      </c>
      <c r="X7" s="77">
        <f>ROUNDUP(W7*V7,0)</f>
        <v>18</v>
      </c>
      <c r="Y7" s="33">
        <f>IF(R7&gt;Z7,R7,Z7)</f>
        <v>1047</v>
      </c>
      <c r="Z7" s="57">
        <v>250</v>
      </c>
      <c r="AA7" s="78">
        <f>ROUNDDOWN(Z7/N7,0)</f>
        <v>2</v>
      </c>
    </row>
    <row r="9" spans="1:37" ht="75" hidden="1" x14ac:dyDescent="0.25">
      <c r="A9" s="95" t="s">
        <v>178</v>
      </c>
      <c r="B9" s="246" t="s">
        <v>176</v>
      </c>
      <c r="C9" s="95" t="s">
        <v>173</v>
      </c>
      <c r="D9" s="95" t="s">
        <v>170</v>
      </c>
      <c r="E9" s="95" t="s">
        <v>171</v>
      </c>
      <c r="F9" s="246" t="s">
        <v>175</v>
      </c>
      <c r="G9" s="95" t="s">
        <v>172</v>
      </c>
      <c r="H9" s="95" t="s">
        <v>174</v>
      </c>
      <c r="I9" s="246" t="s">
        <v>177</v>
      </c>
      <c r="K9" s="184" t="s">
        <v>185</v>
      </c>
      <c r="L9" s="184" t="s">
        <v>186</v>
      </c>
    </row>
    <row r="10" spans="1:37" hidden="1" x14ac:dyDescent="0.25">
      <c r="A10" s="232" t="s">
        <v>179</v>
      </c>
      <c r="B10" s="251">
        <v>13</v>
      </c>
      <c r="C10" s="161">
        <v>144</v>
      </c>
      <c r="D10" s="251">
        <f>B10/2</f>
        <v>6.5</v>
      </c>
      <c r="E10" s="161">
        <v>3.1415926535900001</v>
      </c>
      <c r="F10" s="161">
        <f>E10*(D10^2)</f>
        <v>132.73228961417749</v>
      </c>
      <c r="G10" s="161">
        <f>F10*C10</f>
        <v>19113.449704441558</v>
      </c>
      <c r="H10" s="161">
        <v>0.28299999999999997</v>
      </c>
      <c r="I10" s="233">
        <f>G10*H10</f>
        <v>5409.106266356961</v>
      </c>
      <c r="K10" s="257">
        <v>0.14000000000000001</v>
      </c>
      <c r="L10" s="256">
        <f>ROUND(K10*I10, 1)</f>
        <v>757.3</v>
      </c>
    </row>
    <row r="11" spans="1:37" hidden="1" x14ac:dyDescent="0.25">
      <c r="A11" s="234" t="s">
        <v>180</v>
      </c>
      <c r="B11" s="252">
        <f>B7</f>
        <v>6.25</v>
      </c>
      <c r="C11" s="235">
        <f>C7</f>
        <v>72</v>
      </c>
      <c r="D11" s="252">
        <f>B11/2</f>
        <v>3.125</v>
      </c>
      <c r="E11" s="235">
        <v>3.1415926535900001</v>
      </c>
      <c r="F11" s="235">
        <f t="shared" ref="F11:F14" si="1">E11*(D11^2)</f>
        <v>30.679615757714846</v>
      </c>
      <c r="G11" s="235">
        <f>F11*C11</f>
        <v>2208.932334555469</v>
      </c>
      <c r="H11" s="235">
        <v>0.28999999999999998</v>
      </c>
      <c r="I11" s="236">
        <f>G11*H11</f>
        <v>640.59037702108594</v>
      </c>
      <c r="K11" s="257">
        <v>0.14000000000000001</v>
      </c>
      <c r="L11" s="256">
        <f>ROUND(K11*I11, 1)</f>
        <v>89.7</v>
      </c>
    </row>
    <row r="12" spans="1:37" hidden="1" x14ac:dyDescent="0.25">
      <c r="A12" s="237" t="s">
        <v>181</v>
      </c>
      <c r="B12" s="253">
        <v>13</v>
      </c>
      <c r="C12" s="238">
        <v>144</v>
      </c>
      <c r="D12" s="253">
        <f>B12/2</f>
        <v>6.5</v>
      </c>
      <c r="E12" s="238">
        <v>3.1415926535900001</v>
      </c>
      <c r="F12" s="238">
        <f t="shared" si="1"/>
        <v>132.73228961417749</v>
      </c>
      <c r="G12" s="238">
        <f>F12*C12</f>
        <v>19113.449704441558</v>
      </c>
      <c r="H12" s="238">
        <v>0.1</v>
      </c>
      <c r="I12" s="239">
        <f>G12*H12</f>
        <v>1911.3449704441559</v>
      </c>
      <c r="K12" s="257">
        <v>0.2</v>
      </c>
      <c r="L12" s="256">
        <f t="shared" ref="L12:L14" si="2">ROUND(K12*I12, 2)</f>
        <v>382.27</v>
      </c>
    </row>
    <row r="13" spans="1:37" hidden="1" x14ac:dyDescent="0.25">
      <c r="A13" s="240" t="s">
        <v>182</v>
      </c>
      <c r="B13" s="254">
        <v>13</v>
      </c>
      <c r="C13" s="241">
        <v>144</v>
      </c>
      <c r="D13" s="254">
        <f>B13/2</f>
        <v>6.5</v>
      </c>
      <c r="E13" s="241">
        <v>3.1415926535900001</v>
      </c>
      <c r="F13" s="241">
        <f t="shared" si="1"/>
        <v>132.73228961417749</v>
      </c>
      <c r="G13" s="241">
        <f>F13*C13</f>
        <v>19113.449704441558</v>
      </c>
      <c r="H13" s="241">
        <v>0.16</v>
      </c>
      <c r="I13" s="242">
        <f>G13*H13</f>
        <v>3058.1519527106493</v>
      </c>
      <c r="K13" s="257">
        <v>0.26</v>
      </c>
      <c r="L13" s="256">
        <f t="shared" si="2"/>
        <v>795.12</v>
      </c>
    </row>
    <row r="14" spans="1:37" hidden="1" x14ac:dyDescent="0.25">
      <c r="A14" s="243" t="s">
        <v>187</v>
      </c>
      <c r="B14" s="255">
        <v>13</v>
      </c>
      <c r="C14" s="244">
        <v>144</v>
      </c>
      <c r="D14" s="255">
        <f>B14/2</f>
        <v>6.5</v>
      </c>
      <c r="E14" s="244">
        <v>3.1415926535900001</v>
      </c>
      <c r="F14" s="244">
        <f t="shared" si="1"/>
        <v>132.73228961417749</v>
      </c>
      <c r="G14" s="244">
        <f>F14*C14</f>
        <v>19113.449704441558</v>
      </c>
      <c r="H14" s="244">
        <v>0.29649999999999999</v>
      </c>
      <c r="I14" s="245">
        <f>G14*H14</f>
        <v>5667.1378373669222</v>
      </c>
      <c r="K14" s="257">
        <v>0.14000000000000001</v>
      </c>
      <c r="L14" s="256">
        <f t="shared" si="2"/>
        <v>793.4</v>
      </c>
    </row>
    <row r="15" spans="1:37" ht="24" thickBot="1" x14ac:dyDescent="0.4">
      <c r="A15" s="171"/>
      <c r="B15" s="172" t="s">
        <v>119</v>
      </c>
      <c r="C15" s="173"/>
      <c r="Q15" s="494" t="s">
        <v>467</v>
      </c>
      <c r="R15" s="436"/>
      <c r="S15" s="436"/>
      <c r="T15" s="436"/>
    </row>
    <row r="16" spans="1:37" ht="16.5" thickTop="1" x14ac:dyDescent="0.25">
      <c r="A16" s="174" t="s">
        <v>32</v>
      </c>
      <c r="C16" s="175">
        <v>225</v>
      </c>
      <c r="Q16" s="362" t="s">
        <v>207</v>
      </c>
      <c r="R16" s="363"/>
      <c r="S16" s="352"/>
      <c r="T16" s="364">
        <f>Z3</f>
        <v>300.40000000000003</v>
      </c>
    </row>
    <row r="17" spans="1:20" ht="15.75" x14ac:dyDescent="0.25">
      <c r="A17" s="174" t="s">
        <v>120</v>
      </c>
      <c r="C17" s="175">
        <v>150</v>
      </c>
      <c r="Q17" s="365" t="s">
        <v>208</v>
      </c>
      <c r="R17" s="1"/>
      <c r="T17" s="366">
        <f>AB3</f>
        <v>12</v>
      </c>
    </row>
    <row r="18" spans="1:20" ht="15.75" x14ac:dyDescent="0.25">
      <c r="A18" s="174" t="s">
        <v>36</v>
      </c>
      <c r="C18" s="200" t="s">
        <v>122</v>
      </c>
      <c r="Q18" s="365" t="s">
        <v>209</v>
      </c>
      <c r="R18" s="1"/>
      <c r="T18" s="367">
        <f>AC3</f>
        <v>3604.8</v>
      </c>
    </row>
    <row r="19" spans="1:20" ht="15.75" x14ac:dyDescent="0.25">
      <c r="A19" s="174" t="s">
        <v>121</v>
      </c>
      <c r="C19" s="176" t="s">
        <v>123</v>
      </c>
      <c r="Q19" s="365" t="s">
        <v>210</v>
      </c>
      <c r="R19" s="1"/>
      <c r="T19" s="367">
        <f>AH3</f>
        <v>76</v>
      </c>
    </row>
    <row r="20" spans="1:20" ht="15.75" x14ac:dyDescent="0.25">
      <c r="A20" s="177" t="s">
        <v>124</v>
      </c>
      <c r="B20" s="178"/>
      <c r="C20" s="179">
        <v>100</v>
      </c>
      <c r="Q20" s="365" t="s">
        <v>216</v>
      </c>
      <c r="T20" s="368">
        <f>AD3</f>
        <v>150</v>
      </c>
    </row>
    <row r="21" spans="1:20" ht="15.75" x14ac:dyDescent="0.25">
      <c r="Q21" s="365" t="s">
        <v>466</v>
      </c>
      <c r="T21" s="368">
        <f>AE3</f>
        <v>450</v>
      </c>
    </row>
    <row r="22" spans="1:20" ht="15.75" x14ac:dyDescent="0.25">
      <c r="Q22" s="365" t="s">
        <v>211</v>
      </c>
      <c r="R22" s="1"/>
      <c r="T22" s="367">
        <f>AI3</f>
        <v>4280.8</v>
      </c>
    </row>
    <row r="23" spans="1:20" ht="16.5" thickBot="1" x14ac:dyDescent="0.3">
      <c r="Q23" s="369" t="s">
        <v>346</v>
      </c>
      <c r="R23" s="354"/>
      <c r="S23" s="437"/>
      <c r="T23" s="438" t="s">
        <v>347</v>
      </c>
    </row>
    <row r="24" spans="1:20" ht="15.75" thickTop="1" x14ac:dyDescent="0.25">
      <c r="S24" s="1"/>
      <c r="T24" s="1"/>
    </row>
    <row r="25" spans="1:20" ht="24" thickBot="1" x14ac:dyDescent="0.4">
      <c r="Q25" s="541" t="s">
        <v>284</v>
      </c>
      <c r="R25" s="541"/>
      <c r="S25" s="541"/>
      <c r="T25" s="541"/>
    </row>
    <row r="26" spans="1:20" ht="16.5" thickTop="1" x14ac:dyDescent="0.25">
      <c r="Q26" s="362" t="s">
        <v>207</v>
      </c>
      <c r="R26" s="363"/>
      <c r="S26" s="352"/>
      <c r="T26" s="364">
        <f>P7</f>
        <v>89.7</v>
      </c>
    </row>
    <row r="27" spans="1:20" ht="15.75" x14ac:dyDescent="0.25">
      <c r="Q27" s="365" t="s">
        <v>208</v>
      </c>
      <c r="R27" s="1"/>
      <c r="T27" s="366">
        <f>Q7</f>
        <v>10</v>
      </c>
    </row>
    <row r="28" spans="1:20" ht="15.75" x14ac:dyDescent="0.25">
      <c r="Q28" s="365" t="s">
        <v>209</v>
      </c>
      <c r="R28" s="1"/>
      <c r="T28" s="367">
        <f>S7</f>
        <v>897</v>
      </c>
    </row>
    <row r="29" spans="1:20" ht="15.75" x14ac:dyDescent="0.25">
      <c r="Q29" s="365" t="s">
        <v>210</v>
      </c>
      <c r="R29" s="1"/>
      <c r="T29" s="367">
        <f>X7</f>
        <v>18</v>
      </c>
    </row>
    <row r="30" spans="1:20" ht="15.75" x14ac:dyDescent="0.25">
      <c r="Q30" s="365" t="s">
        <v>216</v>
      </c>
      <c r="T30" s="368">
        <f>T7</f>
        <v>150</v>
      </c>
    </row>
    <row r="31" spans="1:20" ht="15.75" x14ac:dyDescent="0.25">
      <c r="Q31" s="365" t="s">
        <v>211</v>
      </c>
      <c r="R31" s="1"/>
      <c r="T31" s="367">
        <f>Y7</f>
        <v>1047</v>
      </c>
    </row>
    <row r="32" spans="1:20" ht="16.5" thickBot="1" x14ac:dyDescent="0.3">
      <c r="Q32" s="369" t="s">
        <v>346</v>
      </c>
      <c r="R32" s="354"/>
      <c r="S32" s="539" t="s">
        <v>347</v>
      </c>
      <c r="T32" s="540"/>
    </row>
    <row r="33" ht="15.75" thickTop="1" x14ac:dyDescent="0.25"/>
  </sheetData>
  <mergeCells count="2">
    <mergeCell ref="Q25:T25"/>
    <mergeCell ref="S32:T32"/>
  </mergeCells>
  <conditionalFormatting sqref="I10:I14">
    <cfRule type="cellIs" dxfId="66" priority="1" operator="greaterThan">
      <formula>$Q$19</formula>
    </cfRule>
  </conditionalFormatting>
  <conditionalFormatting sqref="I14">
    <cfRule type="cellIs" dxfId="65" priority="7" operator="greaterThan">
      <formula>6296.819819</formula>
    </cfRule>
    <cfRule type="cellIs" dxfId="64" priority="8" operator="greaterThan">
      <formula>$Q$19</formula>
    </cfRule>
  </conditionalFormatting>
  <conditionalFormatting sqref="L14">
    <cfRule type="cellIs" dxfId="63" priority="2" operator="greaterThan">
      <formula>960</formula>
    </cfRule>
    <cfRule type="cellIs" priority="3" operator="greaterThan">
      <formula>960</formula>
    </cfRule>
    <cfRule type="expression" priority="4">
      <formula>$K$23</formula>
    </cfRule>
    <cfRule type="aboveAverage" priority="5" aboveAverage="0"/>
    <cfRule type="expression" priority="6">
      <formula>"IF K28 IS RED"</formula>
    </cfRule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2014-5F51-4732-98D2-6243D2CACC5C}">
  <sheetPr>
    <tabColor rgb="FF92D050"/>
  </sheetPr>
  <dimension ref="A1:AC38"/>
  <sheetViews>
    <sheetView workbookViewId="0">
      <selection activeCell="N33" sqref="N33"/>
    </sheetView>
  </sheetViews>
  <sheetFormatPr defaultRowHeight="15" x14ac:dyDescent="0.25"/>
  <cols>
    <col min="4" max="8" width="0" hidden="1" customWidth="1"/>
    <col min="17" max="17" width="0" hidden="1" customWidth="1"/>
    <col min="23" max="23" width="11.7109375" customWidth="1"/>
    <col min="24" max="24" width="16.42578125" customWidth="1"/>
    <col min="28" max="28" width="11.85546875" customWidth="1"/>
    <col min="29" max="29" width="17.140625" customWidth="1"/>
  </cols>
  <sheetData>
    <row r="1" spans="1:26" ht="26.25" x14ac:dyDescent="0.25">
      <c r="A1" s="134" t="s">
        <v>412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358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1</v>
      </c>
      <c r="B3" s="65">
        <v>23</v>
      </c>
      <c r="C3" s="65">
        <v>25</v>
      </c>
      <c r="D3" s="66">
        <v>0.125</v>
      </c>
      <c r="E3" s="66">
        <v>0.1</v>
      </c>
      <c r="F3" s="66">
        <f>(A3+B3)*C3</f>
        <v>600</v>
      </c>
      <c r="G3" s="66">
        <f>(A3+B3)/E3</f>
        <v>240</v>
      </c>
      <c r="H3" s="66">
        <f t="shared" ref="H3" si="0">C3/10</f>
        <v>2.5</v>
      </c>
      <c r="I3" s="66">
        <v>6</v>
      </c>
      <c r="J3" s="67">
        <f t="shared" ref="J3" si="1">H3*G3/60</f>
        <v>10</v>
      </c>
      <c r="K3" s="67">
        <f>J3+I3</f>
        <v>16</v>
      </c>
      <c r="L3" s="68">
        <v>250</v>
      </c>
      <c r="M3" s="69">
        <f>L3/60</f>
        <v>4.166666666666667</v>
      </c>
      <c r="N3" s="70">
        <f>ROUNDUP(K3*M3,1)</f>
        <v>66.699999999999989</v>
      </c>
      <c r="O3" s="56"/>
      <c r="P3" s="30">
        <v>125</v>
      </c>
      <c r="Q3" s="71">
        <v>0.02</v>
      </c>
      <c r="R3" s="32">
        <v>4</v>
      </c>
      <c r="S3" s="35">
        <f>N3*R3</f>
        <v>266.79999999999995</v>
      </c>
      <c r="T3" s="33">
        <f>IF(S3&gt;Y3,S3,Y3)</f>
        <v>266.79999999999995</v>
      </c>
      <c r="U3" s="33">
        <f>T3+P3</f>
        <v>391.79999999999995</v>
      </c>
      <c r="V3" s="33">
        <f>ROUNDUP(U3*Q3,0)</f>
        <v>8</v>
      </c>
      <c r="W3" s="33">
        <f t="shared" ref="W3" si="2">U3+V3</f>
        <v>399.79999999999995</v>
      </c>
      <c r="X3" s="34"/>
      <c r="Y3" s="57">
        <v>250</v>
      </c>
      <c r="Z3" s="36">
        <f>ROUNDDOWN(Y3/N3,0)</f>
        <v>3</v>
      </c>
    </row>
    <row r="5" spans="1:26" ht="26.25" x14ac:dyDescent="0.25">
      <c r="A5" s="134" t="s">
        <v>312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82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88"/>
    </row>
    <row r="6" spans="1:26" ht="30" x14ac:dyDescent="0.25">
      <c r="A6" s="111" t="s">
        <v>23</v>
      </c>
      <c r="B6" s="111" t="s">
        <v>8</v>
      </c>
      <c r="C6" s="111" t="s">
        <v>7</v>
      </c>
      <c r="D6" s="111" t="s">
        <v>2</v>
      </c>
      <c r="E6" s="111" t="s">
        <v>1</v>
      </c>
      <c r="F6" s="111" t="s">
        <v>6</v>
      </c>
      <c r="G6" s="111" t="s">
        <v>3</v>
      </c>
      <c r="H6" s="111" t="s">
        <v>21</v>
      </c>
      <c r="I6" s="111" t="s">
        <v>9</v>
      </c>
      <c r="J6" s="111" t="s">
        <v>4</v>
      </c>
      <c r="K6" s="111" t="s">
        <v>10</v>
      </c>
      <c r="L6" s="111" t="s">
        <v>24</v>
      </c>
      <c r="M6" s="111" t="s">
        <v>25</v>
      </c>
      <c r="N6" s="112" t="s">
        <v>5</v>
      </c>
      <c r="O6" s="39"/>
      <c r="P6" s="113" t="s">
        <v>27</v>
      </c>
      <c r="Q6" s="113" t="s">
        <v>38</v>
      </c>
      <c r="R6" s="114" t="s">
        <v>35</v>
      </c>
      <c r="S6" s="114" t="s">
        <v>358</v>
      </c>
      <c r="T6" s="114" t="s">
        <v>34</v>
      </c>
      <c r="U6" s="114" t="s">
        <v>30</v>
      </c>
      <c r="V6" s="113" t="s">
        <v>36</v>
      </c>
      <c r="W6" s="115" t="s">
        <v>31</v>
      </c>
      <c r="X6" s="113"/>
      <c r="Y6" s="113" t="s">
        <v>32</v>
      </c>
      <c r="Z6" s="114" t="s">
        <v>33</v>
      </c>
    </row>
    <row r="7" spans="1:26" x14ac:dyDescent="0.25">
      <c r="A7" s="65">
        <v>0.75</v>
      </c>
      <c r="B7" s="65">
        <v>1.5</v>
      </c>
      <c r="C7" s="65">
        <v>1.625</v>
      </c>
      <c r="D7" s="66">
        <v>0.125</v>
      </c>
      <c r="E7" s="66">
        <v>0.05</v>
      </c>
      <c r="F7" s="66">
        <f>(A7+B7)*C7</f>
        <v>3.65625</v>
      </c>
      <c r="G7" s="66">
        <f>(A7+B7)/E7</f>
        <v>45</v>
      </c>
      <c r="H7" s="66">
        <f t="shared" ref="H7" si="3">C7/10</f>
        <v>0.16250000000000001</v>
      </c>
      <c r="I7" s="66">
        <v>2.5</v>
      </c>
      <c r="J7" s="67">
        <f t="shared" ref="J7" si="4">H7*G7/60</f>
        <v>0.121875</v>
      </c>
      <c r="K7" s="67">
        <f>J7+I7</f>
        <v>2.6218750000000002</v>
      </c>
      <c r="L7" s="68">
        <v>250</v>
      </c>
      <c r="M7" s="69">
        <f>L7/60</f>
        <v>4.166666666666667</v>
      </c>
      <c r="N7" s="70">
        <f>ROUNDUP(K7*M7,1)</f>
        <v>11</v>
      </c>
      <c r="O7" s="56"/>
      <c r="P7" s="30">
        <v>125</v>
      </c>
      <c r="Q7" s="71">
        <v>0.02</v>
      </c>
      <c r="R7" s="32">
        <v>17</v>
      </c>
      <c r="S7" s="35">
        <f>N7*R7</f>
        <v>187</v>
      </c>
      <c r="T7" s="33">
        <f>IF(S7&gt;Y7,S7,Y7)</f>
        <v>250</v>
      </c>
      <c r="U7" s="33">
        <f>T7+P7</f>
        <v>375</v>
      </c>
      <c r="V7" s="33">
        <f>ROUNDUP(U7*Q7,0)</f>
        <v>8</v>
      </c>
      <c r="W7" s="33">
        <f t="shared" ref="W7" si="5">U7+V7</f>
        <v>383</v>
      </c>
      <c r="X7" s="34"/>
      <c r="Y7" s="57">
        <v>250</v>
      </c>
      <c r="Z7" s="36">
        <f>ROUNDDOWN(Y7/N7,0)</f>
        <v>22</v>
      </c>
    </row>
    <row r="8" spans="1:26" ht="26.25" x14ac:dyDescent="0.25">
      <c r="B8" s="168" t="s">
        <v>12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0"/>
      <c r="P8" s="61"/>
      <c r="Q8" s="62"/>
      <c r="R8" s="60"/>
      <c r="S8" s="60"/>
      <c r="T8" s="63"/>
      <c r="U8" s="63"/>
      <c r="V8" s="63"/>
      <c r="W8" s="63"/>
      <c r="X8" s="60"/>
      <c r="Y8" s="60"/>
      <c r="Z8" s="64"/>
    </row>
    <row r="9" spans="1:26" x14ac:dyDescent="0.25">
      <c r="B9" s="4" t="s">
        <v>13</v>
      </c>
      <c r="C9" s="4" t="s">
        <v>7</v>
      </c>
      <c r="D9" s="2" t="s">
        <v>2</v>
      </c>
      <c r="E9" s="4" t="s">
        <v>1</v>
      </c>
      <c r="F9" s="5" t="s">
        <v>20</v>
      </c>
      <c r="G9" s="4" t="s">
        <v>14</v>
      </c>
      <c r="H9" s="4" t="s">
        <v>15</v>
      </c>
      <c r="I9" s="4" t="s">
        <v>17</v>
      </c>
      <c r="J9" s="4" t="s">
        <v>16</v>
      </c>
      <c r="K9" s="4" t="s">
        <v>18</v>
      </c>
      <c r="L9" s="2" t="s">
        <v>24</v>
      </c>
      <c r="M9" s="2" t="s">
        <v>25</v>
      </c>
      <c r="N9" s="6" t="s">
        <v>19</v>
      </c>
      <c r="O9" s="40"/>
      <c r="P9" s="42" t="s">
        <v>27</v>
      </c>
      <c r="Q9" s="43" t="s">
        <v>38</v>
      </c>
      <c r="R9" s="49" t="s">
        <v>35</v>
      </c>
      <c r="S9" s="114" t="s">
        <v>358</v>
      </c>
      <c r="T9" s="52" t="s">
        <v>34</v>
      </c>
      <c r="U9" s="44" t="s">
        <v>30</v>
      </c>
      <c r="V9" s="53" t="s">
        <v>36</v>
      </c>
      <c r="W9" s="46" t="s">
        <v>37</v>
      </c>
      <c r="X9" s="21"/>
      <c r="Y9" s="37" t="s">
        <v>32</v>
      </c>
      <c r="Z9" s="37" t="s">
        <v>33</v>
      </c>
    </row>
    <row r="10" spans="1:26" x14ac:dyDescent="0.25">
      <c r="B10" s="14">
        <v>6</v>
      </c>
      <c r="C10" s="14">
        <v>7</v>
      </c>
      <c r="D10" s="66" t="s">
        <v>0</v>
      </c>
      <c r="E10" s="16">
        <v>0.05</v>
      </c>
      <c r="F10" s="16">
        <f>B10*3.14</f>
        <v>18.84</v>
      </c>
      <c r="G10" s="17">
        <f>F10/E10</f>
        <v>376.79999999999995</v>
      </c>
      <c r="H10" s="16">
        <f>C10/10</f>
        <v>0.7</v>
      </c>
      <c r="I10" s="16">
        <v>3</v>
      </c>
      <c r="J10" s="19">
        <f>H10*G10/60</f>
        <v>4.395999999999999</v>
      </c>
      <c r="K10" s="20">
        <f>J10+I10</f>
        <v>7.395999999999999</v>
      </c>
      <c r="L10" s="68">
        <v>250</v>
      </c>
      <c r="M10" s="69">
        <f>L10/60</f>
        <v>4.166666666666667</v>
      </c>
      <c r="N10" s="18">
        <f>ROUNDUP(K10*M10,1)</f>
        <v>30.900000000000002</v>
      </c>
      <c r="O10" s="56"/>
      <c r="P10" s="30">
        <v>125</v>
      </c>
      <c r="Q10" s="71">
        <v>0.02</v>
      </c>
      <c r="R10" s="32">
        <v>16</v>
      </c>
      <c r="S10" s="35">
        <f>N10*R10</f>
        <v>494.40000000000003</v>
      </c>
      <c r="T10" s="33">
        <f>IF(S10&gt;Y10,S10,Y10)</f>
        <v>494.40000000000003</v>
      </c>
      <c r="U10" s="33">
        <f>T10+P10</f>
        <v>619.40000000000009</v>
      </c>
      <c r="V10" s="33">
        <f>ROUNDUP(U10*Q10,0)</f>
        <v>13</v>
      </c>
      <c r="W10" s="33">
        <f t="shared" ref="W10" si="6">U10+V10</f>
        <v>632.40000000000009</v>
      </c>
      <c r="X10" s="56"/>
      <c r="Y10" s="58">
        <v>250</v>
      </c>
      <c r="Z10" s="47">
        <f>ROUNDDOWN(Y10/N10,0)</f>
        <v>8</v>
      </c>
    </row>
    <row r="11" spans="1:26" ht="18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4"/>
      <c r="P11" s="28"/>
      <c r="Q11" s="29"/>
      <c r="R11" s="21"/>
      <c r="S11" s="21"/>
      <c r="T11" s="27"/>
      <c r="U11" s="27"/>
      <c r="V11" s="27"/>
      <c r="W11" s="27"/>
      <c r="X11" s="25"/>
      <c r="Y11" s="21"/>
      <c r="Z11" s="21"/>
    </row>
    <row r="12" spans="1:26" x14ac:dyDescent="0.25">
      <c r="A12" s="1"/>
    </row>
    <row r="13" spans="1:26" ht="26.25" x14ac:dyDescent="0.25">
      <c r="A13" s="134" t="s">
        <v>147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82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88"/>
    </row>
    <row r="14" spans="1:26" ht="30" x14ac:dyDescent="0.25">
      <c r="A14" s="111" t="s">
        <v>23</v>
      </c>
      <c r="B14" s="111" t="s">
        <v>8</v>
      </c>
      <c r="C14" s="111" t="s">
        <v>7</v>
      </c>
      <c r="D14" s="111" t="s">
        <v>2</v>
      </c>
      <c r="E14" s="111" t="s">
        <v>1</v>
      </c>
      <c r="F14" s="111" t="s">
        <v>6</v>
      </c>
      <c r="G14" s="111" t="s">
        <v>3</v>
      </c>
      <c r="H14" s="111" t="s">
        <v>21</v>
      </c>
      <c r="I14" s="111" t="s">
        <v>9</v>
      </c>
      <c r="J14" s="111" t="s">
        <v>4</v>
      </c>
      <c r="K14" s="111" t="s">
        <v>10</v>
      </c>
      <c r="L14" s="111" t="s">
        <v>24</v>
      </c>
      <c r="M14" s="111" t="s">
        <v>25</v>
      </c>
      <c r="N14" s="112" t="s">
        <v>5</v>
      </c>
      <c r="O14" s="39"/>
      <c r="P14" s="113" t="s">
        <v>27</v>
      </c>
      <c r="Q14" s="113" t="s">
        <v>38</v>
      </c>
      <c r="R14" s="114" t="s">
        <v>35</v>
      </c>
      <c r="S14" s="114" t="s">
        <v>358</v>
      </c>
      <c r="T14" s="114" t="s">
        <v>34</v>
      </c>
      <c r="U14" s="114" t="s">
        <v>30</v>
      </c>
      <c r="V14" s="113" t="s">
        <v>36</v>
      </c>
      <c r="W14" s="115" t="s">
        <v>31</v>
      </c>
      <c r="X14" s="113"/>
      <c r="Y14" s="113" t="s">
        <v>32</v>
      </c>
      <c r="Z14" s="114" t="s">
        <v>33</v>
      </c>
    </row>
    <row r="15" spans="1:26" x14ac:dyDescent="0.25">
      <c r="A15" s="65">
        <v>0.5</v>
      </c>
      <c r="B15" s="65">
        <v>7.5</v>
      </c>
      <c r="C15" s="65">
        <v>8.5</v>
      </c>
      <c r="D15" s="66">
        <v>0.125</v>
      </c>
      <c r="E15" s="66">
        <v>0.05</v>
      </c>
      <c r="F15" s="66">
        <f>(A15+B15)*C15</f>
        <v>68</v>
      </c>
      <c r="G15" s="66">
        <f>(A15+B15)/E15</f>
        <v>160</v>
      </c>
      <c r="H15" s="66">
        <f t="shared" ref="H15" si="7">C15/10</f>
        <v>0.85</v>
      </c>
      <c r="I15" s="66">
        <v>3.5</v>
      </c>
      <c r="J15" s="67">
        <f t="shared" ref="J15" si="8">H15*G15/60</f>
        <v>2.2666666666666666</v>
      </c>
      <c r="K15" s="67">
        <f>J15+I15</f>
        <v>5.7666666666666666</v>
      </c>
      <c r="L15" s="68">
        <v>275</v>
      </c>
      <c r="M15" s="69">
        <f>L15/60</f>
        <v>4.583333333333333</v>
      </c>
      <c r="N15" s="70">
        <f>ROUNDUP(K15*M15,1)</f>
        <v>26.5</v>
      </c>
      <c r="O15" s="56"/>
      <c r="P15" s="30">
        <v>125</v>
      </c>
      <c r="Q15" s="71">
        <v>0.02</v>
      </c>
      <c r="R15" s="32">
        <v>8</v>
      </c>
      <c r="S15" s="35">
        <f>N15*R15</f>
        <v>212</v>
      </c>
      <c r="T15" s="33">
        <f>IF(S15&gt;Y15,S15,Y15)</f>
        <v>275</v>
      </c>
      <c r="U15" s="33">
        <f>T15+P15</f>
        <v>400</v>
      </c>
      <c r="V15" s="33">
        <f>ROUNDUP(U15*Q15,0)</f>
        <v>8</v>
      </c>
      <c r="W15" s="33">
        <f>U15+V15</f>
        <v>408</v>
      </c>
      <c r="X15" s="34"/>
      <c r="Y15" s="57">
        <v>275</v>
      </c>
      <c r="Z15" s="36">
        <f>ROUNDDOWN(Y15/N15,0)</f>
        <v>10</v>
      </c>
    </row>
    <row r="16" spans="1:26" ht="26.25" x14ac:dyDescent="0.25">
      <c r="A16" s="1"/>
      <c r="B16" s="168" t="s">
        <v>148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0"/>
      <c r="P16" s="61"/>
      <c r="Q16" s="62"/>
      <c r="R16" s="60"/>
      <c r="S16" s="60"/>
      <c r="T16" s="63"/>
      <c r="U16" s="63"/>
      <c r="V16" s="63"/>
      <c r="W16" s="63"/>
      <c r="X16" s="60"/>
      <c r="Y16" s="60"/>
      <c r="Z16" s="64"/>
    </row>
    <row r="17" spans="1:29" x14ac:dyDescent="0.25">
      <c r="A17" s="1"/>
      <c r="B17" s="4" t="s">
        <v>13</v>
      </c>
      <c r="C17" s="4" t="s">
        <v>7</v>
      </c>
      <c r="D17" s="2" t="s">
        <v>2</v>
      </c>
      <c r="E17" s="4" t="s">
        <v>1</v>
      </c>
      <c r="F17" s="5" t="s">
        <v>20</v>
      </c>
      <c r="G17" s="4" t="s">
        <v>14</v>
      </c>
      <c r="H17" s="4" t="s">
        <v>15</v>
      </c>
      <c r="I17" s="4" t="s">
        <v>17</v>
      </c>
      <c r="J17" s="4" t="s">
        <v>16</v>
      </c>
      <c r="K17" s="4" t="s">
        <v>18</v>
      </c>
      <c r="L17" s="2" t="s">
        <v>24</v>
      </c>
      <c r="M17" s="2" t="s">
        <v>25</v>
      </c>
      <c r="N17" s="6" t="s">
        <v>19</v>
      </c>
      <c r="O17" s="40"/>
      <c r="P17" s="42" t="s">
        <v>27</v>
      </c>
      <c r="Q17" s="43" t="s">
        <v>38</v>
      </c>
      <c r="R17" s="49" t="s">
        <v>35</v>
      </c>
      <c r="S17" s="114" t="s">
        <v>358</v>
      </c>
      <c r="T17" s="52" t="s">
        <v>34</v>
      </c>
      <c r="U17" s="44" t="s">
        <v>30</v>
      </c>
      <c r="V17" s="53" t="s">
        <v>36</v>
      </c>
      <c r="W17" s="46" t="s">
        <v>37</v>
      </c>
      <c r="X17" s="21"/>
      <c r="Y17" s="37" t="s">
        <v>32</v>
      </c>
      <c r="Z17" s="37" t="s">
        <v>33</v>
      </c>
    </row>
    <row r="18" spans="1:29" x14ac:dyDescent="0.25">
      <c r="A18" s="1"/>
      <c r="B18" s="14">
        <v>2</v>
      </c>
      <c r="C18" s="14">
        <v>2</v>
      </c>
      <c r="D18" s="66" t="s">
        <v>0</v>
      </c>
      <c r="E18" s="16">
        <v>0.05</v>
      </c>
      <c r="F18" s="16">
        <f>B18*3.14</f>
        <v>6.28</v>
      </c>
      <c r="G18" s="17">
        <f>F18/E18</f>
        <v>125.6</v>
      </c>
      <c r="H18" s="16">
        <f>C18/10</f>
        <v>0.2</v>
      </c>
      <c r="I18" s="16">
        <v>3.5</v>
      </c>
      <c r="J18" s="19">
        <f>H18*G18/60</f>
        <v>0.41866666666666669</v>
      </c>
      <c r="K18" s="20">
        <f>J18+I18</f>
        <v>3.9186666666666667</v>
      </c>
      <c r="L18" s="68">
        <v>275</v>
      </c>
      <c r="M18" s="69">
        <f>L18/60</f>
        <v>4.583333333333333</v>
      </c>
      <c r="N18" s="18">
        <f>ROUNDUP(K18*M18,1)</f>
        <v>18</v>
      </c>
      <c r="O18" s="56"/>
      <c r="P18" s="30">
        <v>125</v>
      </c>
      <c r="Q18" s="71">
        <v>0.02</v>
      </c>
      <c r="R18" s="32">
        <v>1</v>
      </c>
      <c r="S18" s="35">
        <f>N18*R18</f>
        <v>18</v>
      </c>
      <c r="T18" s="33">
        <f>IF(S18&gt;Y18,S18,Y18)</f>
        <v>275</v>
      </c>
      <c r="U18" s="33">
        <f>T18+P18</f>
        <v>400</v>
      </c>
      <c r="V18" s="33">
        <f>ROUNDUP(U18*Q18,0)</f>
        <v>8</v>
      </c>
      <c r="W18" s="33">
        <f t="shared" ref="W18" si="9">U18+V18</f>
        <v>408</v>
      </c>
      <c r="X18" s="56"/>
      <c r="Y18" s="58">
        <v>275</v>
      </c>
      <c r="Z18" s="47">
        <f>ROUNDDOWN(Y18/N18,0)</f>
        <v>15</v>
      </c>
    </row>
    <row r="21" spans="1:29" ht="24" thickBot="1" x14ac:dyDescent="0.4">
      <c r="A21" s="171"/>
      <c r="B21" s="172" t="s">
        <v>119</v>
      </c>
      <c r="C21" s="173"/>
      <c r="I21" s="171"/>
      <c r="J21" s="198"/>
      <c r="K21" s="198"/>
      <c r="L21" s="198"/>
      <c r="M21" s="198"/>
      <c r="N21" s="172" t="s">
        <v>149</v>
      </c>
      <c r="O21" s="198"/>
      <c r="P21" s="198"/>
      <c r="Q21" s="198"/>
      <c r="R21" s="173"/>
      <c r="U21" s="494" t="s">
        <v>348</v>
      </c>
      <c r="V21" s="436"/>
      <c r="W21" s="436"/>
      <c r="X21" s="436"/>
      <c r="Y21" s="1"/>
      <c r="Z21" s="460" t="s">
        <v>362</v>
      </c>
      <c r="AA21" s="461"/>
      <c r="AB21" s="461"/>
      <c r="AC21" s="461"/>
    </row>
    <row r="22" spans="1:29" ht="16.5" thickTop="1" x14ac:dyDescent="0.25">
      <c r="A22" s="174" t="s">
        <v>32</v>
      </c>
      <c r="C22" s="175">
        <v>250</v>
      </c>
      <c r="I22" s="174" t="s">
        <v>150</v>
      </c>
      <c r="R22" s="176"/>
      <c r="U22" s="362" t="s">
        <v>207</v>
      </c>
      <c r="V22" s="363"/>
      <c r="W22" s="352"/>
      <c r="X22" s="364">
        <f>N7</f>
        <v>11</v>
      </c>
      <c r="Y22" s="1"/>
      <c r="Z22" s="462" t="s">
        <v>207</v>
      </c>
      <c r="AA22" s="463"/>
      <c r="AB22" s="383"/>
      <c r="AC22" s="470">
        <f>N3</f>
        <v>66.699999999999989</v>
      </c>
    </row>
    <row r="23" spans="1:29" ht="15.75" x14ac:dyDescent="0.25">
      <c r="A23" s="174" t="s">
        <v>120</v>
      </c>
      <c r="C23" s="175">
        <v>125</v>
      </c>
      <c r="I23" s="174" t="s">
        <v>151</v>
      </c>
      <c r="R23" s="176"/>
      <c r="U23" s="365" t="s">
        <v>208</v>
      </c>
      <c r="V23" s="1"/>
      <c r="X23" s="366">
        <f>R7</f>
        <v>17</v>
      </c>
      <c r="Y23" s="1"/>
      <c r="Z23" s="464" t="s">
        <v>208</v>
      </c>
      <c r="AA23" s="1"/>
      <c r="AC23" s="471">
        <f>R3</f>
        <v>4</v>
      </c>
    </row>
    <row r="24" spans="1:29" ht="15.75" x14ac:dyDescent="0.25">
      <c r="A24" s="174" t="s">
        <v>36</v>
      </c>
      <c r="C24" s="176" t="s">
        <v>122</v>
      </c>
      <c r="I24" s="174"/>
      <c r="R24" s="176"/>
      <c r="U24" s="365" t="s">
        <v>209</v>
      </c>
      <c r="V24" s="1"/>
      <c r="X24" s="367">
        <f>T7</f>
        <v>250</v>
      </c>
      <c r="Y24" s="1"/>
      <c r="Z24" s="464" t="s">
        <v>209</v>
      </c>
      <c r="AA24" s="1"/>
      <c r="AC24" s="469">
        <f>T3</f>
        <v>266.79999999999995</v>
      </c>
    </row>
    <row r="25" spans="1:29" ht="15.75" x14ac:dyDescent="0.25">
      <c r="A25" s="174" t="s">
        <v>121</v>
      </c>
      <c r="C25" s="176" t="s">
        <v>123</v>
      </c>
      <c r="I25" s="174" t="s">
        <v>152</v>
      </c>
      <c r="R25" s="176"/>
      <c r="U25" s="365" t="s">
        <v>210</v>
      </c>
      <c r="V25" s="1"/>
      <c r="X25" s="367">
        <f>V7</f>
        <v>8</v>
      </c>
      <c r="Y25" s="1"/>
      <c r="Z25" s="464" t="s">
        <v>210</v>
      </c>
      <c r="AA25" s="1"/>
      <c r="AC25" s="469">
        <f>V3</f>
        <v>8</v>
      </c>
    </row>
    <row r="26" spans="1:29" ht="15.75" x14ac:dyDescent="0.25">
      <c r="A26" s="177" t="s">
        <v>124</v>
      </c>
      <c r="B26" s="178"/>
      <c r="C26" s="179">
        <v>100</v>
      </c>
      <c r="I26" s="174" t="s">
        <v>153</v>
      </c>
      <c r="R26" s="176"/>
      <c r="U26" s="365" t="s">
        <v>216</v>
      </c>
      <c r="X26" s="368">
        <f>P7</f>
        <v>125</v>
      </c>
      <c r="Y26" s="1"/>
      <c r="Z26" s="464" t="s">
        <v>216</v>
      </c>
      <c r="AC26" s="465">
        <f>P3</f>
        <v>125</v>
      </c>
    </row>
    <row r="27" spans="1:29" ht="15.75" x14ac:dyDescent="0.25">
      <c r="I27" s="174"/>
      <c r="R27" s="176"/>
      <c r="U27" s="365" t="s">
        <v>211</v>
      </c>
      <c r="V27" s="1"/>
      <c r="X27" s="367">
        <f>W7</f>
        <v>383</v>
      </c>
      <c r="Y27" s="1"/>
      <c r="Z27" s="464" t="s">
        <v>211</v>
      </c>
      <c r="AA27" s="1"/>
      <c r="AC27" s="469">
        <f>W3</f>
        <v>399.79999999999995</v>
      </c>
    </row>
    <row r="28" spans="1:29" ht="16.5" thickBot="1" x14ac:dyDescent="0.3">
      <c r="I28" s="174" t="s">
        <v>154</v>
      </c>
      <c r="R28" s="176"/>
      <c r="U28" s="369" t="s">
        <v>346</v>
      </c>
      <c r="V28" s="354"/>
      <c r="W28" s="437"/>
      <c r="X28" s="438" t="s">
        <v>347</v>
      </c>
      <c r="Y28" s="1"/>
      <c r="Z28" s="466" t="s">
        <v>346</v>
      </c>
      <c r="AA28" s="388"/>
      <c r="AB28" s="467"/>
      <c r="AC28" s="468" t="s">
        <v>347</v>
      </c>
    </row>
    <row r="29" spans="1:29" ht="15.75" thickTop="1" x14ac:dyDescent="0.25">
      <c r="I29" s="177" t="s">
        <v>155</v>
      </c>
      <c r="J29" s="178"/>
      <c r="K29" s="178"/>
      <c r="L29" s="178"/>
      <c r="M29" s="178"/>
      <c r="N29" s="178"/>
      <c r="O29" s="178"/>
      <c r="P29" s="178"/>
      <c r="Q29" s="178"/>
      <c r="R29" s="199"/>
      <c r="W29" s="1"/>
      <c r="X29" s="1"/>
      <c r="Y29" s="1"/>
    </row>
    <row r="30" spans="1:29" ht="24" thickBot="1" x14ac:dyDescent="0.4">
      <c r="U30" s="541" t="s">
        <v>284</v>
      </c>
      <c r="V30" s="541"/>
      <c r="W30" s="541"/>
      <c r="X30" s="541"/>
      <c r="Y30" s="1"/>
    </row>
    <row r="31" spans="1:29" ht="16.5" thickTop="1" x14ac:dyDescent="0.25">
      <c r="U31" s="362" t="s">
        <v>207</v>
      </c>
      <c r="V31" s="363"/>
      <c r="W31" s="352"/>
      <c r="X31" s="364">
        <f>N10</f>
        <v>30.900000000000002</v>
      </c>
      <c r="Y31" s="1"/>
    </row>
    <row r="32" spans="1:29" ht="15.75" x14ac:dyDescent="0.25">
      <c r="U32" s="365" t="s">
        <v>208</v>
      </c>
      <c r="V32" s="1"/>
      <c r="X32" s="366">
        <f>R10</f>
        <v>16</v>
      </c>
      <c r="Y32" s="1"/>
    </row>
    <row r="33" spans="21:25" ht="15.75" x14ac:dyDescent="0.25">
      <c r="U33" s="365" t="s">
        <v>209</v>
      </c>
      <c r="V33" s="1"/>
      <c r="X33" s="367">
        <f>T10</f>
        <v>494.40000000000003</v>
      </c>
      <c r="Y33" s="1"/>
    </row>
    <row r="34" spans="21:25" ht="15.75" x14ac:dyDescent="0.25">
      <c r="U34" s="365" t="s">
        <v>210</v>
      </c>
      <c r="V34" s="1"/>
      <c r="X34" s="367">
        <f>V10</f>
        <v>13</v>
      </c>
      <c r="Y34" s="1"/>
    </row>
    <row r="35" spans="21:25" ht="15.75" x14ac:dyDescent="0.25">
      <c r="U35" s="365" t="s">
        <v>216</v>
      </c>
      <c r="X35" s="368">
        <f>P10</f>
        <v>125</v>
      </c>
      <c r="Y35" s="1"/>
    </row>
    <row r="36" spans="21:25" ht="15.75" x14ac:dyDescent="0.25">
      <c r="U36" s="365" t="s">
        <v>211</v>
      </c>
      <c r="V36" s="1"/>
      <c r="X36" s="367">
        <f>W10</f>
        <v>632.40000000000009</v>
      </c>
      <c r="Y36" s="1"/>
    </row>
    <row r="37" spans="21:25" ht="16.5" thickBot="1" x14ac:dyDescent="0.3">
      <c r="U37" s="369" t="s">
        <v>346</v>
      </c>
      <c r="V37" s="354"/>
      <c r="W37" s="539" t="s">
        <v>347</v>
      </c>
      <c r="X37" s="540"/>
      <c r="Y37" s="1"/>
    </row>
    <row r="38" spans="21:25" ht="15.75" thickTop="1" x14ac:dyDescent="0.25"/>
  </sheetData>
  <mergeCells count="2">
    <mergeCell ref="U30:X30"/>
    <mergeCell ref="W37:X37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5342-72FA-4DA7-8594-D92211872E03}">
  <sheetPr>
    <tabColor rgb="FF92D050"/>
  </sheetPr>
  <dimension ref="A1:AI50"/>
  <sheetViews>
    <sheetView topLeftCell="A11" zoomScale="115" zoomScaleNormal="115" workbookViewId="0">
      <selection activeCell="E25" sqref="E25"/>
    </sheetView>
  </sheetViews>
  <sheetFormatPr defaultRowHeight="15" x14ac:dyDescent="0.25"/>
  <cols>
    <col min="1" max="1" width="14.7109375" customWidth="1"/>
    <col min="4" max="15" width="9.140625" customWidth="1"/>
    <col min="19" max="19" width="11.140625" customWidth="1"/>
    <col min="20" max="20" width="11" customWidth="1"/>
    <col min="21" max="21" width="12" customWidth="1"/>
    <col min="23" max="23" width="12" bestFit="1" customWidth="1"/>
    <col min="25" max="25" width="10.85546875" customWidth="1"/>
    <col min="35" max="35" width="12.28515625" customWidth="1"/>
  </cols>
  <sheetData>
    <row r="1" spans="1:27" ht="21" x14ac:dyDescent="0.25">
      <c r="A1" s="218" t="s">
        <v>164</v>
      </c>
      <c r="B1" s="217"/>
      <c r="C1" s="217"/>
      <c r="D1" s="217"/>
      <c r="E1" s="217"/>
      <c r="F1" s="217"/>
      <c r="G1" s="217"/>
      <c r="H1" s="217"/>
      <c r="I1" s="217"/>
      <c r="J1" s="10"/>
      <c r="K1" s="10"/>
      <c r="L1" s="10"/>
      <c r="M1" s="10"/>
      <c r="N1" s="10"/>
      <c r="O1" s="193"/>
      <c r="P1" s="193"/>
      <c r="Q1" s="21"/>
      <c r="R1" s="21"/>
      <c r="S1" s="21"/>
      <c r="T1" s="22"/>
      <c r="U1" s="22"/>
      <c r="V1" s="22"/>
      <c r="W1" s="22"/>
      <c r="X1" s="75"/>
      <c r="Y1" s="22"/>
      <c r="Z1" s="22"/>
      <c r="AA1" s="22"/>
    </row>
    <row r="2" spans="1:27" ht="42.75" customHeight="1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195" t="s">
        <v>145</v>
      </c>
      <c r="O2" s="326" t="s">
        <v>144</v>
      </c>
      <c r="P2" s="196" t="s">
        <v>146</v>
      </c>
      <c r="Q2" s="194"/>
      <c r="R2" s="38" t="s">
        <v>29</v>
      </c>
      <c r="S2" s="41" t="s">
        <v>204</v>
      </c>
      <c r="T2" s="37" t="s">
        <v>34</v>
      </c>
      <c r="U2" s="37" t="s">
        <v>27</v>
      </c>
      <c r="V2" s="38" t="s">
        <v>39</v>
      </c>
      <c r="W2" s="38" t="s">
        <v>30</v>
      </c>
      <c r="X2" s="74" t="s">
        <v>36</v>
      </c>
      <c r="Y2" s="38" t="s">
        <v>31</v>
      </c>
      <c r="Z2" s="37" t="s">
        <v>32</v>
      </c>
      <c r="AA2" s="41" t="s">
        <v>33</v>
      </c>
    </row>
    <row r="3" spans="1:27" x14ac:dyDescent="0.25">
      <c r="A3" s="65">
        <v>3</v>
      </c>
      <c r="B3" s="65">
        <v>39</v>
      </c>
      <c r="C3" s="65">
        <v>111</v>
      </c>
      <c r="D3" s="66" t="s">
        <v>0</v>
      </c>
      <c r="E3" s="66">
        <v>7.4999999999999997E-2</v>
      </c>
      <c r="F3" s="7">
        <f>(A3+B3)*C3</f>
        <v>4662</v>
      </c>
      <c r="G3" s="7">
        <f>(A3+B3)/E3</f>
        <v>560</v>
      </c>
      <c r="H3" s="7">
        <f t="shared" ref="H3" si="0">C3/10</f>
        <v>11.1</v>
      </c>
      <c r="I3" s="66">
        <v>6</v>
      </c>
      <c r="J3" s="67">
        <f t="shared" ref="J3" si="1">H3*G3/60</f>
        <v>103.6</v>
      </c>
      <c r="K3" s="67">
        <f>J3+I3</f>
        <v>109.6</v>
      </c>
      <c r="L3" s="68">
        <v>225</v>
      </c>
      <c r="M3" s="69">
        <f>L3/60</f>
        <v>3.75</v>
      </c>
      <c r="N3" s="70">
        <f>ROUNDUP(K3*M3,1)</f>
        <v>411</v>
      </c>
      <c r="O3" s="327">
        <f>ROUNDUP(G37, 1)</f>
        <v>461.6</v>
      </c>
      <c r="P3" s="216">
        <f>IF(N3&gt;O3, N3, O3)</f>
        <v>461.6</v>
      </c>
      <c r="Q3" s="23" t="s">
        <v>166</v>
      </c>
      <c r="R3" s="32">
        <v>2</v>
      </c>
      <c r="S3" s="325">
        <f>P3*R3</f>
        <v>923.2</v>
      </c>
      <c r="T3" s="33">
        <f>IF(S3&gt;Z3, S3, Z3)</f>
        <v>923.2</v>
      </c>
      <c r="U3" s="30">
        <v>0</v>
      </c>
      <c r="V3" s="79">
        <v>0.02</v>
      </c>
      <c r="W3" s="33">
        <f>T3+U3</f>
        <v>923.2</v>
      </c>
      <c r="X3" s="77">
        <f>ROUNDUP(W3*V3,0)</f>
        <v>19</v>
      </c>
      <c r="Y3" s="33">
        <f>W3+X3</f>
        <v>942.2</v>
      </c>
      <c r="Z3" s="57">
        <v>225</v>
      </c>
      <c r="AA3" s="78">
        <f>ROUNDDOWN(Z3/N3,0)</f>
        <v>0</v>
      </c>
    </row>
    <row r="4" spans="1:27" ht="18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Q4" s="24"/>
      <c r="R4" s="21"/>
      <c r="S4" s="21"/>
      <c r="T4" s="27"/>
      <c r="U4" s="28"/>
      <c r="V4" s="72"/>
      <c r="W4" s="27"/>
      <c r="X4" s="76"/>
      <c r="Y4" s="27"/>
      <c r="Z4" s="25"/>
      <c r="AA4" s="26"/>
    </row>
    <row r="5" spans="1:27" ht="21" x14ac:dyDescent="0.25">
      <c r="A5" s="218" t="s">
        <v>165</v>
      </c>
      <c r="B5" s="217"/>
      <c r="C5" s="219"/>
      <c r="D5" s="217"/>
      <c r="E5" s="217"/>
      <c r="F5" s="217"/>
      <c r="G5" s="217"/>
      <c r="H5" s="217"/>
      <c r="I5" s="217"/>
      <c r="J5" s="10"/>
      <c r="K5" s="10"/>
      <c r="L5" s="10"/>
      <c r="M5" s="10"/>
      <c r="N5" s="10"/>
      <c r="O5" s="193"/>
      <c r="P5" s="193"/>
      <c r="Q5" s="21"/>
      <c r="R5" s="21"/>
      <c r="S5" s="21"/>
      <c r="T5" s="22"/>
      <c r="U5" s="22"/>
      <c r="V5" s="22"/>
      <c r="W5" s="22"/>
      <c r="X5" s="75"/>
      <c r="Y5" s="22"/>
      <c r="Z5" s="22"/>
      <c r="AA5" s="22"/>
    </row>
    <row r="6" spans="1:27" ht="29.25" customHeight="1" x14ac:dyDescent="0.25">
      <c r="A6" s="2" t="s">
        <v>23</v>
      </c>
      <c r="B6" s="2" t="s">
        <v>8</v>
      </c>
      <c r="C6" s="2" t="s">
        <v>7</v>
      </c>
      <c r="D6" s="2" t="s">
        <v>2</v>
      </c>
      <c r="E6" s="2" t="s">
        <v>1</v>
      </c>
      <c r="F6" s="2" t="s">
        <v>6</v>
      </c>
      <c r="G6" s="2" t="s">
        <v>3</v>
      </c>
      <c r="H6" s="2" t="s">
        <v>21</v>
      </c>
      <c r="I6" s="2" t="s">
        <v>9</v>
      </c>
      <c r="J6" s="2" t="s">
        <v>4</v>
      </c>
      <c r="K6" s="2" t="s">
        <v>10</v>
      </c>
      <c r="L6" s="2" t="s">
        <v>24</v>
      </c>
      <c r="M6" s="2" t="s">
        <v>25</v>
      </c>
      <c r="N6" s="195" t="s">
        <v>145</v>
      </c>
      <c r="O6" s="326" t="s">
        <v>144</v>
      </c>
      <c r="P6" s="196" t="s">
        <v>146</v>
      </c>
      <c r="Q6" s="194"/>
      <c r="R6" s="38" t="s">
        <v>29</v>
      </c>
      <c r="S6" s="38" t="s">
        <v>204</v>
      </c>
      <c r="T6" s="37" t="s">
        <v>34</v>
      </c>
      <c r="U6" s="37" t="s">
        <v>27</v>
      </c>
      <c r="V6" s="38" t="s">
        <v>39</v>
      </c>
      <c r="W6" s="38" t="s">
        <v>30</v>
      </c>
      <c r="X6" s="74" t="s">
        <v>36</v>
      </c>
      <c r="Y6" s="38" t="s">
        <v>31</v>
      </c>
      <c r="Z6" s="37" t="s">
        <v>32</v>
      </c>
      <c r="AA6" s="41" t="s">
        <v>33</v>
      </c>
    </row>
    <row r="7" spans="1:27" x14ac:dyDescent="0.25">
      <c r="A7" s="65">
        <v>3</v>
      </c>
      <c r="B7" s="65">
        <v>37</v>
      </c>
      <c r="C7" s="65">
        <v>120</v>
      </c>
      <c r="D7" s="66" t="s">
        <v>0</v>
      </c>
      <c r="E7" s="66">
        <v>5.5E-2</v>
      </c>
      <c r="F7" s="7">
        <f>(A7+B7)*C7</f>
        <v>4800</v>
      </c>
      <c r="G7" s="7">
        <f>(A7+B7)/E7</f>
        <v>727.27272727272725</v>
      </c>
      <c r="H7" s="7">
        <f t="shared" ref="H7" si="2">C7/10</f>
        <v>12</v>
      </c>
      <c r="I7" s="66">
        <v>6</v>
      </c>
      <c r="J7" s="67">
        <f t="shared" ref="J7" si="3">H7*G7/60</f>
        <v>145.45454545454547</v>
      </c>
      <c r="K7" s="67">
        <f>J7+I7</f>
        <v>151.45454545454547</v>
      </c>
      <c r="L7" s="68">
        <v>225</v>
      </c>
      <c r="M7" s="69">
        <f>L7/60</f>
        <v>3.75</v>
      </c>
      <c r="N7" s="70">
        <f>ROUNDUP(K7*M7,1)</f>
        <v>568</v>
      </c>
      <c r="O7" s="327">
        <f>ROUNDUP(G38, 1)</f>
        <v>552.4</v>
      </c>
      <c r="P7" s="216">
        <f>IF(N7&gt;O7, N7, O7)</f>
        <v>568</v>
      </c>
      <c r="Q7" s="23" t="s">
        <v>167</v>
      </c>
      <c r="R7" s="32">
        <v>12</v>
      </c>
      <c r="S7" s="325">
        <f>P7*R7</f>
        <v>6816</v>
      </c>
      <c r="T7" s="33">
        <f>IF(S7&gt;Z7, S7, Z7)</f>
        <v>6816</v>
      </c>
      <c r="U7" s="30">
        <v>125</v>
      </c>
      <c r="V7" s="79">
        <v>0.02</v>
      </c>
      <c r="W7" s="33">
        <f>T7+U7</f>
        <v>6941</v>
      </c>
      <c r="X7" s="77">
        <f>ROUNDUP(W7*V7,0)</f>
        <v>139</v>
      </c>
      <c r="Y7" s="33">
        <f>W7+X7</f>
        <v>7080</v>
      </c>
      <c r="Z7" s="57">
        <v>225</v>
      </c>
      <c r="AA7" s="78">
        <f>ROUNDDOWN(Z7/N7,0)</f>
        <v>0</v>
      </c>
    </row>
    <row r="10" spans="1:27" ht="21" x14ac:dyDescent="0.25">
      <c r="A10" s="292" t="s">
        <v>189</v>
      </c>
      <c r="B10" s="217"/>
      <c r="C10" s="217"/>
      <c r="D10" s="217"/>
      <c r="E10" s="217"/>
      <c r="F10" s="217"/>
      <c r="G10" s="217"/>
      <c r="H10" s="217"/>
      <c r="I10" s="10"/>
      <c r="J10" s="10"/>
      <c r="K10" s="10"/>
      <c r="L10" s="10"/>
      <c r="M10" s="10"/>
      <c r="N10" s="10"/>
      <c r="O10" s="193"/>
      <c r="P10" s="193"/>
      <c r="Q10" s="21"/>
      <c r="R10" s="21"/>
      <c r="S10" s="21"/>
      <c r="T10" s="22"/>
      <c r="U10" s="22"/>
      <c r="V10" s="22"/>
      <c r="W10" s="22"/>
      <c r="X10" s="75"/>
      <c r="Y10" s="22"/>
      <c r="Z10" s="22"/>
      <c r="AA10" s="22"/>
    </row>
    <row r="11" spans="1:27" ht="60" x14ac:dyDescent="0.25">
      <c r="A11" s="2" t="s">
        <v>23</v>
      </c>
      <c r="B11" s="2" t="s">
        <v>8</v>
      </c>
      <c r="C11" s="2" t="s">
        <v>7</v>
      </c>
      <c r="D11" s="2" t="s">
        <v>2</v>
      </c>
      <c r="E11" s="2" t="s">
        <v>1</v>
      </c>
      <c r="F11" s="2" t="s">
        <v>6</v>
      </c>
      <c r="G11" s="2" t="s">
        <v>3</v>
      </c>
      <c r="H11" s="2" t="s">
        <v>21</v>
      </c>
      <c r="I11" s="2" t="s">
        <v>9</v>
      </c>
      <c r="J11" s="2" t="s">
        <v>4</v>
      </c>
      <c r="K11" s="2" t="s">
        <v>10</v>
      </c>
      <c r="L11" s="2" t="s">
        <v>24</v>
      </c>
      <c r="M11" s="2" t="s">
        <v>25</v>
      </c>
      <c r="N11" s="195" t="s">
        <v>145</v>
      </c>
      <c r="O11" s="326" t="s">
        <v>144</v>
      </c>
      <c r="P11" s="196" t="s">
        <v>146</v>
      </c>
      <c r="Q11" s="194"/>
      <c r="R11" s="38" t="s">
        <v>29</v>
      </c>
      <c r="S11" s="38" t="s">
        <v>204</v>
      </c>
      <c r="T11" s="37" t="s">
        <v>34</v>
      </c>
      <c r="U11" s="37" t="s">
        <v>27</v>
      </c>
      <c r="V11" s="38" t="s">
        <v>39</v>
      </c>
      <c r="W11" s="38" t="s">
        <v>30</v>
      </c>
      <c r="X11" s="74" t="s">
        <v>36</v>
      </c>
      <c r="Y11" s="38" t="s">
        <v>31</v>
      </c>
      <c r="Z11" s="37" t="s">
        <v>32</v>
      </c>
      <c r="AA11" s="41" t="s">
        <v>33</v>
      </c>
    </row>
    <row r="12" spans="1:27" x14ac:dyDescent="0.25">
      <c r="A12" s="65">
        <v>2.5</v>
      </c>
      <c r="B12" s="65">
        <v>60</v>
      </c>
      <c r="C12" s="65">
        <v>108</v>
      </c>
      <c r="D12" s="66" t="s">
        <v>0</v>
      </c>
      <c r="E12" s="66">
        <v>7.4999999999999997E-2</v>
      </c>
      <c r="F12" s="7">
        <f>(A12+B12)*C12</f>
        <v>6750</v>
      </c>
      <c r="G12" s="7">
        <f>(A12+B12)/E12</f>
        <v>833.33333333333337</v>
      </c>
      <c r="H12" s="7">
        <f t="shared" ref="H12" si="4">C12/10</f>
        <v>10.8</v>
      </c>
      <c r="I12" s="66">
        <v>6</v>
      </c>
      <c r="J12" s="67">
        <f t="shared" ref="J12" si="5">H12*G12/60</f>
        <v>150.00000000000003</v>
      </c>
      <c r="K12" s="67">
        <f>J12+I12</f>
        <v>156.00000000000003</v>
      </c>
      <c r="L12" s="68">
        <v>225</v>
      </c>
      <c r="M12" s="69">
        <f>L12/60</f>
        <v>3.75</v>
      </c>
      <c r="N12" s="70">
        <f>ROUNDUP(K12*M12,1)</f>
        <v>585</v>
      </c>
      <c r="O12" s="327">
        <f>ROUNDUP(X37, 1)</f>
        <v>639</v>
      </c>
      <c r="P12" s="216">
        <f>IF(N12&gt;O12, N12, O12)</f>
        <v>639</v>
      </c>
      <c r="Q12" s="23" t="s">
        <v>166</v>
      </c>
      <c r="R12" s="32">
        <v>1</v>
      </c>
      <c r="S12" s="325">
        <f>P12*R12</f>
        <v>639</v>
      </c>
      <c r="T12" s="33">
        <f>IF(S12&gt;Z12, S12, Z12)</f>
        <v>639</v>
      </c>
      <c r="U12" s="30">
        <v>0</v>
      </c>
      <c r="V12" s="79">
        <v>0.02</v>
      </c>
      <c r="W12" s="33">
        <f>T12+U12</f>
        <v>639</v>
      </c>
      <c r="X12" s="77">
        <f>ROUNDUP(W12*V12,0)</f>
        <v>13</v>
      </c>
      <c r="Y12" s="33">
        <f>W12+X12</f>
        <v>652</v>
      </c>
      <c r="Z12" s="57">
        <v>225</v>
      </c>
      <c r="AA12" s="78">
        <f>ROUNDDOWN(Z12/N12,0)</f>
        <v>0</v>
      </c>
    </row>
    <row r="13" spans="1:27" ht="18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24"/>
      <c r="R13" s="21"/>
      <c r="S13" s="21"/>
      <c r="T13" s="27"/>
      <c r="U13" s="28"/>
      <c r="V13" s="72"/>
      <c r="W13" s="27"/>
      <c r="X13" s="76"/>
      <c r="Y13" s="27"/>
      <c r="Z13" s="25"/>
      <c r="AA13" s="26"/>
    </row>
    <row r="14" spans="1:27" ht="21" x14ac:dyDescent="0.25">
      <c r="A14" s="292" t="s">
        <v>190</v>
      </c>
      <c r="B14" s="217"/>
      <c r="C14" s="217"/>
      <c r="D14" s="217"/>
      <c r="E14" s="217"/>
      <c r="F14" s="217"/>
      <c r="G14" s="217"/>
      <c r="H14" s="217"/>
      <c r="I14" s="10"/>
      <c r="J14" s="10"/>
      <c r="K14" s="10"/>
      <c r="L14" s="10"/>
      <c r="M14" s="10"/>
      <c r="N14" s="10"/>
      <c r="O14" s="193"/>
      <c r="P14" s="193"/>
      <c r="Q14" s="21"/>
      <c r="R14" s="21"/>
      <c r="S14" s="21"/>
      <c r="T14" s="22"/>
      <c r="U14" s="22"/>
      <c r="V14" s="22"/>
      <c r="W14" s="22"/>
      <c r="X14" s="75"/>
      <c r="Y14" s="22"/>
      <c r="Z14" s="22"/>
      <c r="AA14" s="22"/>
    </row>
    <row r="15" spans="1:27" ht="60" x14ac:dyDescent="0.25">
      <c r="A15" s="2" t="s">
        <v>23</v>
      </c>
      <c r="B15" s="2" t="s">
        <v>8</v>
      </c>
      <c r="C15" s="2" t="s">
        <v>7</v>
      </c>
      <c r="D15" s="2" t="s">
        <v>2</v>
      </c>
      <c r="E15" s="2" t="s">
        <v>1</v>
      </c>
      <c r="F15" s="2" t="s">
        <v>6</v>
      </c>
      <c r="G15" s="2" t="s">
        <v>3</v>
      </c>
      <c r="H15" s="2" t="s">
        <v>21</v>
      </c>
      <c r="I15" s="2" t="s">
        <v>9</v>
      </c>
      <c r="J15" s="2" t="s">
        <v>4</v>
      </c>
      <c r="K15" s="2" t="s">
        <v>10</v>
      </c>
      <c r="L15" s="2" t="s">
        <v>24</v>
      </c>
      <c r="M15" s="2" t="s">
        <v>25</v>
      </c>
      <c r="N15" s="195" t="s">
        <v>145</v>
      </c>
      <c r="O15" s="326" t="s">
        <v>144</v>
      </c>
      <c r="P15" s="196" t="s">
        <v>146</v>
      </c>
      <c r="Q15" s="194"/>
      <c r="R15" s="38" t="s">
        <v>29</v>
      </c>
      <c r="S15" s="38" t="s">
        <v>204</v>
      </c>
      <c r="T15" s="37" t="s">
        <v>34</v>
      </c>
      <c r="U15" s="37" t="s">
        <v>27</v>
      </c>
      <c r="V15" s="38" t="s">
        <v>39</v>
      </c>
      <c r="W15" s="38" t="s">
        <v>30</v>
      </c>
      <c r="X15" s="74" t="s">
        <v>36</v>
      </c>
      <c r="Y15" s="38" t="s">
        <v>31</v>
      </c>
      <c r="Z15" s="37" t="s">
        <v>32</v>
      </c>
      <c r="AA15" s="41" t="s">
        <v>33</v>
      </c>
    </row>
    <row r="16" spans="1:27" x14ac:dyDescent="0.25">
      <c r="A16" s="65">
        <v>2</v>
      </c>
      <c r="B16" s="65">
        <v>48</v>
      </c>
      <c r="C16" s="65">
        <v>144</v>
      </c>
      <c r="D16" s="66" t="s">
        <v>0</v>
      </c>
      <c r="E16" s="66">
        <v>5.5E-2</v>
      </c>
      <c r="F16" s="7">
        <f>(A16+B16)*C16</f>
        <v>7200</v>
      </c>
      <c r="G16" s="7">
        <f>(A16+B16)/E16</f>
        <v>909.09090909090912</v>
      </c>
      <c r="H16" s="7">
        <f t="shared" ref="H16" si="6">C16/10</f>
        <v>14.4</v>
      </c>
      <c r="I16" s="66">
        <v>6</v>
      </c>
      <c r="J16" s="67">
        <f t="shared" ref="J16" si="7">H16*G16/60</f>
        <v>218.18181818181819</v>
      </c>
      <c r="K16" s="67">
        <f>J16+I16</f>
        <v>224.18181818181819</v>
      </c>
      <c r="L16" s="68">
        <v>225</v>
      </c>
      <c r="M16" s="69">
        <f>L16/60</f>
        <v>3.75</v>
      </c>
      <c r="N16" s="70">
        <f>ROUNDUP(K16*M16,1)</f>
        <v>840.7</v>
      </c>
      <c r="O16" s="327">
        <f>ROUNDUP(X38, 1)</f>
        <v>636.20000000000005</v>
      </c>
      <c r="P16" s="216">
        <f>IF(N16&gt;O16, N16, O16)</f>
        <v>840.7</v>
      </c>
      <c r="Q16" s="23" t="s">
        <v>167</v>
      </c>
      <c r="R16" s="32">
        <v>1</v>
      </c>
      <c r="S16" s="325">
        <f>P16*R16</f>
        <v>840.7</v>
      </c>
      <c r="T16" s="33">
        <f>IF(S16&gt;Z16, S16, Z16)</f>
        <v>840.7</v>
      </c>
      <c r="U16" s="30">
        <v>125</v>
      </c>
      <c r="V16" s="79">
        <v>0.02</v>
      </c>
      <c r="W16" s="33">
        <f>T16+U16</f>
        <v>965.7</v>
      </c>
      <c r="X16" s="77">
        <f>ROUNDUP(W16*V16,0)</f>
        <v>20</v>
      </c>
      <c r="Y16" s="33">
        <f>W16+X16</f>
        <v>985.7</v>
      </c>
      <c r="Z16" s="57">
        <v>225</v>
      </c>
      <c r="AA16" s="78">
        <f>ROUNDDOWN(Z16/N16,0)</f>
        <v>0</v>
      </c>
    </row>
    <row r="18" spans="1:35" ht="21" x14ac:dyDescent="0.25">
      <c r="A18" s="526" t="s">
        <v>447</v>
      </c>
      <c r="B18" s="527"/>
      <c r="C18" s="527"/>
      <c r="D18" s="527"/>
      <c r="E18" s="527"/>
      <c r="F18" s="527"/>
      <c r="G18" s="527"/>
      <c r="H18" s="527"/>
      <c r="I18" s="527"/>
      <c r="J18" s="10"/>
      <c r="K18" s="10"/>
      <c r="L18" s="10"/>
      <c r="M18" s="10"/>
      <c r="N18" s="10"/>
      <c r="O18" s="193"/>
      <c r="P18" s="193"/>
      <c r="Q18" s="21"/>
      <c r="R18" s="21"/>
      <c r="S18" s="21"/>
      <c r="T18" s="22"/>
      <c r="U18" s="22"/>
      <c r="V18" s="22"/>
      <c r="W18" s="22"/>
      <c r="X18" s="75"/>
      <c r="Y18" s="22"/>
      <c r="Z18" s="22"/>
      <c r="AA18" s="22"/>
    </row>
    <row r="19" spans="1:35" ht="60" x14ac:dyDescent="0.25">
      <c r="A19" s="2" t="s">
        <v>23</v>
      </c>
      <c r="B19" s="2" t="s">
        <v>8</v>
      </c>
      <c r="C19" s="2" t="s">
        <v>7</v>
      </c>
      <c r="D19" s="2" t="s">
        <v>2</v>
      </c>
      <c r="E19" s="2" t="s">
        <v>1</v>
      </c>
      <c r="F19" s="2" t="s">
        <v>6</v>
      </c>
      <c r="G19" s="2" t="s">
        <v>3</v>
      </c>
      <c r="H19" s="2" t="s">
        <v>21</v>
      </c>
      <c r="I19" s="2" t="s">
        <v>9</v>
      </c>
      <c r="J19" s="2" t="s">
        <v>4</v>
      </c>
      <c r="K19" s="2" t="s">
        <v>10</v>
      </c>
      <c r="L19" s="2" t="s">
        <v>24</v>
      </c>
      <c r="M19" s="2" t="s">
        <v>25</v>
      </c>
      <c r="N19" s="195" t="s">
        <v>145</v>
      </c>
      <c r="O19" s="326" t="s">
        <v>144</v>
      </c>
      <c r="P19" s="196" t="s">
        <v>146</v>
      </c>
      <c r="Q19" s="194"/>
      <c r="R19" s="38" t="s">
        <v>29</v>
      </c>
      <c r="S19" s="38" t="s">
        <v>204</v>
      </c>
      <c r="T19" s="37" t="s">
        <v>34</v>
      </c>
      <c r="U19" s="37" t="s">
        <v>27</v>
      </c>
      <c r="V19" s="38" t="s">
        <v>39</v>
      </c>
      <c r="W19" s="38" t="s">
        <v>30</v>
      </c>
      <c r="X19" s="74" t="s">
        <v>36</v>
      </c>
      <c r="Y19" s="38" t="s">
        <v>31</v>
      </c>
      <c r="Z19" s="37" t="s">
        <v>32</v>
      </c>
      <c r="AA19" s="41" t="s">
        <v>33</v>
      </c>
    </row>
    <row r="20" spans="1:35" x14ac:dyDescent="0.25">
      <c r="A20" s="65">
        <v>2</v>
      </c>
      <c r="B20" s="65">
        <v>48</v>
      </c>
      <c r="C20" s="65">
        <v>144</v>
      </c>
      <c r="D20" s="66" t="s">
        <v>0</v>
      </c>
      <c r="E20" s="66">
        <v>8.5000000000000006E-2</v>
      </c>
      <c r="F20" s="7">
        <f>(A20+B20)*C20</f>
        <v>7200</v>
      </c>
      <c r="G20" s="7">
        <f>(A20+B20)/E20</f>
        <v>588.23529411764707</v>
      </c>
      <c r="H20" s="7">
        <f t="shared" ref="H20" si="8">C20/10</f>
        <v>14.4</v>
      </c>
      <c r="I20" s="66">
        <v>6</v>
      </c>
      <c r="J20" s="67">
        <f t="shared" ref="J20" si="9">H20*G20/60</f>
        <v>141.1764705882353</v>
      </c>
      <c r="K20" s="67">
        <f>J20+I20</f>
        <v>147.1764705882353</v>
      </c>
      <c r="L20" s="68">
        <v>225</v>
      </c>
      <c r="M20" s="69">
        <f>L20/60</f>
        <v>3.75</v>
      </c>
      <c r="N20" s="70">
        <f>ROUNDUP(K20*M20,1)</f>
        <v>552</v>
      </c>
      <c r="O20" s="327">
        <f>AI37</f>
        <v>545.28</v>
      </c>
      <c r="P20" s="216">
        <f>IF(N20&gt;O20, N20, O20)</f>
        <v>552</v>
      </c>
      <c r="Q20" s="23" t="s">
        <v>166</v>
      </c>
      <c r="R20" s="32">
        <v>1</v>
      </c>
      <c r="S20" s="325">
        <f>P20*R20</f>
        <v>552</v>
      </c>
      <c r="T20" s="33">
        <f>IF(S20&gt;Z20, S20, Z20)</f>
        <v>552</v>
      </c>
      <c r="U20" s="30">
        <v>0</v>
      </c>
      <c r="V20" s="79">
        <v>0.02</v>
      </c>
      <c r="W20" s="33">
        <f>T20+U20</f>
        <v>552</v>
      </c>
      <c r="X20" s="77">
        <f>ROUNDUP(W20*V20,0)</f>
        <v>12</v>
      </c>
      <c r="Y20" s="33">
        <f>W20+X20</f>
        <v>564</v>
      </c>
      <c r="Z20" s="57">
        <v>225</v>
      </c>
      <c r="AA20" s="78">
        <f>ROUNDDOWN(Z20/N20,0)</f>
        <v>0</v>
      </c>
    </row>
    <row r="21" spans="1:35" ht="18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Q21" s="24"/>
      <c r="R21" s="21"/>
      <c r="S21" s="21"/>
      <c r="T21" s="27"/>
      <c r="U21" s="28"/>
      <c r="V21" s="72"/>
      <c r="W21" s="27"/>
      <c r="X21" s="76"/>
      <c r="Y21" s="27"/>
      <c r="Z21" s="25"/>
      <c r="AA21" s="26"/>
    </row>
    <row r="22" spans="1:35" ht="21" x14ac:dyDescent="0.25">
      <c r="A22" s="526" t="s">
        <v>446</v>
      </c>
      <c r="B22" s="527"/>
      <c r="C22" s="527"/>
      <c r="D22" s="527"/>
      <c r="E22" s="527"/>
      <c r="F22" s="527"/>
      <c r="G22" s="527"/>
      <c r="H22" s="527"/>
      <c r="I22" s="527"/>
      <c r="J22" s="10"/>
      <c r="K22" s="10"/>
      <c r="L22" s="10"/>
      <c r="M22" s="10"/>
      <c r="N22" s="10"/>
      <c r="O22" s="193"/>
      <c r="P22" s="193"/>
      <c r="Q22" s="21"/>
      <c r="R22" s="21"/>
      <c r="S22" s="21"/>
      <c r="T22" s="22"/>
      <c r="U22" s="22"/>
      <c r="V22" s="22"/>
      <c r="W22" s="22"/>
      <c r="X22" s="75"/>
      <c r="Y22" s="22"/>
      <c r="Z22" s="22"/>
      <c r="AA22" s="22"/>
    </row>
    <row r="23" spans="1:35" ht="60" x14ac:dyDescent="0.25">
      <c r="A23" s="2" t="s">
        <v>23</v>
      </c>
      <c r="B23" s="2" t="s">
        <v>8</v>
      </c>
      <c r="C23" s="2" t="s">
        <v>7</v>
      </c>
      <c r="D23" s="2" t="s">
        <v>2</v>
      </c>
      <c r="E23" s="2" t="s">
        <v>1</v>
      </c>
      <c r="F23" s="2" t="s">
        <v>6</v>
      </c>
      <c r="G23" s="2" t="s">
        <v>3</v>
      </c>
      <c r="H23" s="2" t="s">
        <v>21</v>
      </c>
      <c r="I23" s="2" t="s">
        <v>9</v>
      </c>
      <c r="J23" s="2" t="s">
        <v>4</v>
      </c>
      <c r="K23" s="2" t="s">
        <v>10</v>
      </c>
      <c r="L23" s="2" t="s">
        <v>24</v>
      </c>
      <c r="M23" s="2" t="s">
        <v>25</v>
      </c>
      <c r="N23" s="195" t="s">
        <v>145</v>
      </c>
      <c r="O23" s="326" t="s">
        <v>144</v>
      </c>
      <c r="P23" s="196" t="s">
        <v>146</v>
      </c>
      <c r="Q23" s="194"/>
      <c r="R23" s="38" t="s">
        <v>29</v>
      </c>
      <c r="S23" s="38" t="s">
        <v>204</v>
      </c>
      <c r="T23" s="37" t="s">
        <v>34</v>
      </c>
      <c r="U23" s="37" t="s">
        <v>27</v>
      </c>
      <c r="V23" s="38" t="s">
        <v>39</v>
      </c>
      <c r="W23" s="38" t="s">
        <v>30</v>
      </c>
      <c r="X23" s="74" t="s">
        <v>36</v>
      </c>
      <c r="Y23" s="38" t="s">
        <v>31</v>
      </c>
      <c r="Z23" s="37" t="s">
        <v>32</v>
      </c>
      <c r="AA23" s="41" t="s">
        <v>33</v>
      </c>
    </row>
    <row r="24" spans="1:35" x14ac:dyDescent="0.25">
      <c r="A24" s="65">
        <v>2</v>
      </c>
      <c r="B24" s="65">
        <v>48</v>
      </c>
      <c r="C24" s="65">
        <v>144</v>
      </c>
      <c r="D24" s="66" t="s">
        <v>0</v>
      </c>
      <c r="E24" s="66">
        <v>7.4999999999999997E-2</v>
      </c>
      <c r="F24" s="7">
        <f>(A24+B24)*C24</f>
        <v>7200</v>
      </c>
      <c r="G24" s="7">
        <f>(A24+B24)/E24</f>
        <v>666.66666666666674</v>
      </c>
      <c r="H24" s="7">
        <f t="shared" ref="H24" si="10">C24/10</f>
        <v>14.4</v>
      </c>
      <c r="I24" s="66">
        <v>6</v>
      </c>
      <c r="J24" s="67">
        <f t="shared" ref="J24" si="11">H24*G24/60</f>
        <v>160.00000000000003</v>
      </c>
      <c r="K24" s="67">
        <f>J24+I24</f>
        <v>166.00000000000003</v>
      </c>
      <c r="L24" s="68">
        <v>225</v>
      </c>
      <c r="M24" s="69">
        <f>L24/60</f>
        <v>3.75</v>
      </c>
      <c r="N24" s="70">
        <f>ROUNDUP(K24*M24,1)</f>
        <v>622.5</v>
      </c>
      <c r="O24" s="327">
        <f>AI38</f>
        <v>636.16000000000008</v>
      </c>
      <c r="P24" s="216">
        <f>IF(N24&gt;O24, N24, O24)</f>
        <v>636.16000000000008</v>
      </c>
      <c r="Q24" s="23" t="s">
        <v>167</v>
      </c>
      <c r="R24" s="32">
        <v>1</v>
      </c>
      <c r="S24" s="325">
        <f>P24*R24</f>
        <v>636.16000000000008</v>
      </c>
      <c r="T24" s="33">
        <f>IF(S24&gt;Z24, S24, Z24)</f>
        <v>636.16000000000008</v>
      </c>
      <c r="U24" s="30">
        <v>125</v>
      </c>
      <c r="V24" s="79">
        <v>0.02</v>
      </c>
      <c r="W24" s="33">
        <f>T24+U24</f>
        <v>761.16000000000008</v>
      </c>
      <c r="X24" s="77">
        <f>ROUNDUP(W24*V24,0)</f>
        <v>16</v>
      </c>
      <c r="Y24" s="33">
        <f>W24+X24</f>
        <v>777.16000000000008</v>
      </c>
      <c r="Z24" s="57">
        <v>225</v>
      </c>
      <c r="AA24" s="78">
        <f>ROUNDDOWN(Z24/N24,0)</f>
        <v>0</v>
      </c>
    </row>
    <row r="25" spans="1:35" ht="45" x14ac:dyDescent="0.25">
      <c r="A25" s="4" t="s">
        <v>13</v>
      </c>
      <c r="B25" s="4" t="s">
        <v>7</v>
      </c>
      <c r="C25" s="2" t="s">
        <v>2</v>
      </c>
      <c r="D25" s="4" t="s">
        <v>1</v>
      </c>
      <c r="E25" s="5" t="s">
        <v>20</v>
      </c>
      <c r="F25" s="4" t="s">
        <v>14</v>
      </c>
      <c r="G25" s="4" t="s">
        <v>15</v>
      </c>
      <c r="H25" s="4" t="s">
        <v>17</v>
      </c>
      <c r="I25" s="4" t="s">
        <v>16</v>
      </c>
      <c r="J25" s="4" t="s">
        <v>18</v>
      </c>
      <c r="K25" s="2" t="s">
        <v>24</v>
      </c>
      <c r="L25" s="2" t="s">
        <v>25</v>
      </c>
      <c r="M25" s="6" t="s">
        <v>19</v>
      </c>
      <c r="N25" s="6"/>
      <c r="O25" s="6"/>
      <c r="P25" s="37"/>
      <c r="Q25" s="38" t="s">
        <v>29</v>
      </c>
      <c r="R25" s="44" t="s">
        <v>34</v>
      </c>
      <c r="S25" s="44"/>
      <c r="T25" s="42" t="s">
        <v>27</v>
      </c>
      <c r="U25" s="73" t="s">
        <v>39</v>
      </c>
      <c r="V25" s="44" t="s">
        <v>30</v>
      </c>
      <c r="W25" s="45" t="s">
        <v>36</v>
      </c>
      <c r="X25" s="44" t="s">
        <v>31</v>
      </c>
      <c r="Y25" s="37" t="s">
        <v>32</v>
      </c>
      <c r="Z25" s="41" t="s">
        <v>33</v>
      </c>
    </row>
    <row r="26" spans="1:35" x14ac:dyDescent="0.25">
      <c r="A26" s="14">
        <v>5</v>
      </c>
      <c r="B26" s="14">
        <v>144</v>
      </c>
      <c r="C26" s="66" t="s">
        <v>0</v>
      </c>
      <c r="D26" s="16">
        <v>6.5000000000000002E-2</v>
      </c>
      <c r="E26" s="16">
        <f>A26*3.14</f>
        <v>15.700000000000001</v>
      </c>
      <c r="F26" s="17">
        <f>E26/D26</f>
        <v>241.53846153846155</v>
      </c>
      <c r="G26" s="16">
        <f>B26/10</f>
        <v>14.4</v>
      </c>
      <c r="H26" s="16">
        <v>3</v>
      </c>
      <c r="I26" s="19">
        <f>G26*F26/60</f>
        <v>57.969230769230769</v>
      </c>
      <c r="J26" s="20">
        <f>I26+H26</f>
        <v>60.969230769230769</v>
      </c>
      <c r="K26" s="68">
        <v>225</v>
      </c>
      <c r="L26" s="69">
        <f>K26/60</f>
        <v>3.75</v>
      </c>
      <c r="M26" s="18">
        <f>ROUNDUP(J26*L26,1)</f>
        <v>228.7</v>
      </c>
      <c r="N26" s="212"/>
      <c r="O26" s="212"/>
      <c r="P26" s="56" t="s">
        <v>143</v>
      </c>
      <c r="Q26" s="32">
        <v>12</v>
      </c>
      <c r="R26" s="33">
        <f>M26*Q26</f>
        <v>2744.3999999999996</v>
      </c>
      <c r="S26" s="33"/>
      <c r="T26" s="30">
        <v>125</v>
      </c>
      <c r="U26" s="79">
        <v>0.02</v>
      </c>
      <c r="V26" s="33">
        <f>R26+T26</f>
        <v>2869.3999999999996</v>
      </c>
      <c r="W26" s="77">
        <f>ROUNDUP(V26*U26,0)</f>
        <v>58</v>
      </c>
      <c r="X26" s="33">
        <f t="shared" ref="X26" si="12">V26+W26</f>
        <v>2927.3999999999996</v>
      </c>
      <c r="Y26" s="57">
        <v>225</v>
      </c>
      <c r="Z26" s="78">
        <f>ROUNDDOWN(Y26/M26,0)</f>
        <v>0</v>
      </c>
    </row>
    <row r="27" spans="1:35" x14ac:dyDescent="0.25">
      <c r="A27" s="171"/>
      <c r="B27" s="198"/>
      <c r="C27" s="198"/>
      <c r="D27" s="198"/>
      <c r="E27" s="198"/>
      <c r="F27" s="198"/>
      <c r="G27" s="173"/>
    </row>
    <row r="28" spans="1:35" x14ac:dyDescent="0.25">
      <c r="A28" s="174"/>
      <c r="G28" s="176"/>
      <c r="Q28" s="171"/>
      <c r="R28" s="198"/>
      <c r="S28" s="198"/>
      <c r="T28" s="198"/>
      <c r="U28" s="198"/>
      <c r="V28" s="198"/>
      <c r="W28" s="198"/>
      <c r="X28" s="173"/>
      <c r="Z28" t="s">
        <v>184</v>
      </c>
      <c r="AB28" s="171"/>
      <c r="AC28" s="198"/>
      <c r="AD28" s="198"/>
      <c r="AE28" s="198"/>
      <c r="AF28" s="198"/>
      <c r="AG28" s="198"/>
      <c r="AH28" s="198"/>
      <c r="AI28" s="173"/>
    </row>
    <row r="29" spans="1:35" x14ac:dyDescent="0.25">
      <c r="A29" s="174"/>
      <c r="G29" s="176"/>
      <c r="J29" s="171"/>
      <c r="K29" s="198"/>
      <c r="L29" s="215" t="s">
        <v>163</v>
      </c>
      <c r="M29" s="198"/>
      <c r="N29" s="198"/>
      <c r="O29" s="173"/>
      <c r="Q29" s="174"/>
      <c r="X29" s="176"/>
      <c r="Z29" s="260">
        <v>10000</v>
      </c>
      <c r="AB29" s="174"/>
      <c r="AI29" s="176"/>
    </row>
    <row r="30" spans="1:35" x14ac:dyDescent="0.25">
      <c r="A30" s="174" t="s">
        <v>92</v>
      </c>
      <c r="B30">
        <f>12^3</f>
        <v>1728</v>
      </c>
      <c r="C30" t="s">
        <v>93</v>
      </c>
      <c r="G30" s="176"/>
      <c r="J30" s="174"/>
      <c r="M30" t="s">
        <v>94</v>
      </c>
      <c r="N30">
        <v>62.427959999999999</v>
      </c>
      <c r="O30" s="176"/>
      <c r="Q30" s="174" t="s">
        <v>92</v>
      </c>
      <c r="R30">
        <f>12^3</f>
        <v>1728</v>
      </c>
      <c r="T30" t="s">
        <v>93</v>
      </c>
      <c r="X30" s="176"/>
      <c r="Z30">
        <v>6000</v>
      </c>
      <c r="AB30" s="174" t="s">
        <v>92</v>
      </c>
      <c r="AC30">
        <f>12^3</f>
        <v>1728</v>
      </c>
      <c r="AE30" t="s">
        <v>93</v>
      </c>
      <c r="AI30" s="176"/>
    </row>
    <row r="31" spans="1:35" x14ac:dyDescent="0.25">
      <c r="A31" s="174"/>
      <c r="C31" t="s">
        <v>95</v>
      </c>
      <c r="E31" s="161">
        <v>511.8</v>
      </c>
      <c r="G31" s="176"/>
      <c r="J31" s="174" t="s">
        <v>96</v>
      </c>
      <c r="K31" t="s">
        <v>97</v>
      </c>
      <c r="L31" t="s">
        <v>98</v>
      </c>
      <c r="M31" t="s">
        <v>99</v>
      </c>
      <c r="O31" s="176"/>
      <c r="Q31" s="174"/>
      <c r="T31" t="s">
        <v>95</v>
      </c>
      <c r="V31" s="161">
        <v>568</v>
      </c>
      <c r="X31" s="176"/>
      <c r="Z31">
        <v>4000</v>
      </c>
      <c r="AB31" s="174"/>
      <c r="AE31" t="s">
        <v>95</v>
      </c>
      <c r="AG31" s="161">
        <v>178</v>
      </c>
      <c r="AI31" s="176"/>
    </row>
    <row r="32" spans="1:35" x14ac:dyDescent="0.25">
      <c r="A32" s="174"/>
      <c r="C32" t="s">
        <v>161</v>
      </c>
      <c r="E32" s="162">
        <v>0.12</v>
      </c>
      <c r="G32" s="176"/>
      <c r="J32" s="174" t="s">
        <v>101</v>
      </c>
      <c r="K32">
        <v>7075</v>
      </c>
      <c r="L32">
        <v>2.81</v>
      </c>
      <c r="M32">
        <f>L32*$N$30</f>
        <v>175.42256760000001</v>
      </c>
      <c r="O32" s="176"/>
      <c r="Q32" s="174"/>
      <c r="T32" t="s">
        <v>161</v>
      </c>
      <c r="V32" s="162">
        <v>0.12</v>
      </c>
      <c r="X32" s="176"/>
      <c r="AB32" s="174"/>
      <c r="AE32" t="s">
        <v>161</v>
      </c>
      <c r="AG32" s="162">
        <v>0.12</v>
      </c>
      <c r="AI32" s="176"/>
    </row>
    <row r="33" spans="1:35" x14ac:dyDescent="0.25">
      <c r="A33" s="174"/>
      <c r="C33" t="s">
        <v>162</v>
      </c>
      <c r="E33" s="258">
        <v>0.14000000000000001</v>
      </c>
      <c r="G33" s="176"/>
      <c r="J33" s="174" t="s">
        <v>101</v>
      </c>
      <c r="K33">
        <v>2219</v>
      </c>
      <c r="L33">
        <v>2.84</v>
      </c>
      <c r="M33">
        <f>L33*$N$30</f>
        <v>177.29540639999999</v>
      </c>
      <c r="O33" s="176"/>
      <c r="Q33" s="174"/>
      <c r="T33" t="s">
        <v>162</v>
      </c>
      <c r="V33" s="259">
        <v>0.14000000000000001</v>
      </c>
      <c r="X33" s="176"/>
      <c r="AB33" s="174"/>
      <c r="AE33" t="s">
        <v>162</v>
      </c>
      <c r="AG33" s="259">
        <v>0.14000000000000001</v>
      </c>
      <c r="AI33" s="176"/>
    </row>
    <row r="34" spans="1:35" x14ac:dyDescent="0.25">
      <c r="A34" s="174"/>
      <c r="G34" s="176"/>
      <c r="J34" s="174" t="s">
        <v>101</v>
      </c>
      <c r="K34">
        <v>6061</v>
      </c>
      <c r="L34">
        <v>2.7</v>
      </c>
      <c r="M34">
        <f>L34*$N$30</f>
        <v>168.55549200000002</v>
      </c>
      <c r="O34" s="176"/>
      <c r="Q34" s="174"/>
      <c r="X34" s="176"/>
      <c r="AB34" s="174"/>
      <c r="AI34" s="176"/>
    </row>
    <row r="35" spans="1:35" x14ac:dyDescent="0.25">
      <c r="A35" s="174"/>
      <c r="G35" s="176"/>
      <c r="J35" s="174" t="s">
        <v>101</v>
      </c>
      <c r="K35">
        <v>7050</v>
      </c>
      <c r="L35">
        <v>2.83</v>
      </c>
      <c r="M35">
        <f>L35*$N$30</f>
        <v>176.6711268</v>
      </c>
      <c r="O35" s="176"/>
      <c r="Q35" s="174"/>
      <c r="X35" s="176"/>
      <c r="AB35" s="174"/>
      <c r="AI35" s="176"/>
    </row>
    <row r="36" spans="1:35" x14ac:dyDescent="0.25">
      <c r="A36" s="213" t="s">
        <v>102</v>
      </c>
      <c r="B36" s="163" t="s">
        <v>103</v>
      </c>
      <c r="C36" s="163" t="s">
        <v>104</v>
      </c>
      <c r="D36" s="163" t="s">
        <v>105</v>
      </c>
      <c r="E36" s="163" t="s">
        <v>106</v>
      </c>
      <c r="F36" s="163" t="s">
        <v>107</v>
      </c>
      <c r="G36" s="214" t="s">
        <v>108</v>
      </c>
      <c r="H36" s="163"/>
      <c r="I36" s="163"/>
      <c r="J36" s="213" t="s">
        <v>109</v>
      </c>
      <c r="K36" s="163"/>
      <c r="L36" s="163"/>
      <c r="M36" s="163">
        <v>494.21</v>
      </c>
      <c r="N36" s="163" t="s">
        <v>110</v>
      </c>
      <c r="O36" s="214"/>
      <c r="P36" s="163"/>
      <c r="Q36" s="213" t="s">
        <v>102</v>
      </c>
      <c r="R36" s="163" t="s">
        <v>103</v>
      </c>
      <c r="S36" s="163"/>
      <c r="T36" s="163" t="s">
        <v>104</v>
      </c>
      <c r="U36" s="163" t="s">
        <v>105</v>
      </c>
      <c r="V36" s="163" t="s">
        <v>106</v>
      </c>
      <c r="W36" s="163" t="s">
        <v>107</v>
      </c>
      <c r="X36" s="214" t="s">
        <v>108</v>
      </c>
      <c r="AB36" s="213" t="s">
        <v>102</v>
      </c>
      <c r="AC36" s="163" t="s">
        <v>103</v>
      </c>
      <c r="AD36" s="163"/>
      <c r="AE36" s="163" t="s">
        <v>104</v>
      </c>
      <c r="AF36" s="163" t="s">
        <v>105</v>
      </c>
      <c r="AG36" s="163" t="s">
        <v>106</v>
      </c>
      <c r="AH36" s="163" t="s">
        <v>107</v>
      </c>
      <c r="AI36" s="214" t="s">
        <v>108</v>
      </c>
    </row>
    <row r="37" spans="1:35" x14ac:dyDescent="0.25">
      <c r="A37" s="222">
        <f>A3</f>
        <v>3</v>
      </c>
      <c r="B37" s="164">
        <f>B3</f>
        <v>39</v>
      </c>
      <c r="C37" s="164">
        <f>C3</f>
        <v>111</v>
      </c>
      <c r="D37">
        <f>A37*B37*C37</f>
        <v>12987</v>
      </c>
      <c r="E37">
        <f>D37/$B$30</f>
        <v>7.515625</v>
      </c>
      <c r="F37">
        <f>E37*$E$31</f>
        <v>3846.4968750000003</v>
      </c>
      <c r="G37" s="223">
        <f>F37*$E$32</f>
        <v>461.57962500000002</v>
      </c>
      <c r="J37" s="174" t="s">
        <v>111</v>
      </c>
      <c r="M37">
        <v>283.39</v>
      </c>
      <c r="N37" t="s">
        <v>112</v>
      </c>
      <c r="O37" s="176"/>
      <c r="Q37" s="222">
        <f>A12</f>
        <v>2.5</v>
      </c>
      <c r="R37" s="164">
        <f>B12</f>
        <v>60</v>
      </c>
      <c r="S37" s="164"/>
      <c r="T37" s="164">
        <f>C12</f>
        <v>108</v>
      </c>
      <c r="U37">
        <f>Q37*R37*T37</f>
        <v>16200</v>
      </c>
      <c r="V37">
        <f>U37/$B$30</f>
        <v>9.375</v>
      </c>
      <c r="W37">
        <f>V37*$V$31</f>
        <v>5325</v>
      </c>
      <c r="X37" s="223">
        <f>W37*$V$32</f>
        <v>639</v>
      </c>
      <c r="AB37" s="222">
        <f>A20</f>
        <v>2</v>
      </c>
      <c r="AC37" s="164">
        <f>B20</f>
        <v>48</v>
      </c>
      <c r="AD37" s="164"/>
      <c r="AE37" s="164">
        <f>C20</f>
        <v>144</v>
      </c>
      <c r="AF37">
        <f>AB37*AC37*AE37</f>
        <v>13824</v>
      </c>
      <c r="AG37">
        <f>AF37/$B$30</f>
        <v>8</v>
      </c>
      <c r="AH37">
        <f>AG37*$V$31</f>
        <v>4544</v>
      </c>
      <c r="AI37" s="223">
        <f>AH37*$AG$32</f>
        <v>545.28</v>
      </c>
    </row>
    <row r="38" spans="1:35" x14ac:dyDescent="0.25">
      <c r="A38" s="224">
        <f>+A7</f>
        <v>3</v>
      </c>
      <c r="B38" s="165">
        <f>B7</f>
        <v>37</v>
      </c>
      <c r="C38" s="165">
        <f>C7</f>
        <v>120</v>
      </c>
      <c r="D38">
        <f t="shared" ref="D38:D41" si="13">A38*B38*C38</f>
        <v>13320</v>
      </c>
      <c r="E38">
        <f>D38/$B$30</f>
        <v>7.708333333333333</v>
      </c>
      <c r="F38">
        <f>E38*$E$31</f>
        <v>3945.125</v>
      </c>
      <c r="G38" s="225">
        <f>F38*$E$33</f>
        <v>552.31750000000011</v>
      </c>
      <c r="J38" s="174" t="s">
        <v>113</v>
      </c>
      <c r="M38">
        <v>490</v>
      </c>
      <c r="O38" s="176"/>
      <c r="Q38" s="224">
        <f>A16</f>
        <v>2</v>
      </c>
      <c r="R38" s="165">
        <f>B16</f>
        <v>48</v>
      </c>
      <c r="S38" s="165"/>
      <c r="T38" s="165">
        <f>C16</f>
        <v>144</v>
      </c>
      <c r="U38">
        <f t="shared" ref="U38:U41" si="14">Q38*R38*T38</f>
        <v>13824</v>
      </c>
      <c r="V38">
        <f>U38/$B$30</f>
        <v>8</v>
      </c>
      <c r="W38">
        <f>V38*$V$31</f>
        <v>4544</v>
      </c>
      <c r="X38" s="225">
        <f>W38*$V$33</f>
        <v>636.16000000000008</v>
      </c>
      <c r="AB38" s="224">
        <f>A24</f>
        <v>2</v>
      </c>
      <c r="AC38" s="165">
        <f>B24</f>
        <v>48</v>
      </c>
      <c r="AD38" s="165"/>
      <c r="AE38" s="165">
        <f>C24</f>
        <v>144</v>
      </c>
      <c r="AF38">
        <f t="shared" ref="AF38:AF41" si="15">AB38*AC38*AE38</f>
        <v>13824</v>
      </c>
      <c r="AG38">
        <f>AF38/$B$30</f>
        <v>8</v>
      </c>
      <c r="AH38">
        <f>AG38*$V$31</f>
        <v>4544</v>
      </c>
      <c r="AI38" s="225">
        <f>AH38*$AG$33</f>
        <v>636.16000000000008</v>
      </c>
    </row>
    <row r="39" spans="1:35" x14ac:dyDescent="0.25">
      <c r="A39" s="226">
        <v>5.625</v>
      </c>
      <c r="B39" s="166">
        <v>5.75</v>
      </c>
      <c r="C39" s="166">
        <v>9</v>
      </c>
      <c r="D39">
        <f t="shared" si="13"/>
        <v>291.09375</v>
      </c>
      <c r="E39">
        <f>D39/$B$30</f>
        <v>0.16845703125</v>
      </c>
      <c r="F39">
        <f>E39*$E$31</f>
        <v>86.21630859375</v>
      </c>
      <c r="G39" s="227">
        <f>F39*$E$32</f>
        <v>10.34595703125</v>
      </c>
      <c r="J39" s="174" t="s">
        <v>114</v>
      </c>
      <c r="M39">
        <v>1204.4100000000001</v>
      </c>
      <c r="O39" s="176"/>
      <c r="Q39" s="226">
        <v>5.625</v>
      </c>
      <c r="R39" s="166">
        <v>5.75</v>
      </c>
      <c r="S39" s="166"/>
      <c r="T39" s="166">
        <v>9</v>
      </c>
      <c r="U39">
        <f t="shared" si="14"/>
        <v>291.09375</v>
      </c>
      <c r="V39">
        <f>U39/$B$30</f>
        <v>0.16845703125</v>
      </c>
      <c r="W39">
        <f>V39*$E$31</f>
        <v>86.21630859375</v>
      </c>
      <c r="X39" s="227">
        <f>W39*$E$32</f>
        <v>10.34595703125</v>
      </c>
      <c r="AB39" s="226">
        <v>5.625</v>
      </c>
      <c r="AC39" s="166">
        <v>5.75</v>
      </c>
      <c r="AD39" s="166"/>
      <c r="AE39" s="166">
        <v>9</v>
      </c>
      <c r="AF39">
        <f t="shared" si="15"/>
        <v>291.09375</v>
      </c>
      <c r="AG39">
        <f>AF39/$B$30</f>
        <v>0.16845703125</v>
      </c>
      <c r="AH39">
        <f>AG39*$E$31</f>
        <v>86.21630859375</v>
      </c>
      <c r="AI39" s="227">
        <f>AH39*$E$32</f>
        <v>10.34595703125</v>
      </c>
    </row>
    <row r="40" spans="1:35" x14ac:dyDescent="0.25">
      <c r="A40" s="228">
        <v>11.75</v>
      </c>
      <c r="B40" s="167">
        <v>5.75</v>
      </c>
      <c r="C40" s="167">
        <v>55.875</v>
      </c>
      <c r="D40">
        <f t="shared" si="13"/>
        <v>3775.0546875</v>
      </c>
      <c r="E40">
        <f>D40/$B$30</f>
        <v>2.1846381293402777</v>
      </c>
      <c r="F40">
        <f>E40*$E$31</f>
        <v>1118.0977945963541</v>
      </c>
      <c r="G40" s="229">
        <f>F40*$E$32</f>
        <v>134.17173535156249</v>
      </c>
      <c r="J40" s="174" t="s">
        <v>115</v>
      </c>
      <c r="M40">
        <v>568.5</v>
      </c>
      <c r="O40" s="176"/>
      <c r="Q40" s="228">
        <v>11.75</v>
      </c>
      <c r="R40" s="167">
        <v>5.75</v>
      </c>
      <c r="S40" s="167"/>
      <c r="T40" s="167">
        <v>55.875</v>
      </c>
      <c r="U40">
        <f t="shared" si="14"/>
        <v>3775.0546875</v>
      </c>
      <c r="V40">
        <f>U40/$B$30</f>
        <v>2.1846381293402777</v>
      </c>
      <c r="W40">
        <f>V40*$E$31</f>
        <v>1118.0977945963541</v>
      </c>
      <c r="X40" s="229">
        <f>W40*$E$32</f>
        <v>134.17173535156249</v>
      </c>
      <c r="AB40" s="228">
        <v>11.75</v>
      </c>
      <c r="AC40" s="167">
        <v>5.75</v>
      </c>
      <c r="AD40" s="167"/>
      <c r="AE40" s="167">
        <v>55.875</v>
      </c>
      <c r="AF40">
        <f t="shared" si="15"/>
        <v>3775.0546875</v>
      </c>
      <c r="AG40">
        <f>AF40/$B$30</f>
        <v>2.1846381293402777</v>
      </c>
      <c r="AH40">
        <f>AG40*$E$31</f>
        <v>1118.0977945963541</v>
      </c>
      <c r="AI40" s="229">
        <f>AH40*$E$32</f>
        <v>134.17173535156249</v>
      </c>
    </row>
    <row r="41" spans="1:35" x14ac:dyDescent="0.25">
      <c r="A41" s="230">
        <v>10</v>
      </c>
      <c r="B41" s="231">
        <v>10</v>
      </c>
      <c r="C41" s="231">
        <v>10</v>
      </c>
      <c r="D41" s="178">
        <f t="shared" si="13"/>
        <v>1000</v>
      </c>
      <c r="E41" s="178">
        <f>D41/$B$30</f>
        <v>0.57870370370370372</v>
      </c>
      <c r="F41" s="178">
        <f>E41*$E$31</f>
        <v>296.18055555555554</v>
      </c>
      <c r="G41" s="179">
        <f>F41*$E$32</f>
        <v>35.541666666666664</v>
      </c>
      <c r="J41" s="177"/>
      <c r="K41" s="178"/>
      <c r="L41" s="178"/>
      <c r="M41" s="178"/>
      <c r="N41" s="178"/>
      <c r="O41" s="199"/>
      <c r="Q41" s="230">
        <v>10</v>
      </c>
      <c r="R41" s="231">
        <v>10</v>
      </c>
      <c r="S41" s="231"/>
      <c r="T41" s="231">
        <v>10</v>
      </c>
      <c r="U41" s="178">
        <f t="shared" si="14"/>
        <v>1000</v>
      </c>
      <c r="V41" s="178">
        <f>U41/$B$30</f>
        <v>0.57870370370370372</v>
      </c>
      <c r="W41" s="178">
        <f>V41*$E$31</f>
        <v>296.18055555555554</v>
      </c>
      <c r="X41" s="179">
        <f>W41*$E$32</f>
        <v>35.541666666666664</v>
      </c>
      <c r="AB41" s="230">
        <v>10</v>
      </c>
      <c r="AC41" s="231">
        <v>10</v>
      </c>
      <c r="AD41" s="231"/>
      <c r="AE41" s="231">
        <v>10</v>
      </c>
      <c r="AF41" s="178">
        <f t="shared" si="15"/>
        <v>1000</v>
      </c>
      <c r="AG41" s="178">
        <f>AF41/$B$30</f>
        <v>0.57870370370370372</v>
      </c>
      <c r="AH41" s="178">
        <f>AG41*$E$31</f>
        <v>296.18055555555554</v>
      </c>
      <c r="AI41" s="179">
        <f>AH41*$E$32</f>
        <v>35.541666666666664</v>
      </c>
    </row>
    <row r="44" spans="1:35" ht="75" x14ac:dyDescent="0.25">
      <c r="A44" s="95" t="s">
        <v>178</v>
      </c>
      <c r="B44" s="246" t="s">
        <v>176</v>
      </c>
      <c r="C44" s="95" t="s">
        <v>173</v>
      </c>
      <c r="D44" s="95" t="s">
        <v>170</v>
      </c>
      <c r="E44" s="95" t="s">
        <v>171</v>
      </c>
      <c r="F44" s="246" t="s">
        <v>175</v>
      </c>
      <c r="G44" s="95" t="s">
        <v>172</v>
      </c>
      <c r="H44" s="95" t="s">
        <v>174</v>
      </c>
      <c r="I44" s="246" t="s">
        <v>177</v>
      </c>
      <c r="K44" s="184" t="s">
        <v>185</v>
      </c>
      <c r="L44" s="184" t="s">
        <v>186</v>
      </c>
      <c r="O44" s="250" t="s">
        <v>184</v>
      </c>
    </row>
    <row r="45" spans="1:35" ht="21" x14ac:dyDescent="0.35">
      <c r="A45" s="232" t="s">
        <v>179</v>
      </c>
      <c r="B45" s="251">
        <v>5</v>
      </c>
      <c r="C45" s="161">
        <v>144</v>
      </c>
      <c r="D45" s="251">
        <f>B45/2</f>
        <v>2.5</v>
      </c>
      <c r="E45" s="161">
        <v>3.1415926535900001</v>
      </c>
      <c r="F45" s="161">
        <f>E45*(D45^2)</f>
        <v>19.634954084937501</v>
      </c>
      <c r="G45" s="161">
        <f>F45*C45</f>
        <v>2827.4333882310002</v>
      </c>
      <c r="H45" s="161">
        <v>0.28299999999999997</v>
      </c>
      <c r="I45" s="233">
        <f>G45*H45</f>
        <v>800.16364886937299</v>
      </c>
      <c r="K45" s="257">
        <v>0.14000000000000001</v>
      </c>
      <c r="L45" s="256">
        <f>ROUND(K45*I45, 2)</f>
        <v>112.02</v>
      </c>
      <c r="O45" s="95">
        <v>6000</v>
      </c>
      <c r="R45" s="171"/>
      <c r="S45" s="172" t="s">
        <v>119</v>
      </c>
      <c r="T45" s="173"/>
    </row>
    <row r="46" spans="1:35" x14ac:dyDescent="0.25">
      <c r="A46" s="234" t="s">
        <v>180</v>
      </c>
      <c r="B46" s="252">
        <v>5</v>
      </c>
      <c r="C46" s="235">
        <v>144</v>
      </c>
      <c r="D46" s="252">
        <f>B46/2</f>
        <v>2.5</v>
      </c>
      <c r="E46" s="235">
        <v>3.1415926535900001</v>
      </c>
      <c r="F46" s="235">
        <f t="shared" ref="F46:F49" si="16">E46*(D46^2)</f>
        <v>19.634954084937501</v>
      </c>
      <c r="G46" s="235">
        <f>F46*C46</f>
        <v>2827.4333882310002</v>
      </c>
      <c r="H46" s="235">
        <v>0.28999999999999998</v>
      </c>
      <c r="I46" s="236">
        <f>G46*H46</f>
        <v>819.95568258698995</v>
      </c>
      <c r="K46" s="257">
        <v>0.14000000000000001</v>
      </c>
      <c r="L46" s="256">
        <f t="shared" ref="L46:L49" si="17">ROUND(K46*I46, 2)</f>
        <v>114.79</v>
      </c>
      <c r="R46" s="174" t="s">
        <v>32</v>
      </c>
      <c r="T46" s="175">
        <v>250</v>
      </c>
    </row>
    <row r="47" spans="1:35" x14ac:dyDescent="0.25">
      <c r="A47" s="237" t="s">
        <v>181</v>
      </c>
      <c r="B47" s="253">
        <v>13</v>
      </c>
      <c r="C47" s="238">
        <v>148</v>
      </c>
      <c r="D47" s="253">
        <f>B47/2</f>
        <v>6.5</v>
      </c>
      <c r="E47" s="238">
        <v>3.1415926535900001</v>
      </c>
      <c r="F47" s="238">
        <f t="shared" si="16"/>
        <v>132.73228961417749</v>
      </c>
      <c r="G47" s="238">
        <f>F47*C47</f>
        <v>19644.378862898269</v>
      </c>
      <c r="H47" s="238">
        <v>0.1</v>
      </c>
      <c r="I47" s="239">
        <f>G47*H47</f>
        <v>1964.437886289827</v>
      </c>
      <c r="K47" s="257">
        <v>0.15</v>
      </c>
      <c r="L47" s="256">
        <f t="shared" si="17"/>
        <v>294.67</v>
      </c>
      <c r="R47" s="174" t="s">
        <v>120</v>
      </c>
      <c r="T47" s="175">
        <v>125</v>
      </c>
    </row>
    <row r="48" spans="1:35" x14ac:dyDescent="0.25">
      <c r="A48" s="240" t="s">
        <v>182</v>
      </c>
      <c r="B48" s="254">
        <v>13</v>
      </c>
      <c r="C48" s="241">
        <v>148</v>
      </c>
      <c r="D48" s="254">
        <f>B48/2</f>
        <v>6.5</v>
      </c>
      <c r="E48" s="241">
        <v>3.1415926535900001</v>
      </c>
      <c r="F48" s="241">
        <f t="shared" si="16"/>
        <v>132.73228961417749</v>
      </c>
      <c r="G48" s="241">
        <f>F48*C48</f>
        <v>19644.378862898269</v>
      </c>
      <c r="H48" s="241">
        <v>0.16</v>
      </c>
      <c r="I48" s="242">
        <f>G48*H48</f>
        <v>3143.1006180637232</v>
      </c>
      <c r="K48" s="257">
        <v>0.2</v>
      </c>
      <c r="L48" s="256">
        <f t="shared" si="17"/>
        <v>628.62</v>
      </c>
      <c r="R48" s="174" t="s">
        <v>36</v>
      </c>
      <c r="T48" s="200" t="s">
        <v>122</v>
      </c>
    </row>
    <row r="49" spans="1:20" x14ac:dyDescent="0.25">
      <c r="A49" s="243" t="s">
        <v>187</v>
      </c>
      <c r="B49" s="255">
        <v>5</v>
      </c>
      <c r="C49" s="244">
        <v>144</v>
      </c>
      <c r="D49" s="255">
        <f>B49/2</f>
        <v>2.5</v>
      </c>
      <c r="E49" s="244">
        <v>3.1415926535900001</v>
      </c>
      <c r="F49" s="244">
        <f t="shared" si="16"/>
        <v>19.634954084937501</v>
      </c>
      <c r="G49" s="244">
        <f>F49*C49</f>
        <v>2827.4333882310002</v>
      </c>
      <c r="H49" s="244">
        <v>0.29649999999999999</v>
      </c>
      <c r="I49" s="245">
        <f>G49*H49</f>
        <v>838.33399961049156</v>
      </c>
      <c r="K49" s="257">
        <v>0.16</v>
      </c>
      <c r="L49" s="256">
        <f t="shared" si="17"/>
        <v>134.13</v>
      </c>
      <c r="R49" s="174" t="s">
        <v>121</v>
      </c>
      <c r="T49" s="176" t="s">
        <v>310</v>
      </c>
    </row>
    <row r="50" spans="1:20" x14ac:dyDescent="0.25">
      <c r="R50" s="177" t="s">
        <v>124</v>
      </c>
      <c r="S50" s="178"/>
      <c r="T50" s="179">
        <v>100</v>
      </c>
    </row>
  </sheetData>
  <conditionalFormatting sqref="I45:I49">
    <cfRule type="cellIs" dxfId="62" priority="3" operator="greaterThan">
      <formula>$Q$24</formula>
    </cfRule>
  </conditionalFormatting>
  <conditionalFormatting sqref="I49">
    <cfRule type="cellIs" dxfId="61" priority="9" operator="greaterThan">
      <formula>6296.819819</formula>
    </cfRule>
    <cfRule type="cellIs" dxfId="60" priority="10" operator="greaterThan">
      <formula>$Q$24</formula>
    </cfRule>
  </conditionalFormatting>
  <conditionalFormatting sqref="L49">
    <cfRule type="cellIs" dxfId="59" priority="4" operator="greaterThan">
      <formula>960</formula>
    </cfRule>
    <cfRule type="cellIs" priority="5" operator="greaterThan">
      <formula>960</formula>
    </cfRule>
    <cfRule type="expression" priority="6">
      <formula>$K$28</formula>
    </cfRule>
    <cfRule type="aboveAverage" priority="7" aboveAverage="0"/>
    <cfRule type="expression" priority="8">
      <formula>"IF K28 IS RED"</formula>
    </cfRule>
  </conditionalFormatting>
  <conditionalFormatting sqref="P3">
    <cfRule type="expression" dxfId="58" priority="11">
      <formula>$F$37&gt;$Z$29</formula>
    </cfRule>
    <cfRule type="expression" priority="15">
      <formula>$W$37&gt;$Z$29</formula>
    </cfRule>
  </conditionalFormatting>
  <conditionalFormatting sqref="P7">
    <cfRule type="expression" dxfId="57" priority="12">
      <formula>$F$38&gt;$Z$29</formula>
    </cfRule>
  </conditionalFormatting>
  <conditionalFormatting sqref="P12">
    <cfRule type="expression" dxfId="56" priority="14">
      <formula>$W$37&gt;$Z$29</formula>
    </cfRule>
  </conditionalFormatting>
  <conditionalFormatting sqref="P16">
    <cfRule type="expression" dxfId="55" priority="13">
      <formula>$W$38&gt;$Z$29</formula>
    </cfRule>
  </conditionalFormatting>
  <conditionalFormatting sqref="P20">
    <cfRule type="expression" dxfId="54" priority="2">
      <formula>$W$37&gt;$Z$29</formula>
    </cfRule>
  </conditionalFormatting>
  <conditionalFormatting sqref="P24">
    <cfRule type="expression" dxfId="53" priority="1">
      <formula>$W$38&gt;$Z$29</formula>
    </cfRule>
  </conditionalFormatting>
  <pageMargins left="0.7" right="0.7" top="0.75" bottom="0.75" header="0.3" footer="0.3"/>
  <drawing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C818-6FDC-4A97-869F-497CAB5E93D9}">
  <sheetPr>
    <tabColor rgb="FF92D050"/>
  </sheetPr>
  <dimension ref="A1:Z31"/>
  <sheetViews>
    <sheetView zoomScaleNormal="100" workbookViewId="0">
      <selection activeCell="A31" sqref="A31"/>
    </sheetView>
  </sheetViews>
  <sheetFormatPr defaultRowHeight="15" x14ac:dyDescent="0.25"/>
  <cols>
    <col min="4" max="13" width="9.140625" hidden="1" customWidth="1"/>
    <col min="17" max="17" width="9.140625" hidden="1" customWidth="1"/>
    <col min="19" max="19" width="11.7109375" customWidth="1"/>
    <col min="20" max="20" width="12.140625" customWidth="1"/>
    <col min="21" max="21" width="12" customWidth="1"/>
  </cols>
  <sheetData>
    <row r="1" spans="1:26" ht="26.25" x14ac:dyDescent="0.25">
      <c r="A1" s="134" t="s">
        <v>294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1.75</v>
      </c>
      <c r="B3" s="65">
        <v>7</v>
      </c>
      <c r="C3" s="65">
        <v>7</v>
      </c>
      <c r="D3" s="66">
        <v>0.125</v>
      </c>
      <c r="E3" s="66">
        <v>0.1</v>
      </c>
      <c r="F3" s="66">
        <f>(A3+B3)*C3</f>
        <v>61.25</v>
      </c>
      <c r="G3" s="66">
        <f>(A3+B3)/E3</f>
        <v>87.5</v>
      </c>
      <c r="H3" s="66">
        <f t="shared" ref="H3" si="0">C3/10</f>
        <v>0.7</v>
      </c>
      <c r="I3" s="66">
        <v>3</v>
      </c>
      <c r="J3" s="67">
        <f t="shared" ref="J3" si="1">H3*G3/60</f>
        <v>1.0208333333333333</v>
      </c>
      <c r="K3" s="67">
        <f>J3+I3</f>
        <v>4.020833333333333</v>
      </c>
      <c r="L3" s="68">
        <v>250</v>
      </c>
      <c r="M3" s="69">
        <f>L3/60</f>
        <v>4.166666666666667</v>
      </c>
      <c r="N3" s="247">
        <f>ROUNDUP(K3*M3,1)</f>
        <v>16.8</v>
      </c>
      <c r="O3" s="56"/>
      <c r="P3" s="30">
        <v>125</v>
      </c>
      <c r="Q3" s="71">
        <v>0.02</v>
      </c>
      <c r="R3" s="32">
        <v>12</v>
      </c>
      <c r="S3" s="35">
        <f>N3*R3</f>
        <v>201.60000000000002</v>
      </c>
      <c r="T3" s="33">
        <f>IF(S3&gt;Y3, S3, Y3)</f>
        <v>250</v>
      </c>
      <c r="U3" s="33">
        <f>T3+P3</f>
        <v>375</v>
      </c>
      <c r="V3" s="33">
        <f>ROUNDUP(U3*Q3,0)</f>
        <v>8</v>
      </c>
      <c r="W3" s="249">
        <f>U3+V3</f>
        <v>383</v>
      </c>
      <c r="X3" s="34"/>
      <c r="Y3" s="57">
        <v>250</v>
      </c>
      <c r="Z3" s="36">
        <f>ROUNDDOWN(Y3/N3,0)</f>
        <v>14</v>
      </c>
    </row>
    <row r="4" spans="1:26" ht="26.25" x14ac:dyDescent="0.25">
      <c r="B4" s="168" t="s">
        <v>295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0"/>
      <c r="T4" s="63"/>
      <c r="U4" s="63"/>
      <c r="V4" s="63"/>
      <c r="W4" s="63"/>
      <c r="X4" s="60"/>
      <c r="Y4" s="60"/>
      <c r="Z4" s="64"/>
    </row>
    <row r="5" spans="1:26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114" t="s">
        <v>204</v>
      </c>
      <c r="T5" s="52" t="s">
        <v>34</v>
      </c>
      <c r="U5" s="44" t="s">
        <v>30</v>
      </c>
      <c r="V5" s="53" t="s">
        <v>36</v>
      </c>
      <c r="W5" s="46" t="s">
        <v>37</v>
      </c>
      <c r="X5" s="21"/>
      <c r="Y5" s="37" t="s">
        <v>32</v>
      </c>
      <c r="Z5" s="37" t="s">
        <v>33</v>
      </c>
    </row>
    <row r="6" spans="1:26" x14ac:dyDescent="0.25">
      <c r="B6" s="14">
        <v>42.125</v>
      </c>
      <c r="C6" s="14">
        <v>6.62</v>
      </c>
      <c r="D6" s="66" t="s">
        <v>0</v>
      </c>
      <c r="E6" s="16">
        <v>8.5000000000000006E-2</v>
      </c>
      <c r="F6" s="16">
        <f>B6*3.14</f>
        <v>132.27250000000001</v>
      </c>
      <c r="G6" s="17">
        <f>F6/E6</f>
        <v>1556.1470588235295</v>
      </c>
      <c r="H6" s="16">
        <f>C6/10</f>
        <v>0.66200000000000003</v>
      </c>
      <c r="I6" s="16">
        <v>3</v>
      </c>
      <c r="J6" s="19">
        <f>H6*G6/60</f>
        <v>17.169489215686276</v>
      </c>
      <c r="K6" s="20">
        <f>J6+I6</f>
        <v>20.169489215686276</v>
      </c>
      <c r="L6" s="68">
        <v>250</v>
      </c>
      <c r="M6" s="69">
        <f>L6/60</f>
        <v>4.166666666666667</v>
      </c>
      <c r="N6" s="248">
        <f>ROUNDUP(K6*M6,1)</f>
        <v>84.1</v>
      </c>
      <c r="O6" s="56"/>
      <c r="P6" s="30">
        <v>0</v>
      </c>
      <c r="Q6" s="71">
        <v>0.02</v>
      </c>
      <c r="R6" s="32">
        <v>3</v>
      </c>
      <c r="S6" s="35">
        <f>N6*R6</f>
        <v>252.29999999999998</v>
      </c>
      <c r="T6" s="33">
        <f>IF(S6&gt;Y6, S6, Y6)</f>
        <v>252.29999999999998</v>
      </c>
      <c r="U6" s="33">
        <f>T6+P6</f>
        <v>252.29999999999998</v>
      </c>
      <c r="V6" s="33">
        <f>ROUNDUP(U6*Q6,0)</f>
        <v>6</v>
      </c>
      <c r="W6" s="249">
        <f t="shared" ref="W6" si="2">U6+V6</f>
        <v>258.29999999999995</v>
      </c>
      <c r="X6" s="56"/>
      <c r="Y6" s="58">
        <v>250</v>
      </c>
      <c r="Z6" s="47">
        <f>ROUNDDOWN(Y6/N6,0)</f>
        <v>2</v>
      </c>
    </row>
    <row r="7" spans="1:26" ht="26.25" x14ac:dyDescent="0.25">
      <c r="A7" s="134" t="s">
        <v>292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82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88"/>
    </row>
    <row r="8" spans="1:26" ht="30" x14ac:dyDescent="0.25">
      <c r="A8" s="111" t="s">
        <v>23</v>
      </c>
      <c r="B8" s="111" t="s">
        <v>8</v>
      </c>
      <c r="C8" s="111" t="s">
        <v>7</v>
      </c>
      <c r="D8" s="111" t="s">
        <v>2</v>
      </c>
      <c r="E8" s="111" t="s">
        <v>1</v>
      </c>
      <c r="F8" s="111" t="s">
        <v>6</v>
      </c>
      <c r="G8" s="111" t="s">
        <v>3</v>
      </c>
      <c r="H8" s="111" t="s">
        <v>21</v>
      </c>
      <c r="I8" s="111" t="s">
        <v>9</v>
      </c>
      <c r="J8" s="111" t="s">
        <v>4</v>
      </c>
      <c r="K8" s="111" t="s">
        <v>10</v>
      </c>
      <c r="L8" s="111" t="s">
        <v>24</v>
      </c>
      <c r="M8" s="111" t="s">
        <v>25</v>
      </c>
      <c r="N8" s="112" t="s">
        <v>5</v>
      </c>
      <c r="O8" s="39"/>
      <c r="P8" s="113" t="s">
        <v>27</v>
      </c>
      <c r="Q8" s="113" t="s">
        <v>38</v>
      </c>
      <c r="R8" s="114" t="s">
        <v>35</v>
      </c>
      <c r="S8" s="114" t="s">
        <v>204</v>
      </c>
      <c r="T8" s="114" t="s">
        <v>34</v>
      </c>
      <c r="U8" s="114" t="s">
        <v>30</v>
      </c>
      <c r="V8" s="113" t="s">
        <v>36</v>
      </c>
      <c r="W8" s="115" t="s">
        <v>31</v>
      </c>
      <c r="X8" s="113"/>
      <c r="Y8" s="113" t="s">
        <v>32</v>
      </c>
      <c r="Z8" s="114" t="s">
        <v>33</v>
      </c>
    </row>
    <row r="9" spans="1:26" x14ac:dyDescent="0.25">
      <c r="A9" s="65">
        <v>10</v>
      </c>
      <c r="B9" s="65">
        <v>12</v>
      </c>
      <c r="C9" s="65">
        <v>81</v>
      </c>
      <c r="D9" s="66">
        <v>0.125</v>
      </c>
      <c r="E9" s="66">
        <v>6.5000000000000002E-2</v>
      </c>
      <c r="F9" s="66">
        <f>(A9+B9)*C9</f>
        <v>1782</v>
      </c>
      <c r="G9" s="66">
        <f>(A9+B9)/E9</f>
        <v>338.46153846153845</v>
      </c>
      <c r="H9" s="66">
        <f t="shared" ref="H9" si="3">C9/10</f>
        <v>8.1</v>
      </c>
      <c r="I9" s="66">
        <v>3</v>
      </c>
      <c r="J9" s="67">
        <f t="shared" ref="J9" si="4">H9*G9/60</f>
        <v>45.692307692307693</v>
      </c>
      <c r="K9" s="67">
        <f>J9+I9</f>
        <v>48.692307692307693</v>
      </c>
      <c r="L9" s="68">
        <v>250</v>
      </c>
      <c r="M9" s="69">
        <f>L9/60</f>
        <v>4.166666666666667</v>
      </c>
      <c r="N9" s="247">
        <f>ROUNDUP(K9*M9,1)</f>
        <v>202.9</v>
      </c>
      <c r="O9" s="56"/>
      <c r="P9" s="30">
        <v>0</v>
      </c>
      <c r="Q9" s="71">
        <v>0.02</v>
      </c>
      <c r="R9" s="32">
        <v>3</v>
      </c>
      <c r="S9" s="35">
        <f>N9*R9</f>
        <v>608.70000000000005</v>
      </c>
      <c r="T9" s="33">
        <f>IF(S9&gt;Y9, S9, Y9)</f>
        <v>608.70000000000005</v>
      </c>
      <c r="U9" s="33">
        <f>T9+P9</f>
        <v>608.70000000000005</v>
      </c>
      <c r="V9" s="33">
        <f>ROUNDUP(U9*Q9,0)</f>
        <v>13</v>
      </c>
      <c r="W9" s="249">
        <f>U9+V9</f>
        <v>621.70000000000005</v>
      </c>
      <c r="X9" s="34"/>
      <c r="Y9" s="57">
        <v>250</v>
      </c>
      <c r="Z9" s="36">
        <f>ROUNDDOWN(Y9/N9,0)</f>
        <v>1</v>
      </c>
    </row>
    <row r="10" spans="1:26" ht="26.25" x14ac:dyDescent="0.25">
      <c r="B10" s="168" t="s">
        <v>293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60"/>
      <c r="P10" s="61"/>
      <c r="Q10" s="62"/>
      <c r="R10" s="60"/>
      <c r="S10" s="60"/>
      <c r="T10" s="63"/>
      <c r="U10" s="63"/>
      <c r="V10" s="63"/>
      <c r="W10" s="63"/>
      <c r="X10" s="60"/>
      <c r="Y10" s="60"/>
      <c r="Z10" s="64"/>
    </row>
    <row r="11" spans="1:26" x14ac:dyDescent="0.25">
      <c r="B11" s="4" t="s">
        <v>13</v>
      </c>
      <c r="C11" s="4" t="s">
        <v>7</v>
      </c>
      <c r="D11" s="2" t="s">
        <v>2</v>
      </c>
      <c r="E11" s="4" t="s">
        <v>1</v>
      </c>
      <c r="F11" s="5" t="s">
        <v>20</v>
      </c>
      <c r="G11" s="4" t="s">
        <v>14</v>
      </c>
      <c r="H11" s="4" t="s">
        <v>15</v>
      </c>
      <c r="I11" s="4" t="s">
        <v>17</v>
      </c>
      <c r="J11" s="4" t="s">
        <v>16</v>
      </c>
      <c r="K11" s="4" t="s">
        <v>18</v>
      </c>
      <c r="L11" s="2" t="s">
        <v>24</v>
      </c>
      <c r="M11" s="2" t="s">
        <v>25</v>
      </c>
      <c r="N11" s="6" t="s">
        <v>19</v>
      </c>
      <c r="O11" s="40"/>
      <c r="P11" s="42" t="s">
        <v>27</v>
      </c>
      <c r="Q11" s="43" t="s">
        <v>38</v>
      </c>
      <c r="R11" s="49" t="s">
        <v>35</v>
      </c>
      <c r="S11" s="114" t="s">
        <v>204</v>
      </c>
      <c r="T11" s="52" t="s">
        <v>34</v>
      </c>
      <c r="U11" s="44" t="s">
        <v>30</v>
      </c>
      <c r="V11" s="53" t="s">
        <v>36</v>
      </c>
      <c r="W11" s="46" t="s">
        <v>37</v>
      </c>
      <c r="X11" s="21"/>
      <c r="Y11" s="37" t="s">
        <v>32</v>
      </c>
      <c r="Z11" s="37" t="s">
        <v>33</v>
      </c>
    </row>
    <row r="12" spans="1:26" x14ac:dyDescent="0.25">
      <c r="B12" s="14">
        <v>3.25</v>
      </c>
      <c r="C12" s="14">
        <v>19.68</v>
      </c>
      <c r="D12" s="66" t="s">
        <v>0</v>
      </c>
      <c r="E12" s="16">
        <v>6.5000000000000002E-2</v>
      </c>
      <c r="F12" s="16">
        <f>B12*3.14</f>
        <v>10.205</v>
      </c>
      <c r="G12" s="17">
        <f>F12/E12</f>
        <v>157</v>
      </c>
      <c r="H12" s="16">
        <f>C12/10</f>
        <v>1.968</v>
      </c>
      <c r="I12" s="16">
        <v>3</v>
      </c>
      <c r="J12" s="19">
        <f>H12*G12/60</f>
        <v>5.1496000000000004</v>
      </c>
      <c r="K12" s="20">
        <f>J12+I12</f>
        <v>8.1495999999999995</v>
      </c>
      <c r="L12" s="68">
        <v>250</v>
      </c>
      <c r="M12" s="69">
        <f>L12/60</f>
        <v>4.166666666666667</v>
      </c>
      <c r="N12" s="248">
        <f>ROUNDUP(K12*M12,1)</f>
        <v>34</v>
      </c>
      <c r="O12" s="56"/>
      <c r="P12" s="30">
        <v>0</v>
      </c>
      <c r="Q12" s="71">
        <v>0.02</v>
      </c>
      <c r="R12" s="32">
        <v>10</v>
      </c>
      <c r="S12" s="35">
        <f>N12*R12</f>
        <v>340</v>
      </c>
      <c r="T12" s="33">
        <f>IF(S12&gt;Y12, S12, Y12)</f>
        <v>340</v>
      </c>
      <c r="U12" s="33">
        <f>T12+P12</f>
        <v>340</v>
      </c>
      <c r="V12" s="33">
        <f>ROUNDUP(U12*Q12,0)</f>
        <v>7</v>
      </c>
      <c r="W12" s="249">
        <f t="shared" ref="W12" si="5">U12+V12</f>
        <v>347</v>
      </c>
      <c r="X12" s="56"/>
      <c r="Y12" s="58">
        <v>250</v>
      </c>
      <c r="Z12" s="47">
        <f>ROUNDDOWN(Y12/N12,0)</f>
        <v>7</v>
      </c>
    </row>
    <row r="13" spans="1:26" ht="18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4"/>
      <c r="P13" s="28"/>
      <c r="Q13" s="29"/>
      <c r="R13" s="21"/>
      <c r="S13" s="21"/>
      <c r="T13" s="27"/>
      <c r="U13" s="27"/>
      <c r="V13" s="27"/>
      <c r="W13" s="27"/>
      <c r="X13" s="25"/>
      <c r="Y13" s="21"/>
      <c r="Z13" s="21"/>
    </row>
    <row r="14" spans="1:26" x14ac:dyDescent="0.25">
      <c r="A14" s="1"/>
    </row>
    <row r="15" spans="1:26" ht="26.25" x14ac:dyDescent="0.25">
      <c r="A15" s="134" t="s">
        <v>147</v>
      </c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82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88"/>
    </row>
    <row r="16" spans="1:26" ht="30" x14ac:dyDescent="0.25">
      <c r="A16" s="111" t="s">
        <v>23</v>
      </c>
      <c r="B16" s="111" t="s">
        <v>8</v>
      </c>
      <c r="C16" s="111" t="s">
        <v>7</v>
      </c>
      <c r="D16" s="111" t="s">
        <v>2</v>
      </c>
      <c r="E16" s="111" t="s">
        <v>1</v>
      </c>
      <c r="F16" s="111" t="s">
        <v>6</v>
      </c>
      <c r="G16" s="111" t="s">
        <v>3</v>
      </c>
      <c r="H16" s="111" t="s">
        <v>21</v>
      </c>
      <c r="I16" s="111" t="s">
        <v>9</v>
      </c>
      <c r="J16" s="111" t="s">
        <v>4</v>
      </c>
      <c r="K16" s="111" t="s">
        <v>10</v>
      </c>
      <c r="L16" s="111" t="s">
        <v>24</v>
      </c>
      <c r="M16" s="111" t="s">
        <v>25</v>
      </c>
      <c r="N16" s="112" t="s">
        <v>5</v>
      </c>
      <c r="O16" s="39"/>
      <c r="P16" s="113" t="s">
        <v>27</v>
      </c>
      <c r="Q16" s="113" t="s">
        <v>38</v>
      </c>
      <c r="R16" s="114" t="s">
        <v>35</v>
      </c>
      <c r="S16" s="114" t="s">
        <v>204</v>
      </c>
      <c r="T16" s="114" t="s">
        <v>34</v>
      </c>
      <c r="U16" s="114" t="s">
        <v>30</v>
      </c>
      <c r="V16" s="113" t="s">
        <v>36</v>
      </c>
      <c r="W16" s="115" t="s">
        <v>31</v>
      </c>
      <c r="X16" s="113"/>
      <c r="Y16" s="113" t="s">
        <v>32</v>
      </c>
      <c r="Z16" s="114" t="s">
        <v>33</v>
      </c>
    </row>
    <row r="17" spans="1:26" x14ac:dyDescent="0.25">
      <c r="A17" s="65">
        <v>1.5</v>
      </c>
      <c r="B17" s="65">
        <v>36</v>
      </c>
      <c r="C17" s="65">
        <v>20</v>
      </c>
      <c r="D17" s="66">
        <v>0.125</v>
      </c>
      <c r="E17" s="66">
        <v>6.5000000000000002E-2</v>
      </c>
      <c r="F17" s="66">
        <f>(A17+B17)*C17</f>
        <v>750</v>
      </c>
      <c r="G17" s="66">
        <f>(A17+B17)/E17</f>
        <v>576.92307692307691</v>
      </c>
      <c r="H17" s="66">
        <f t="shared" ref="H17" si="6">C17/10</f>
        <v>2</v>
      </c>
      <c r="I17" s="66">
        <v>3</v>
      </c>
      <c r="J17" s="67">
        <f t="shared" ref="J17" si="7">H17*G17/60</f>
        <v>19.23076923076923</v>
      </c>
      <c r="K17" s="67">
        <f>J17+I17</f>
        <v>22.23076923076923</v>
      </c>
      <c r="L17" s="68">
        <v>275</v>
      </c>
      <c r="M17" s="69">
        <f>L17/60</f>
        <v>4.583333333333333</v>
      </c>
      <c r="N17" s="247">
        <f>ROUNDUP(K17*M17,1)</f>
        <v>101.89999999999999</v>
      </c>
      <c r="O17" s="56"/>
      <c r="P17" s="30">
        <v>125</v>
      </c>
      <c r="Q17" s="71">
        <v>0.02</v>
      </c>
      <c r="R17" s="32">
        <v>1</v>
      </c>
      <c r="S17" s="35">
        <f>N17*R17</f>
        <v>101.89999999999999</v>
      </c>
      <c r="T17" s="33">
        <f>IF(S17&gt;Y17, S17, Y17)</f>
        <v>275</v>
      </c>
      <c r="U17" s="33">
        <f>T17+P17</f>
        <v>400</v>
      </c>
      <c r="V17" s="33">
        <f>ROUNDUP(U17*Q17,0)</f>
        <v>8</v>
      </c>
      <c r="W17" s="249">
        <f>U17+V17</f>
        <v>408</v>
      </c>
      <c r="X17" s="34"/>
      <c r="Y17" s="57">
        <v>275</v>
      </c>
      <c r="Z17" s="36">
        <f>ROUNDDOWN(Y17/N17,0)</f>
        <v>2</v>
      </c>
    </row>
    <row r="18" spans="1:26" ht="26.25" x14ac:dyDescent="0.25">
      <c r="A18" s="1"/>
      <c r="B18" s="168" t="s">
        <v>148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0"/>
      <c r="P18" s="61"/>
      <c r="Q18" s="62"/>
      <c r="R18" s="60"/>
      <c r="S18" s="60"/>
      <c r="T18" s="63"/>
      <c r="U18" s="63"/>
      <c r="V18" s="63"/>
      <c r="W18" s="63"/>
      <c r="X18" s="60"/>
      <c r="Y18" s="60"/>
      <c r="Z18" s="64"/>
    </row>
    <row r="19" spans="1:26" x14ac:dyDescent="0.25">
      <c r="A19" s="1"/>
      <c r="B19" s="4" t="s">
        <v>13</v>
      </c>
      <c r="C19" s="4" t="s">
        <v>7</v>
      </c>
      <c r="D19" s="2" t="s">
        <v>2</v>
      </c>
      <c r="E19" s="4" t="s">
        <v>1</v>
      </c>
      <c r="F19" s="5" t="s">
        <v>20</v>
      </c>
      <c r="G19" s="4" t="s">
        <v>14</v>
      </c>
      <c r="H19" s="4" t="s">
        <v>15</v>
      </c>
      <c r="I19" s="4" t="s">
        <v>17</v>
      </c>
      <c r="J19" s="4" t="s">
        <v>16</v>
      </c>
      <c r="K19" s="4" t="s">
        <v>18</v>
      </c>
      <c r="L19" s="2" t="s">
        <v>24</v>
      </c>
      <c r="M19" s="2" t="s">
        <v>25</v>
      </c>
      <c r="N19" s="6" t="s">
        <v>19</v>
      </c>
      <c r="O19" s="40"/>
      <c r="P19" s="42" t="s">
        <v>27</v>
      </c>
      <c r="Q19" s="43" t="s">
        <v>38</v>
      </c>
      <c r="R19" s="49" t="s">
        <v>35</v>
      </c>
      <c r="S19" s="114" t="s">
        <v>204</v>
      </c>
      <c r="T19" s="52" t="s">
        <v>34</v>
      </c>
      <c r="U19" s="44" t="s">
        <v>30</v>
      </c>
      <c r="V19" s="53" t="s">
        <v>36</v>
      </c>
      <c r="W19" s="46" t="s">
        <v>37</v>
      </c>
      <c r="X19" s="21"/>
      <c r="Y19" s="37" t="s">
        <v>32</v>
      </c>
      <c r="Z19" s="37" t="s">
        <v>33</v>
      </c>
    </row>
    <row r="20" spans="1:26" x14ac:dyDescent="0.25">
      <c r="A20" s="1"/>
      <c r="B20" s="14">
        <v>2</v>
      </c>
      <c r="C20" s="14">
        <v>2</v>
      </c>
      <c r="D20" s="66" t="s">
        <v>0</v>
      </c>
      <c r="E20" s="16">
        <v>6.5000000000000002E-2</v>
      </c>
      <c r="F20" s="16">
        <f>B20*3.14</f>
        <v>6.28</v>
      </c>
      <c r="G20" s="17">
        <f>F20/E20</f>
        <v>96.615384615384613</v>
      </c>
      <c r="H20" s="16">
        <f>C20/10</f>
        <v>0.2</v>
      </c>
      <c r="I20" s="16">
        <v>3</v>
      </c>
      <c r="J20" s="19">
        <f>H20*G20/60</f>
        <v>0.32205128205128208</v>
      </c>
      <c r="K20" s="20">
        <f>J20+I20</f>
        <v>3.322051282051282</v>
      </c>
      <c r="L20" s="68">
        <v>275</v>
      </c>
      <c r="M20" s="69">
        <f>L20/60</f>
        <v>4.583333333333333</v>
      </c>
      <c r="N20" s="248">
        <f>ROUNDUP(K20*M20,1)</f>
        <v>15.299999999999999</v>
      </c>
      <c r="O20" s="56"/>
      <c r="P20" s="30">
        <v>125</v>
      </c>
      <c r="Q20" s="71">
        <v>0.02</v>
      </c>
      <c r="R20" s="32">
        <v>1</v>
      </c>
      <c r="S20" s="35">
        <f>N20*R20</f>
        <v>15.299999999999999</v>
      </c>
      <c r="T20" s="33">
        <f>IF(S20&gt;Y20, S20, Y20)</f>
        <v>275</v>
      </c>
      <c r="U20" s="33">
        <f>T20+P20</f>
        <v>400</v>
      </c>
      <c r="V20" s="33">
        <f>ROUNDUP(U20*Q20,0)</f>
        <v>8</v>
      </c>
      <c r="W20" s="249">
        <f t="shared" ref="W20" si="8">U20+V20</f>
        <v>408</v>
      </c>
      <c r="X20" s="56"/>
      <c r="Y20" s="58">
        <v>275</v>
      </c>
      <c r="Z20" s="47">
        <f>ROUNDDOWN(Y20/N20,0)</f>
        <v>17</v>
      </c>
    </row>
    <row r="23" spans="1:26" ht="21" x14ac:dyDescent="0.35">
      <c r="A23" s="171"/>
      <c r="B23" s="172" t="s">
        <v>119</v>
      </c>
      <c r="C23" s="173"/>
      <c r="N23" s="361" t="s">
        <v>149</v>
      </c>
      <c r="O23" s="198"/>
      <c r="P23" s="198"/>
      <c r="Q23" s="198"/>
      <c r="R23" s="198"/>
      <c r="S23" s="172" t="s">
        <v>149</v>
      </c>
      <c r="T23" s="198"/>
      <c r="U23" s="198"/>
      <c r="V23" s="198"/>
      <c r="W23" s="173"/>
    </row>
    <row r="24" spans="1:26" x14ac:dyDescent="0.25">
      <c r="A24" s="174" t="s">
        <v>32</v>
      </c>
      <c r="C24" s="175">
        <v>250</v>
      </c>
      <c r="N24" s="174" t="s">
        <v>150</v>
      </c>
      <c r="W24" s="176"/>
    </row>
    <row r="25" spans="1:26" x14ac:dyDescent="0.25">
      <c r="A25" s="174" t="s">
        <v>120</v>
      </c>
      <c r="C25" s="175">
        <v>125</v>
      </c>
      <c r="N25" s="174" t="s">
        <v>151</v>
      </c>
      <c r="W25" s="176"/>
    </row>
    <row r="26" spans="1:26" x14ac:dyDescent="0.25">
      <c r="A26" s="174" t="s">
        <v>36</v>
      </c>
      <c r="C26" s="176" t="s">
        <v>122</v>
      </c>
      <c r="N26" s="174"/>
      <c r="W26" s="176"/>
    </row>
    <row r="27" spans="1:26" x14ac:dyDescent="0.25">
      <c r="A27" s="174" t="s">
        <v>121</v>
      </c>
      <c r="C27" s="176" t="s">
        <v>123</v>
      </c>
      <c r="N27" s="174" t="s">
        <v>152</v>
      </c>
      <c r="W27" s="176"/>
    </row>
    <row r="28" spans="1:26" x14ac:dyDescent="0.25">
      <c r="A28" s="177" t="s">
        <v>124</v>
      </c>
      <c r="B28" s="178"/>
      <c r="C28" s="179" t="s">
        <v>198</v>
      </c>
      <c r="N28" s="174" t="s">
        <v>153</v>
      </c>
      <c r="W28" s="176"/>
    </row>
    <row r="29" spans="1:26" x14ac:dyDescent="0.25">
      <c r="A29" s="174" t="s">
        <v>206</v>
      </c>
      <c r="C29" s="97">
        <v>75</v>
      </c>
      <c r="N29" s="174"/>
      <c r="W29" s="176"/>
    </row>
    <row r="30" spans="1:26" x14ac:dyDescent="0.25">
      <c r="A30" s="174" t="s">
        <v>416</v>
      </c>
      <c r="C30" s="97">
        <v>75</v>
      </c>
      <c r="N30" s="174" t="s">
        <v>154</v>
      </c>
      <c r="W30" s="176"/>
    </row>
    <row r="31" spans="1:26" x14ac:dyDescent="0.25">
      <c r="N31" s="177" t="s">
        <v>155</v>
      </c>
      <c r="O31" s="178"/>
      <c r="P31" s="178"/>
      <c r="Q31" s="178"/>
      <c r="R31" s="178"/>
      <c r="S31" s="178"/>
      <c r="T31" s="178"/>
      <c r="U31" s="178"/>
      <c r="V31" s="178"/>
      <c r="W31" s="199"/>
    </row>
  </sheetData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EA2E-E9D9-4C9F-8F11-D23AE3090138}">
  <sheetPr>
    <tabColor rgb="FF00B0F0"/>
  </sheetPr>
  <dimension ref="A1:Z25"/>
  <sheetViews>
    <sheetView workbookViewId="0">
      <selection activeCell="R15" sqref="R15"/>
    </sheetView>
  </sheetViews>
  <sheetFormatPr defaultRowHeight="15" x14ac:dyDescent="0.25"/>
  <cols>
    <col min="4" max="13" width="9.140625" hidden="1" customWidth="1"/>
    <col min="18" max="18" width="11.42578125" customWidth="1"/>
    <col min="19" max="19" width="11.42578125" hidden="1" customWidth="1"/>
    <col min="20" max="26" width="11.42578125" customWidth="1"/>
  </cols>
  <sheetData>
    <row r="1" spans="1:26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0.75</v>
      </c>
      <c r="B3" s="65">
        <v>9.25</v>
      </c>
      <c r="C3" s="65">
        <v>9.25</v>
      </c>
      <c r="D3" s="66">
        <v>0.125</v>
      </c>
      <c r="E3" s="66">
        <v>4.4999999999999998E-2</v>
      </c>
      <c r="F3" s="66">
        <f>(A3+B3)*C3</f>
        <v>92.5</v>
      </c>
      <c r="G3" s="66">
        <f>(A3+B3)/E3</f>
        <v>222.22222222222223</v>
      </c>
      <c r="H3" s="66">
        <f t="shared" ref="H3" si="0">C3/10</f>
        <v>0.92500000000000004</v>
      </c>
      <c r="I3" s="66">
        <v>3</v>
      </c>
      <c r="J3" s="67">
        <f t="shared" ref="J3" si="1">H3*G3/60</f>
        <v>3.425925925925926</v>
      </c>
      <c r="K3" s="67">
        <f>J3+I3</f>
        <v>6.4259259259259256</v>
      </c>
      <c r="L3" s="68">
        <v>250</v>
      </c>
      <c r="M3" s="69">
        <f>L3/60</f>
        <v>4.166666666666667</v>
      </c>
      <c r="N3" s="247">
        <f>ROUNDUP(K3*M3,1)</f>
        <v>26.8</v>
      </c>
      <c r="O3" s="56"/>
      <c r="P3" s="30">
        <v>125</v>
      </c>
      <c r="Q3" s="71">
        <v>0.02</v>
      </c>
      <c r="R3" s="32">
        <v>25</v>
      </c>
      <c r="S3" s="35">
        <f>N3*R3</f>
        <v>670</v>
      </c>
      <c r="T3" s="33">
        <f>IF(S3&gt;Y3, S3, Y3)</f>
        <v>670</v>
      </c>
      <c r="U3" s="33">
        <f>T3+P3</f>
        <v>795</v>
      </c>
      <c r="V3" s="33">
        <f>ROUNDUP(U3*Q3,0)</f>
        <v>16</v>
      </c>
      <c r="W3" s="249">
        <f>U3+V3</f>
        <v>811</v>
      </c>
      <c r="X3" s="34"/>
      <c r="Y3" s="57">
        <v>250</v>
      </c>
      <c r="Z3" s="36">
        <f>ROUNDDOWN(Y3/N3,0)</f>
        <v>9</v>
      </c>
    </row>
    <row r="4" spans="1:26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0"/>
      <c r="T4" s="63"/>
      <c r="U4" s="63"/>
      <c r="V4" s="63"/>
      <c r="W4" s="63"/>
      <c r="X4" s="60"/>
      <c r="Y4" s="60"/>
      <c r="Z4" s="64"/>
    </row>
    <row r="5" spans="1:26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114" t="s">
        <v>204</v>
      </c>
      <c r="T5" s="52" t="s">
        <v>34</v>
      </c>
      <c r="U5" s="44" t="s">
        <v>30</v>
      </c>
      <c r="V5" s="53" t="s">
        <v>36</v>
      </c>
      <c r="W5" s="46" t="s">
        <v>37</v>
      </c>
      <c r="X5" s="21"/>
      <c r="Y5" s="37" t="s">
        <v>32</v>
      </c>
      <c r="Z5" s="37" t="s">
        <v>33</v>
      </c>
    </row>
    <row r="6" spans="1:26" x14ac:dyDescent="0.25">
      <c r="B6" s="14">
        <v>7</v>
      </c>
      <c r="C6" s="14">
        <v>3.125</v>
      </c>
      <c r="D6" s="66" t="s">
        <v>0</v>
      </c>
      <c r="E6" s="16">
        <v>4.4999999999999998E-2</v>
      </c>
      <c r="F6" s="16">
        <f>B6*3.14</f>
        <v>21.98</v>
      </c>
      <c r="G6" s="17">
        <f>F6/E6</f>
        <v>488.44444444444446</v>
      </c>
      <c r="H6" s="16">
        <f>C6/10</f>
        <v>0.3125</v>
      </c>
      <c r="I6" s="16">
        <v>4</v>
      </c>
      <c r="J6" s="19">
        <f>H6*G6/60</f>
        <v>2.5439814814814814</v>
      </c>
      <c r="K6" s="20">
        <f>J6+I6</f>
        <v>6.543981481481481</v>
      </c>
      <c r="L6" s="68">
        <v>250</v>
      </c>
      <c r="M6" s="69">
        <f>L6/60</f>
        <v>4.166666666666667</v>
      </c>
      <c r="N6" s="248">
        <f>ROUNDUP(K6*M6,1)</f>
        <v>27.3</v>
      </c>
      <c r="O6" s="56"/>
      <c r="P6" s="30">
        <v>125</v>
      </c>
      <c r="Q6" s="71">
        <v>0.02</v>
      </c>
      <c r="R6" s="32">
        <v>30</v>
      </c>
      <c r="S6" s="51">
        <f>N6*R6</f>
        <v>819</v>
      </c>
      <c r="T6" s="55">
        <f>IF(S6&gt;Y6, S6, Y6)</f>
        <v>819</v>
      </c>
      <c r="U6" s="55">
        <f>T6+P6</f>
        <v>944</v>
      </c>
      <c r="V6" s="33">
        <f>ROUNDUP(U6*Q6,0)</f>
        <v>19</v>
      </c>
      <c r="W6" s="249">
        <f t="shared" ref="W6" si="2">U6+V6</f>
        <v>963</v>
      </c>
      <c r="X6" s="56"/>
      <c r="Y6" s="58">
        <v>250</v>
      </c>
      <c r="Z6" s="47">
        <f>ROUNDDOWN(Y6/N6,0)</f>
        <v>9</v>
      </c>
    </row>
    <row r="7" spans="1:26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8"/>
      <c r="Q7" s="29"/>
      <c r="R7" s="21"/>
      <c r="S7" s="21"/>
      <c r="T7" s="27"/>
      <c r="U7" s="27"/>
      <c r="V7" s="27"/>
      <c r="W7" s="27"/>
      <c r="X7" s="25"/>
      <c r="Y7" s="21"/>
      <c r="Z7" s="21"/>
    </row>
    <row r="8" spans="1:26" x14ac:dyDescent="0.25">
      <c r="A8" s="1"/>
    </row>
    <row r="9" spans="1:26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88"/>
    </row>
    <row r="10" spans="1:26" ht="30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39"/>
      <c r="P10" s="113" t="s">
        <v>27</v>
      </c>
      <c r="Q10" s="113" t="s">
        <v>38</v>
      </c>
      <c r="R10" s="114" t="s">
        <v>35</v>
      </c>
      <c r="S10" s="114" t="s">
        <v>204</v>
      </c>
      <c r="T10" s="114" t="s">
        <v>34</v>
      </c>
      <c r="U10" s="114" t="s">
        <v>30</v>
      </c>
      <c r="V10" s="113" t="s">
        <v>36</v>
      </c>
      <c r="W10" s="115" t="s">
        <v>31</v>
      </c>
      <c r="X10" s="113"/>
      <c r="Y10" s="113" t="s">
        <v>32</v>
      </c>
      <c r="Z10" s="114" t="s">
        <v>33</v>
      </c>
    </row>
    <row r="11" spans="1:26" x14ac:dyDescent="0.25">
      <c r="A11" s="65">
        <v>1.5</v>
      </c>
      <c r="B11" s="65">
        <v>36</v>
      </c>
      <c r="C11" s="65">
        <v>20</v>
      </c>
      <c r="D11" s="66">
        <v>0.125</v>
      </c>
      <c r="E11" s="66">
        <v>4.4999999999999998E-2</v>
      </c>
      <c r="F11" s="66">
        <f>(A11+B11)*C11</f>
        <v>750</v>
      </c>
      <c r="G11" s="66">
        <f>(A11+B11)/E11</f>
        <v>833.33333333333337</v>
      </c>
      <c r="H11" s="66">
        <f t="shared" ref="H11" si="3">C11/10</f>
        <v>2</v>
      </c>
      <c r="I11" s="66">
        <v>3</v>
      </c>
      <c r="J11" s="67">
        <f t="shared" ref="J11" si="4">H11*G11/60</f>
        <v>27.777777777777779</v>
      </c>
      <c r="K11" s="67">
        <f>J11+I11</f>
        <v>30.777777777777779</v>
      </c>
      <c r="L11" s="68">
        <v>275</v>
      </c>
      <c r="M11" s="69">
        <f>L11/60</f>
        <v>4.583333333333333</v>
      </c>
      <c r="N11" s="247">
        <f>ROUNDUP(K11*M11,1)</f>
        <v>141.1</v>
      </c>
      <c r="O11" s="56"/>
      <c r="P11" s="30">
        <v>125</v>
      </c>
      <c r="Q11" s="71">
        <v>0.02</v>
      </c>
      <c r="R11" s="32">
        <v>1</v>
      </c>
      <c r="S11" s="35">
        <f>N11*R11</f>
        <v>141.1</v>
      </c>
      <c r="T11" s="55">
        <f>IF(S11&gt;Y11, S11, Y11)</f>
        <v>275</v>
      </c>
      <c r="U11" s="33">
        <f>T11+P11</f>
        <v>400</v>
      </c>
      <c r="V11" s="33">
        <f>ROUNDUP(U11*Q11,0)</f>
        <v>8</v>
      </c>
      <c r="W11" s="249">
        <f>U11+V11</f>
        <v>408</v>
      </c>
      <c r="X11" s="34"/>
      <c r="Y11" s="57">
        <v>275</v>
      </c>
      <c r="Z11" s="36">
        <f>ROUNDDOWN(Y11/N11,0)</f>
        <v>1</v>
      </c>
    </row>
    <row r="12" spans="1:26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0"/>
      <c r="S12" s="60"/>
      <c r="T12" s="63"/>
      <c r="U12" s="63"/>
      <c r="V12" s="63"/>
      <c r="W12" s="63"/>
      <c r="X12" s="60"/>
      <c r="Y12" s="60"/>
      <c r="Z12" s="64"/>
    </row>
    <row r="13" spans="1:26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40"/>
      <c r="P13" s="42" t="s">
        <v>27</v>
      </c>
      <c r="Q13" s="43" t="s">
        <v>38</v>
      </c>
      <c r="R13" s="49" t="s">
        <v>35</v>
      </c>
      <c r="S13" s="114" t="s">
        <v>204</v>
      </c>
      <c r="T13" s="52" t="s">
        <v>34</v>
      </c>
      <c r="U13" s="44" t="s">
        <v>30</v>
      </c>
      <c r="V13" s="53" t="s">
        <v>36</v>
      </c>
      <c r="W13" s="46" t="s">
        <v>37</v>
      </c>
      <c r="X13" s="21"/>
      <c r="Y13" s="37" t="s">
        <v>32</v>
      </c>
      <c r="Z13" s="37" t="s">
        <v>33</v>
      </c>
    </row>
    <row r="14" spans="1:26" x14ac:dyDescent="0.25">
      <c r="A14" s="1"/>
      <c r="B14" s="14">
        <v>7</v>
      </c>
      <c r="C14" s="14">
        <v>3.125</v>
      </c>
      <c r="D14" s="66" t="s">
        <v>0</v>
      </c>
      <c r="E14" s="16">
        <v>4.4999999999999998E-2</v>
      </c>
      <c r="F14" s="16">
        <f>B14*3.14</f>
        <v>21.98</v>
      </c>
      <c r="G14" s="17">
        <f>F14/E14</f>
        <v>488.44444444444446</v>
      </c>
      <c r="H14" s="16">
        <f>C14/10</f>
        <v>0.3125</v>
      </c>
      <c r="I14" s="16">
        <v>4</v>
      </c>
      <c r="J14" s="19">
        <f>H14*G14/60</f>
        <v>2.5439814814814814</v>
      </c>
      <c r="K14" s="20">
        <f>J14+I14</f>
        <v>6.543981481481481</v>
      </c>
      <c r="L14" s="68">
        <v>275</v>
      </c>
      <c r="M14" s="69">
        <f>L14/60</f>
        <v>4.583333333333333</v>
      </c>
      <c r="N14" s="248">
        <f>ROUNDUP(K14*M14,1)</f>
        <v>30</v>
      </c>
      <c r="O14" s="56"/>
      <c r="P14" s="30">
        <v>125</v>
      </c>
      <c r="Q14" s="71">
        <v>0.02</v>
      </c>
      <c r="R14" s="32">
        <v>30</v>
      </c>
      <c r="S14" s="51">
        <f>N14*R14</f>
        <v>900</v>
      </c>
      <c r="T14" s="55">
        <f>IF(S14&gt;Y14, S14, Y14)</f>
        <v>900</v>
      </c>
      <c r="U14" s="55">
        <f>T14+P14</f>
        <v>1025</v>
      </c>
      <c r="V14" s="33">
        <f>ROUNDUP(U14*Q14,0)</f>
        <v>21</v>
      </c>
      <c r="W14" s="249">
        <f t="shared" ref="W14" si="5">U14+V14</f>
        <v>1046</v>
      </c>
      <c r="X14" s="56"/>
      <c r="Y14" s="58">
        <v>275</v>
      </c>
      <c r="Z14" s="47">
        <f>ROUNDDOWN(Y14/N14,0)</f>
        <v>9</v>
      </c>
    </row>
    <row r="17" spans="1:23" ht="21" x14ac:dyDescent="0.35">
      <c r="A17" s="171"/>
      <c r="B17" s="172" t="s">
        <v>119</v>
      </c>
      <c r="C17" s="173"/>
      <c r="N17" s="361" t="s">
        <v>149</v>
      </c>
      <c r="O17" s="198"/>
      <c r="P17" s="198"/>
      <c r="Q17" s="198"/>
      <c r="R17" s="198"/>
      <c r="S17" s="172" t="s">
        <v>149</v>
      </c>
      <c r="T17" s="198"/>
      <c r="U17" s="198"/>
      <c r="V17" s="198"/>
      <c r="W17" s="173"/>
    </row>
    <row r="18" spans="1:23" x14ac:dyDescent="0.25">
      <c r="A18" s="174" t="s">
        <v>32</v>
      </c>
      <c r="C18" s="175">
        <v>250</v>
      </c>
      <c r="N18" s="174" t="s">
        <v>150</v>
      </c>
      <c r="W18" s="176"/>
    </row>
    <row r="19" spans="1:23" x14ac:dyDescent="0.25">
      <c r="A19" s="174" t="s">
        <v>120</v>
      </c>
      <c r="C19" s="175">
        <v>125</v>
      </c>
      <c r="N19" s="174" t="s">
        <v>151</v>
      </c>
      <c r="W19" s="176"/>
    </row>
    <row r="20" spans="1:23" x14ac:dyDescent="0.25">
      <c r="A20" s="174" t="s">
        <v>36</v>
      </c>
      <c r="C20" s="176" t="s">
        <v>122</v>
      </c>
      <c r="N20" s="174"/>
      <c r="W20" s="176"/>
    </row>
    <row r="21" spans="1:23" x14ac:dyDescent="0.25">
      <c r="A21" s="174" t="s">
        <v>121</v>
      </c>
      <c r="C21" s="176" t="s">
        <v>123</v>
      </c>
      <c r="N21" s="174" t="s">
        <v>152</v>
      </c>
      <c r="W21" s="176"/>
    </row>
    <row r="22" spans="1:23" x14ac:dyDescent="0.25">
      <c r="A22" s="177" t="s">
        <v>124</v>
      </c>
      <c r="B22" s="178"/>
      <c r="C22" s="179" t="s">
        <v>156</v>
      </c>
      <c r="N22" s="174" t="s">
        <v>153</v>
      </c>
      <c r="W22" s="176"/>
    </row>
    <row r="23" spans="1:23" x14ac:dyDescent="0.25">
      <c r="N23" s="174"/>
      <c r="W23" s="176"/>
    </row>
    <row r="24" spans="1:23" x14ac:dyDescent="0.25">
      <c r="N24" s="174" t="s">
        <v>154</v>
      </c>
      <c r="W24" s="176"/>
    </row>
    <row r="25" spans="1:23" x14ac:dyDescent="0.25">
      <c r="N25" s="177" t="s">
        <v>155</v>
      </c>
      <c r="O25" s="178"/>
      <c r="P25" s="178"/>
      <c r="Q25" s="178"/>
      <c r="R25" s="178"/>
      <c r="S25" s="178"/>
      <c r="T25" s="178"/>
      <c r="U25" s="178"/>
      <c r="V25" s="178"/>
      <c r="W25" s="199"/>
    </row>
  </sheetData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8E8A-4725-48E6-91C9-B7EAF66FF471}">
  <sheetPr>
    <tabColor rgb="FF92D050"/>
  </sheetPr>
  <dimension ref="A1:AD37"/>
  <sheetViews>
    <sheetView workbookViewId="0">
      <selection activeCell="A20" sqref="A20:C25"/>
    </sheetView>
  </sheetViews>
  <sheetFormatPr defaultRowHeight="15" x14ac:dyDescent="0.25"/>
  <cols>
    <col min="4" max="13" width="9.140625" hidden="1" customWidth="1"/>
    <col min="17" max="17" width="0" hidden="1" customWidth="1"/>
    <col min="19" max="19" width="15.85546875" hidden="1" customWidth="1"/>
    <col min="20" max="20" width="12" bestFit="1" customWidth="1"/>
    <col min="21" max="21" width="10.5703125" bestFit="1" customWidth="1"/>
    <col min="23" max="23" width="21.140625" customWidth="1"/>
    <col min="24" max="24" width="7.28515625" customWidth="1"/>
    <col min="25" max="25" width="16" customWidth="1"/>
    <col min="28" max="28" width="14.140625" customWidth="1"/>
    <col min="29" max="29" width="9.7109375" customWidth="1"/>
    <col min="30" max="30" width="17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3</v>
      </c>
      <c r="B3" s="65">
        <v>48.5</v>
      </c>
      <c r="C3" s="65">
        <v>38</v>
      </c>
      <c r="D3" s="66">
        <v>0.125</v>
      </c>
      <c r="E3" s="66">
        <v>0.105</v>
      </c>
      <c r="F3" s="66">
        <f>(A3+B3)*C3</f>
        <v>1957</v>
      </c>
      <c r="G3" s="66">
        <f>(A3+B3)/E3</f>
        <v>490.47619047619048</v>
      </c>
      <c r="H3" s="66">
        <f t="shared" ref="H3" si="0">C3/10</f>
        <v>3.8</v>
      </c>
      <c r="I3" s="66">
        <v>5</v>
      </c>
      <c r="J3" s="67">
        <f t="shared" ref="J3" si="1">H3*G3/60</f>
        <v>31.063492063492063</v>
      </c>
      <c r="K3" s="67">
        <f>J3+I3</f>
        <v>36.063492063492063</v>
      </c>
      <c r="L3" s="68">
        <v>250</v>
      </c>
      <c r="M3" s="69">
        <f>L3/60</f>
        <v>4.166666666666667</v>
      </c>
      <c r="N3" s="247">
        <f>ROUNDUP(K3*M3,1)</f>
        <v>150.29999999999998</v>
      </c>
      <c r="O3" s="56"/>
      <c r="P3" s="30">
        <v>125</v>
      </c>
      <c r="Q3" s="71">
        <v>0.02</v>
      </c>
      <c r="R3" s="32">
        <v>1</v>
      </c>
      <c r="S3" s="35">
        <f>N3*R3</f>
        <v>150.29999999999998</v>
      </c>
      <c r="T3" s="33">
        <f>IF(S3&gt;Y3, S3, Y3)</f>
        <v>250</v>
      </c>
      <c r="U3" s="33">
        <f>T3+P3</f>
        <v>375</v>
      </c>
      <c r="V3" s="33">
        <f>ROUNDUP(U3*Q3,0)</f>
        <v>8</v>
      </c>
      <c r="W3" s="249">
        <f>U3+V3</f>
        <v>383</v>
      </c>
      <c r="X3" s="34"/>
      <c r="Y3" s="57">
        <v>250</v>
      </c>
      <c r="Z3" s="36">
        <f>ROUNDDOWN(Y3/N3,0)</f>
        <v>1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204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2.5</v>
      </c>
      <c r="B6" s="65">
        <v>15.5</v>
      </c>
      <c r="C6" s="65">
        <v>16</v>
      </c>
      <c r="D6" s="66">
        <v>0.125</v>
      </c>
      <c r="E6" s="66">
        <v>5.5E-2</v>
      </c>
      <c r="F6" s="66">
        <f>(A6+B6)*C6</f>
        <v>288</v>
      </c>
      <c r="G6" s="66">
        <f>(A6+B6)/E6</f>
        <v>327.27272727272725</v>
      </c>
      <c r="H6" s="66">
        <f t="shared" ref="H6" si="2">C6/10</f>
        <v>1.6</v>
      </c>
      <c r="I6" s="66">
        <v>3</v>
      </c>
      <c r="J6" s="67">
        <f t="shared" ref="J6" si="3">H6*G6/60</f>
        <v>8.7272727272727266</v>
      </c>
      <c r="K6" s="67">
        <f>J6+I6</f>
        <v>11.727272727272727</v>
      </c>
      <c r="L6" s="68">
        <v>250</v>
      </c>
      <c r="M6" s="69">
        <f>L6/60</f>
        <v>4.166666666666667</v>
      </c>
      <c r="N6" s="247">
        <f>ROUNDUP(K6*M6,1)</f>
        <v>48.9</v>
      </c>
      <c r="O6" s="56"/>
      <c r="P6" s="30">
        <v>125</v>
      </c>
      <c r="Q6" s="71">
        <v>0.02</v>
      </c>
      <c r="R6" s="32">
        <v>3</v>
      </c>
      <c r="S6" s="35">
        <f>N6*R6</f>
        <v>146.69999999999999</v>
      </c>
      <c r="T6" s="33">
        <f>IF(S6&gt;Y6, S6, Y6)</f>
        <v>250</v>
      </c>
      <c r="U6" s="33">
        <f>T6+P6</f>
        <v>375</v>
      </c>
      <c r="V6" s="33">
        <f>ROUNDUP(U6*Q6,0)</f>
        <v>8</v>
      </c>
      <c r="W6" s="249">
        <f>U6+V6</f>
        <v>383</v>
      </c>
      <c r="X6" s="34"/>
      <c r="Y6" s="57">
        <v>250</v>
      </c>
      <c r="Z6" s="36">
        <f>ROUNDDOWN(Y6/N6,0)</f>
        <v>5</v>
      </c>
    </row>
    <row r="7" spans="1:26" ht="26.25" x14ac:dyDescent="0.25">
      <c r="B7" s="168" t="s">
        <v>12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204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1.75</v>
      </c>
      <c r="C9" s="14">
        <v>11</v>
      </c>
      <c r="D9" s="66" t="s">
        <v>0</v>
      </c>
      <c r="E9" s="16">
        <v>5.5E-2</v>
      </c>
      <c r="F9" s="16">
        <f>B9*3.14</f>
        <v>5.4950000000000001</v>
      </c>
      <c r="G9" s="17">
        <f>F9/E9</f>
        <v>99.909090909090907</v>
      </c>
      <c r="H9" s="16">
        <f>C9/10</f>
        <v>1.1000000000000001</v>
      </c>
      <c r="I9" s="16">
        <v>3</v>
      </c>
      <c r="J9" s="19">
        <f>H9*G9/60</f>
        <v>1.8316666666666668</v>
      </c>
      <c r="K9" s="20">
        <f>J9+I9</f>
        <v>4.831666666666667</v>
      </c>
      <c r="L9" s="68">
        <v>250</v>
      </c>
      <c r="M9" s="69">
        <f>L9/60</f>
        <v>4.166666666666667</v>
      </c>
      <c r="N9" s="248">
        <f>ROUNDUP(K9*M9,1)</f>
        <v>20.200000000000003</v>
      </c>
      <c r="O9" s="56"/>
      <c r="P9" s="30">
        <v>0</v>
      </c>
      <c r="Q9" s="71">
        <v>0.02</v>
      </c>
      <c r="R9" s="32">
        <v>19</v>
      </c>
      <c r="S9" s="35">
        <f>N9*R9</f>
        <v>383.80000000000007</v>
      </c>
      <c r="T9" s="33">
        <f>IF(S9&gt;Y9, S9, Y9)</f>
        <v>383.80000000000007</v>
      </c>
      <c r="U9" s="33">
        <f>T9+P9</f>
        <v>383.80000000000007</v>
      </c>
      <c r="V9" s="33">
        <f>ROUNDUP(U9*Q9,0)</f>
        <v>8</v>
      </c>
      <c r="W9" s="249">
        <f t="shared" ref="W9" si="4">U9+V9</f>
        <v>391.80000000000007</v>
      </c>
      <c r="X9" s="56"/>
      <c r="Y9" s="58">
        <v>250</v>
      </c>
      <c r="Z9" s="47">
        <f>ROUNDDOWN(Y9/N9,0)</f>
        <v>12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204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1</v>
      </c>
      <c r="B14" s="65">
        <v>5</v>
      </c>
      <c r="C14" s="65">
        <v>4</v>
      </c>
      <c r="D14" s="66">
        <v>0.125</v>
      </c>
      <c r="E14" s="66">
        <v>5.5E-2</v>
      </c>
      <c r="F14" s="66">
        <f>(A14+B14)*C14</f>
        <v>24</v>
      </c>
      <c r="G14" s="66">
        <f>(A14+B14)/E14</f>
        <v>109.09090909090909</v>
      </c>
      <c r="H14" s="66">
        <f t="shared" ref="H14" si="5">C14/10</f>
        <v>0.4</v>
      </c>
      <c r="I14" s="66">
        <v>3</v>
      </c>
      <c r="J14" s="67">
        <f t="shared" ref="J14" si="6">H14*G14/60</f>
        <v>0.72727272727272729</v>
      </c>
      <c r="K14" s="67">
        <f>J14+I14</f>
        <v>3.7272727272727275</v>
      </c>
      <c r="L14" s="68">
        <v>275</v>
      </c>
      <c r="M14" s="69">
        <f>L14/60</f>
        <v>4.583333333333333</v>
      </c>
      <c r="N14" s="247">
        <f>ROUNDUP(K14*M14,1)</f>
        <v>17.100000000000001</v>
      </c>
      <c r="O14" s="56"/>
      <c r="P14" s="30">
        <v>125</v>
      </c>
      <c r="Q14" s="71">
        <v>0.02</v>
      </c>
      <c r="R14" s="32">
        <v>85</v>
      </c>
      <c r="S14" s="35">
        <f>N14*R14</f>
        <v>1453.5000000000002</v>
      </c>
      <c r="T14" s="33">
        <f>IF(S14&gt;Y14, S14, Y14)</f>
        <v>1453.5000000000002</v>
      </c>
      <c r="U14" s="33">
        <f>T14+P14</f>
        <v>1578.5000000000002</v>
      </c>
      <c r="V14" s="33">
        <f>ROUNDUP(U14*Q14,0)</f>
        <v>32</v>
      </c>
      <c r="W14" s="249">
        <f>U14+V14</f>
        <v>1610.5000000000002</v>
      </c>
      <c r="X14" s="34"/>
      <c r="Y14" s="57">
        <v>275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204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A17" s="1"/>
      <c r="B17" s="14">
        <v>2</v>
      </c>
      <c r="C17" s="14">
        <v>2</v>
      </c>
      <c r="D17" s="66" t="s">
        <v>0</v>
      </c>
      <c r="E17" s="16">
        <v>5.5E-2</v>
      </c>
      <c r="F17" s="16">
        <f>B17*3.14</f>
        <v>6.28</v>
      </c>
      <c r="G17" s="17">
        <f>F17/E17</f>
        <v>114.18181818181819</v>
      </c>
      <c r="H17" s="16">
        <f>C17/10</f>
        <v>0.2</v>
      </c>
      <c r="I17" s="16">
        <v>3</v>
      </c>
      <c r="J17" s="19">
        <f>H17*G17/60</f>
        <v>0.38060606060606067</v>
      </c>
      <c r="K17" s="20">
        <f>J17+I17</f>
        <v>3.3806060606060608</v>
      </c>
      <c r="L17" s="68">
        <v>275</v>
      </c>
      <c r="M17" s="69">
        <f>L17/60</f>
        <v>4.583333333333333</v>
      </c>
      <c r="N17" s="248">
        <f>ROUNDUP(K17*M17,1)</f>
        <v>15.5</v>
      </c>
      <c r="O17" s="56"/>
      <c r="P17" s="30">
        <v>125</v>
      </c>
      <c r="Q17" s="71">
        <v>0.02</v>
      </c>
      <c r="R17" s="32">
        <v>1</v>
      </c>
      <c r="S17" s="35">
        <f>N17*R17</f>
        <v>15.5</v>
      </c>
      <c r="T17" s="33">
        <f>IF(S17&gt;Y17, S17, Y17)</f>
        <v>275</v>
      </c>
      <c r="U17" s="33">
        <f>T17+P17</f>
        <v>400</v>
      </c>
      <c r="V17" s="33">
        <f>ROUNDUP(U17*Q17,0)</f>
        <v>8</v>
      </c>
      <c r="W17" s="249">
        <f t="shared" ref="W17" si="7">U17+V17</f>
        <v>408</v>
      </c>
      <c r="X17" s="56"/>
      <c r="Y17" s="58">
        <v>275</v>
      </c>
      <c r="Z17" s="47">
        <f>ROUNDDOWN(Y17/N17,0)</f>
        <v>17</v>
      </c>
    </row>
    <row r="19" spans="1:30" ht="15.75" thickBot="1" x14ac:dyDescent="0.3"/>
    <row r="20" spans="1:30" ht="24.75" thickTop="1" thickBot="1" x14ac:dyDescent="0.4">
      <c r="A20" s="171"/>
      <c r="B20" s="172" t="s">
        <v>119</v>
      </c>
      <c r="C20" s="173"/>
      <c r="N20" s="351"/>
      <c r="O20" s="352"/>
      <c r="P20" s="352"/>
      <c r="Q20" s="372" t="s">
        <v>149</v>
      </c>
      <c r="R20" s="352"/>
      <c r="S20" s="372" t="s">
        <v>149</v>
      </c>
      <c r="T20" s="352"/>
      <c r="V20" s="494" t="s">
        <v>348</v>
      </c>
      <c r="W20" s="436"/>
      <c r="X20" s="436"/>
      <c r="Y20" s="436"/>
      <c r="Z20" s="1"/>
      <c r="AA20" s="460" t="s">
        <v>362</v>
      </c>
      <c r="AB20" s="461"/>
      <c r="AC20" s="461"/>
      <c r="AD20" s="461"/>
    </row>
    <row r="21" spans="1:30" ht="16.5" thickTop="1" x14ac:dyDescent="0.25">
      <c r="A21" s="174" t="s">
        <v>32</v>
      </c>
      <c r="C21" s="175">
        <v>250</v>
      </c>
      <c r="N21" s="373" t="s">
        <v>150</v>
      </c>
      <c r="T21" s="374"/>
      <c r="V21" s="362" t="s">
        <v>207</v>
      </c>
      <c r="W21" s="363"/>
      <c r="X21" s="352"/>
      <c r="Y21" s="364">
        <f>N6</f>
        <v>48.9</v>
      </c>
      <c r="Z21" s="1"/>
      <c r="AA21" s="462" t="s">
        <v>207</v>
      </c>
      <c r="AB21" s="463"/>
      <c r="AC21" s="383"/>
      <c r="AD21" s="470">
        <f>N3</f>
        <v>150.29999999999998</v>
      </c>
    </row>
    <row r="22" spans="1:30" ht="15.75" x14ac:dyDescent="0.25">
      <c r="A22" s="174" t="s">
        <v>120</v>
      </c>
      <c r="C22" s="175">
        <v>125</v>
      </c>
      <c r="N22" s="373" t="s">
        <v>151</v>
      </c>
      <c r="T22" s="374"/>
      <c r="V22" s="365" t="s">
        <v>208</v>
      </c>
      <c r="W22" s="1"/>
      <c r="Y22" s="366">
        <f>R6</f>
        <v>3</v>
      </c>
      <c r="Z22" s="1"/>
      <c r="AA22" s="464" t="s">
        <v>208</v>
      </c>
      <c r="AB22" s="1"/>
      <c r="AD22" s="471">
        <f>R3</f>
        <v>1</v>
      </c>
    </row>
    <row r="23" spans="1:30" ht="15.75" x14ac:dyDescent="0.25">
      <c r="A23" s="174" t="s">
        <v>36</v>
      </c>
      <c r="C23" s="200" t="s">
        <v>122</v>
      </c>
      <c r="N23" s="373"/>
      <c r="T23" s="374"/>
      <c r="V23" s="365" t="s">
        <v>209</v>
      </c>
      <c r="W23" s="1"/>
      <c r="Y23" s="367">
        <f>T6</f>
        <v>250</v>
      </c>
      <c r="Z23" s="1"/>
      <c r="AA23" s="464" t="s">
        <v>209</v>
      </c>
      <c r="AB23" s="1"/>
      <c r="AD23" s="469">
        <f>T3</f>
        <v>250</v>
      </c>
    </row>
    <row r="24" spans="1:30" ht="15.75" x14ac:dyDescent="0.25">
      <c r="A24" s="174" t="s">
        <v>121</v>
      </c>
      <c r="C24" s="176" t="s">
        <v>310</v>
      </c>
      <c r="N24" s="373" t="s">
        <v>152</v>
      </c>
      <c r="T24" s="374"/>
      <c r="V24" s="365" t="s">
        <v>210</v>
      </c>
      <c r="W24" s="1"/>
      <c r="Y24" s="367">
        <f>V6</f>
        <v>8</v>
      </c>
      <c r="Z24" s="1"/>
      <c r="AA24" s="464" t="s">
        <v>210</v>
      </c>
      <c r="AB24" s="1"/>
      <c r="AD24" s="469">
        <f>V3</f>
        <v>8</v>
      </c>
    </row>
    <row r="25" spans="1:30" ht="15.75" x14ac:dyDescent="0.25">
      <c r="A25" s="177" t="s">
        <v>124</v>
      </c>
      <c r="B25" s="178"/>
      <c r="C25" s="179">
        <v>100</v>
      </c>
      <c r="N25" s="373" t="s">
        <v>153</v>
      </c>
      <c r="T25" s="374"/>
      <c r="V25" s="365" t="s">
        <v>216</v>
      </c>
      <c r="Y25" s="368">
        <f>P6</f>
        <v>125</v>
      </c>
      <c r="Z25" s="1"/>
      <c r="AA25" s="464" t="s">
        <v>216</v>
      </c>
      <c r="AD25" s="465">
        <f>P3</f>
        <v>125</v>
      </c>
    </row>
    <row r="26" spans="1:30" ht="15.75" x14ac:dyDescent="0.25">
      <c r="N26" s="373"/>
      <c r="T26" s="374"/>
      <c r="V26" s="365" t="s">
        <v>211</v>
      </c>
      <c r="W26" s="1"/>
      <c r="Y26" s="367">
        <f>W6</f>
        <v>383</v>
      </c>
      <c r="Z26" s="1"/>
      <c r="AA26" s="464" t="s">
        <v>211</v>
      </c>
      <c r="AB26" s="1"/>
      <c r="AD26" s="469">
        <f>W3</f>
        <v>383</v>
      </c>
    </row>
    <row r="27" spans="1:30" ht="16.5" thickBot="1" x14ac:dyDescent="0.3"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7"/>
      <c r="AD27" s="468" t="s">
        <v>347</v>
      </c>
    </row>
    <row r="28" spans="1:30" ht="16.5" thickTop="1" thickBot="1" x14ac:dyDescent="0.3">
      <c r="N28" s="353" t="s">
        <v>155</v>
      </c>
      <c r="O28" s="354"/>
      <c r="P28" s="354"/>
      <c r="Q28" s="354"/>
      <c r="R28" s="354"/>
      <c r="S28" s="354"/>
      <c r="T28" s="354"/>
      <c r="X28" s="1"/>
      <c r="Y28" s="1"/>
      <c r="Z28" s="1"/>
    </row>
    <row r="29" spans="1:30" ht="24.75" thickTop="1" thickBot="1" x14ac:dyDescent="0.4">
      <c r="V29" s="541" t="s">
        <v>284</v>
      </c>
      <c r="W29" s="541"/>
      <c r="X29" s="541"/>
      <c r="Y29" s="541"/>
      <c r="Z29" s="1"/>
    </row>
    <row r="30" spans="1:30" ht="16.5" thickTop="1" x14ac:dyDescent="0.25">
      <c r="V30" s="362" t="s">
        <v>207</v>
      </c>
      <c r="W30" s="363"/>
      <c r="X30" s="352"/>
      <c r="Y30" s="364">
        <f>N9</f>
        <v>20.200000000000003</v>
      </c>
      <c r="Z30" s="1"/>
    </row>
    <row r="31" spans="1:30" ht="15.75" x14ac:dyDescent="0.25">
      <c r="V31" s="365" t="s">
        <v>208</v>
      </c>
      <c r="W31" s="1"/>
      <c r="Y31" s="366">
        <f>R9</f>
        <v>19</v>
      </c>
      <c r="Z31" s="1"/>
    </row>
    <row r="32" spans="1:30" ht="15.75" x14ac:dyDescent="0.25">
      <c r="V32" s="365" t="s">
        <v>209</v>
      </c>
      <c r="W32" s="1"/>
      <c r="Y32" s="367">
        <f>T9</f>
        <v>383.80000000000007</v>
      </c>
      <c r="Z32" s="1"/>
    </row>
    <row r="33" spans="22:26" ht="15.75" x14ac:dyDescent="0.25">
      <c r="V33" s="365" t="s">
        <v>210</v>
      </c>
      <c r="W33" s="1"/>
      <c r="Y33" s="367">
        <f>V9</f>
        <v>8</v>
      </c>
      <c r="Z33" s="1"/>
    </row>
    <row r="34" spans="22:26" ht="15.75" x14ac:dyDescent="0.25">
      <c r="V34" s="365" t="s">
        <v>216</v>
      </c>
      <c r="Y34" s="368">
        <f>P9</f>
        <v>0</v>
      </c>
      <c r="Z34" s="1"/>
    </row>
    <row r="35" spans="22:26" ht="15.75" x14ac:dyDescent="0.25">
      <c r="V35" s="365" t="s">
        <v>211</v>
      </c>
      <c r="W35" s="1"/>
      <c r="Y35" s="367">
        <f>W9</f>
        <v>391.80000000000007</v>
      </c>
      <c r="Z35" s="1"/>
    </row>
    <row r="36" spans="22:26" ht="16.5" thickBot="1" x14ac:dyDescent="0.3">
      <c r="V36" s="369" t="s">
        <v>346</v>
      </c>
      <c r="W36" s="354"/>
      <c r="X36" s="539" t="s">
        <v>347</v>
      </c>
      <c r="Y36" s="540"/>
      <c r="Z36" s="1"/>
    </row>
    <row r="37" spans="22:26" ht="15.75" thickTop="1" x14ac:dyDescent="0.25"/>
  </sheetData>
  <mergeCells count="2">
    <mergeCell ref="V29:Y29"/>
    <mergeCell ref="X36:Y36"/>
  </mergeCell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0425-CED0-4CF4-9211-E9B0B5324485}">
  <sheetPr>
    <tabColor rgb="FFFF0000"/>
  </sheetPr>
  <dimension ref="A1:AH55"/>
  <sheetViews>
    <sheetView workbookViewId="0">
      <selection activeCell="C11" sqref="C11"/>
    </sheetView>
  </sheetViews>
  <sheetFormatPr defaultRowHeight="15" x14ac:dyDescent="0.25"/>
  <cols>
    <col min="4" max="13" width="0" hidden="1" customWidth="1"/>
    <col min="17" max="17" width="10.85546875" customWidth="1"/>
    <col min="18" max="18" width="11.28515625" customWidth="1"/>
    <col min="19" max="19" width="10.7109375" customWidth="1"/>
    <col min="20" max="20" width="13.28515625" customWidth="1"/>
    <col min="21" max="21" width="14.7109375" customWidth="1"/>
    <col min="22" max="22" width="13.5703125" customWidth="1"/>
    <col min="23" max="23" width="14.85546875" customWidth="1"/>
  </cols>
  <sheetData>
    <row r="1" spans="1:34" ht="21" x14ac:dyDescent="0.25">
      <c r="A1" s="9" t="s">
        <v>301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1"/>
      <c r="P1" s="21"/>
      <c r="Q1" s="21"/>
      <c r="R1" s="22"/>
      <c r="S1" s="22"/>
      <c r="T1" s="22"/>
      <c r="U1" s="22"/>
      <c r="V1" s="75"/>
      <c r="W1" s="22"/>
      <c r="X1" s="22"/>
      <c r="Y1" s="88"/>
      <c r="Z1" s="22"/>
      <c r="AA1" s="21"/>
      <c r="AB1" s="21"/>
      <c r="AC1" s="21"/>
      <c r="AD1" s="1"/>
      <c r="AE1" s="1"/>
      <c r="AF1" s="1"/>
      <c r="AG1" s="1"/>
      <c r="AH1" s="1"/>
    </row>
    <row r="2" spans="1:34" ht="45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3" t="s">
        <v>5</v>
      </c>
      <c r="O2" s="34"/>
      <c r="P2" s="38" t="s">
        <v>29</v>
      </c>
      <c r="Q2" s="38" t="s">
        <v>204</v>
      </c>
      <c r="R2" s="37" t="s">
        <v>34</v>
      </c>
      <c r="S2" s="37" t="s">
        <v>27</v>
      </c>
      <c r="T2" s="38" t="s">
        <v>39</v>
      </c>
      <c r="U2" s="38" t="s">
        <v>30</v>
      </c>
      <c r="V2" s="74" t="s">
        <v>36</v>
      </c>
      <c r="W2" s="38" t="s">
        <v>31</v>
      </c>
      <c r="X2" s="37" t="s">
        <v>32</v>
      </c>
      <c r="Y2" s="41" t="s">
        <v>33</v>
      </c>
      <c r="Z2" s="21"/>
      <c r="AA2" s="21"/>
      <c r="AB2" s="21"/>
      <c r="AC2" s="21"/>
      <c r="AD2" s="1"/>
      <c r="AE2" s="1"/>
      <c r="AF2" s="1"/>
      <c r="AG2" s="1"/>
      <c r="AH2" s="1"/>
    </row>
    <row r="3" spans="1:34" x14ac:dyDescent="0.25">
      <c r="A3" s="65">
        <v>0.75</v>
      </c>
      <c r="B3" s="65">
        <v>48</v>
      </c>
      <c r="C3" s="65">
        <v>96</v>
      </c>
      <c r="D3" s="66" t="s">
        <v>0</v>
      </c>
      <c r="E3" s="66">
        <v>0.15</v>
      </c>
      <c r="F3" s="66">
        <f>(A3+B3)*C3</f>
        <v>4680</v>
      </c>
      <c r="G3" s="66">
        <f>(A3+B3)/E3</f>
        <v>325</v>
      </c>
      <c r="H3" s="66">
        <f t="shared" ref="H3" si="0">C3/10</f>
        <v>9.6</v>
      </c>
      <c r="I3" s="66">
        <v>6</v>
      </c>
      <c r="J3" s="67">
        <f t="shared" ref="J3" si="1">H3*G3/60</f>
        <v>52</v>
      </c>
      <c r="K3" s="67">
        <f>J3+I3</f>
        <v>58</v>
      </c>
      <c r="L3" s="68">
        <v>225</v>
      </c>
      <c r="M3" s="69">
        <f>L3/60</f>
        <v>3.75</v>
      </c>
      <c r="N3" s="70">
        <f>ROUNDUP(K3*M3,1)</f>
        <v>217.5</v>
      </c>
      <c r="O3" s="23" t="s">
        <v>440</v>
      </c>
      <c r="P3" s="32">
        <v>1</v>
      </c>
      <c r="Q3" s="35">
        <f>N3*P3</f>
        <v>217.5</v>
      </c>
      <c r="R3" s="33">
        <f>IF(Q3&gt;X3, Q3, X3)</f>
        <v>250</v>
      </c>
      <c r="S3" s="30">
        <v>0</v>
      </c>
      <c r="T3" s="79">
        <v>0.02</v>
      </c>
      <c r="U3" s="33">
        <f>R3+S3</f>
        <v>250</v>
      </c>
      <c r="V3" s="77">
        <f>ROUNDUP(U3*T3,0)</f>
        <v>5</v>
      </c>
      <c r="W3" s="33">
        <f>U3+V3</f>
        <v>255</v>
      </c>
      <c r="X3" s="57">
        <v>250</v>
      </c>
      <c r="Y3" s="78">
        <f>ROUNDDOWN(X3/N3,0)</f>
        <v>1</v>
      </c>
      <c r="Z3" s="21"/>
      <c r="AA3" s="21"/>
      <c r="AB3" s="21"/>
      <c r="AC3" s="21"/>
      <c r="AD3" s="1"/>
      <c r="AE3" s="1"/>
      <c r="AF3" s="1"/>
      <c r="AG3" s="1"/>
      <c r="AH3" s="1"/>
    </row>
    <row r="4" spans="1:34" ht="21" x14ac:dyDescent="0.25">
      <c r="A4" s="9" t="s">
        <v>312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21"/>
      <c r="P4" s="21"/>
      <c r="Q4" s="21"/>
      <c r="R4" s="22"/>
      <c r="S4" s="22"/>
      <c r="T4" s="22"/>
      <c r="U4" s="22"/>
      <c r="V4" s="75"/>
      <c r="W4" s="22"/>
      <c r="X4" s="22"/>
      <c r="Y4" s="88"/>
      <c r="Z4" s="22"/>
      <c r="AA4" s="21"/>
      <c r="AB4" s="21"/>
      <c r="AC4" s="21"/>
      <c r="AD4" s="1"/>
      <c r="AE4" s="1"/>
      <c r="AF4" s="1"/>
      <c r="AG4" s="1"/>
      <c r="AH4" s="1"/>
    </row>
    <row r="5" spans="1:34" ht="45" x14ac:dyDescent="0.25">
      <c r="A5" s="2" t="s">
        <v>23</v>
      </c>
      <c r="B5" s="2" t="s">
        <v>8</v>
      </c>
      <c r="C5" s="2" t="s">
        <v>7</v>
      </c>
      <c r="D5" s="2" t="s">
        <v>2</v>
      </c>
      <c r="E5" s="2" t="s">
        <v>1</v>
      </c>
      <c r="F5" s="2" t="s">
        <v>6</v>
      </c>
      <c r="G5" s="2" t="s">
        <v>3</v>
      </c>
      <c r="H5" s="2" t="s">
        <v>21</v>
      </c>
      <c r="I5" s="2" t="s">
        <v>9</v>
      </c>
      <c r="J5" s="2" t="s">
        <v>4</v>
      </c>
      <c r="K5" s="2" t="s">
        <v>10</v>
      </c>
      <c r="L5" s="2" t="s">
        <v>24</v>
      </c>
      <c r="M5" s="2" t="s">
        <v>25</v>
      </c>
      <c r="N5" s="3" t="s">
        <v>5</v>
      </c>
      <c r="O5" s="34"/>
      <c r="P5" s="38" t="s">
        <v>29</v>
      </c>
      <c r="Q5" s="38" t="s">
        <v>204</v>
      </c>
      <c r="R5" s="37" t="s">
        <v>34</v>
      </c>
      <c r="S5" s="37" t="s">
        <v>27</v>
      </c>
      <c r="T5" s="38" t="s">
        <v>39</v>
      </c>
      <c r="U5" s="38" t="s">
        <v>30</v>
      </c>
      <c r="V5" s="74" t="s">
        <v>36</v>
      </c>
      <c r="W5" s="38" t="s">
        <v>31</v>
      </c>
      <c r="X5" s="37" t="s">
        <v>32</v>
      </c>
      <c r="Y5" s="41" t="s">
        <v>33</v>
      </c>
      <c r="Z5" s="21"/>
      <c r="AA5" s="21"/>
      <c r="AB5" s="21"/>
      <c r="AC5" s="21"/>
      <c r="AD5" s="1"/>
      <c r="AE5" s="1"/>
      <c r="AF5" s="1"/>
      <c r="AG5" s="1"/>
      <c r="AH5" s="1"/>
    </row>
    <row r="6" spans="1:34" x14ac:dyDescent="0.25">
      <c r="A6" s="65">
        <v>2.75</v>
      </c>
      <c r="B6" s="65">
        <v>3.25</v>
      </c>
      <c r="C6" s="65">
        <v>6.25</v>
      </c>
      <c r="D6" s="66" t="s">
        <v>0</v>
      </c>
      <c r="E6" s="66">
        <v>6.5000000000000002E-2</v>
      </c>
      <c r="F6" s="66">
        <f>(A6+B6)*C6</f>
        <v>37.5</v>
      </c>
      <c r="G6" s="66">
        <f>(A6+B6)/E6</f>
        <v>92.307692307692307</v>
      </c>
      <c r="H6" s="66">
        <f t="shared" ref="H6" si="2">C6/10</f>
        <v>0.625</v>
      </c>
      <c r="I6" s="66">
        <v>4</v>
      </c>
      <c r="J6" s="67">
        <f t="shared" ref="J6" si="3">H6*G6/60</f>
        <v>0.96153846153846156</v>
      </c>
      <c r="K6" s="67">
        <f>J6+I6</f>
        <v>4.9615384615384617</v>
      </c>
      <c r="L6" s="68">
        <v>225</v>
      </c>
      <c r="M6" s="69">
        <f>L6/60</f>
        <v>3.75</v>
      </c>
      <c r="N6" s="70">
        <f>ROUNDUP(K6*M6,1)</f>
        <v>18.700000000000003</v>
      </c>
      <c r="O6" s="23" t="s">
        <v>440</v>
      </c>
      <c r="P6" s="32">
        <v>35</v>
      </c>
      <c r="Q6" s="35">
        <f>N6*P6</f>
        <v>654.50000000000011</v>
      </c>
      <c r="R6" s="33">
        <f>IF(Q6&gt;X6, Q6, X6)</f>
        <v>654.50000000000011</v>
      </c>
      <c r="S6" s="30">
        <v>125</v>
      </c>
      <c r="T6" s="79">
        <v>0.02</v>
      </c>
      <c r="U6" s="33">
        <f>R6+S6</f>
        <v>779.50000000000011</v>
      </c>
      <c r="V6" s="77">
        <f>ROUNDUP(U6*T6,0)</f>
        <v>16</v>
      </c>
      <c r="W6" s="33">
        <f>U6+V6</f>
        <v>795.50000000000011</v>
      </c>
      <c r="X6" s="57">
        <v>250</v>
      </c>
      <c r="Y6" s="78">
        <f>ROUNDDOWN(X6/N6,0)</f>
        <v>13</v>
      </c>
      <c r="Z6" s="21"/>
      <c r="AA6" s="21"/>
      <c r="AB6" s="21"/>
      <c r="AC6" s="21"/>
      <c r="AD6" s="1"/>
      <c r="AE6" s="1"/>
      <c r="AF6" s="1"/>
      <c r="AG6" s="1"/>
      <c r="AH6" s="1"/>
    </row>
    <row r="7" spans="1:34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1"/>
      <c r="Q7" s="21"/>
      <c r="R7" s="27"/>
      <c r="S7" s="28"/>
      <c r="T7" s="72"/>
      <c r="U7" s="27"/>
      <c r="V7" s="76"/>
      <c r="W7" s="27"/>
      <c r="X7" s="25"/>
      <c r="Y7" s="26"/>
      <c r="Z7" s="21"/>
      <c r="AA7" s="21"/>
      <c r="AB7" s="21"/>
      <c r="AC7" s="21"/>
      <c r="AD7" s="1"/>
      <c r="AE7" s="1"/>
      <c r="AF7" s="1"/>
      <c r="AG7" s="1"/>
      <c r="AH7" s="1"/>
    </row>
    <row r="8" spans="1:34" ht="21" x14ac:dyDescent="0.25">
      <c r="A8" s="1"/>
      <c r="B8" s="80" t="s">
        <v>12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2"/>
      <c r="P8" s="82"/>
      <c r="Q8" s="82"/>
      <c r="R8" s="83"/>
      <c r="S8" s="84"/>
      <c r="T8" s="85"/>
      <c r="U8" s="83"/>
      <c r="V8" s="86"/>
      <c r="W8" s="83"/>
      <c r="X8" s="82"/>
      <c r="Y8" s="87"/>
      <c r="Z8" s="21"/>
      <c r="AA8" s="21"/>
      <c r="AB8" s="21"/>
      <c r="AC8" s="21"/>
      <c r="AD8" s="1"/>
      <c r="AE8" s="1"/>
      <c r="AF8" s="1"/>
      <c r="AG8" s="1"/>
      <c r="AH8" s="1"/>
    </row>
    <row r="9" spans="1:34" ht="45" x14ac:dyDescent="0.25">
      <c r="A9" s="1"/>
      <c r="B9" s="4" t="s">
        <v>13</v>
      </c>
      <c r="C9" s="4" t="s">
        <v>7</v>
      </c>
      <c r="D9" s="2" t="s">
        <v>2</v>
      </c>
      <c r="E9" s="4" t="s">
        <v>1</v>
      </c>
      <c r="F9" s="5" t="s">
        <v>20</v>
      </c>
      <c r="G9" s="4" t="s">
        <v>14</v>
      </c>
      <c r="H9" s="4" t="s">
        <v>15</v>
      </c>
      <c r="I9" s="4" t="s">
        <v>17</v>
      </c>
      <c r="J9" s="4" t="s">
        <v>16</v>
      </c>
      <c r="K9" s="4" t="s">
        <v>18</v>
      </c>
      <c r="L9" s="2" t="s">
        <v>24</v>
      </c>
      <c r="M9" s="2" t="s">
        <v>25</v>
      </c>
      <c r="N9" s="6" t="s">
        <v>19</v>
      </c>
      <c r="O9" s="37"/>
      <c r="P9" s="38" t="s">
        <v>29</v>
      </c>
      <c r="Q9" s="38" t="s">
        <v>204</v>
      </c>
      <c r="R9" s="44" t="s">
        <v>34</v>
      </c>
      <c r="S9" s="42" t="s">
        <v>27</v>
      </c>
      <c r="T9" s="73" t="s">
        <v>39</v>
      </c>
      <c r="U9" s="44" t="s">
        <v>30</v>
      </c>
      <c r="V9" s="45" t="s">
        <v>36</v>
      </c>
      <c r="W9" s="44" t="s">
        <v>31</v>
      </c>
      <c r="X9" s="37" t="s">
        <v>32</v>
      </c>
      <c r="Y9" s="41" t="s">
        <v>33</v>
      </c>
      <c r="Z9" s="21"/>
      <c r="AA9" s="21"/>
      <c r="AB9" s="21"/>
      <c r="AC9" s="21"/>
      <c r="AD9" s="1"/>
      <c r="AE9" s="1"/>
      <c r="AF9" s="1"/>
      <c r="AG9" s="1"/>
      <c r="AH9" s="1"/>
    </row>
    <row r="10" spans="1:34" x14ac:dyDescent="0.25">
      <c r="A10" s="1"/>
      <c r="B10" s="14">
        <v>12</v>
      </c>
      <c r="C10" s="14">
        <v>68.125</v>
      </c>
      <c r="D10" s="7" t="s">
        <v>0</v>
      </c>
      <c r="E10" s="16">
        <v>7.4999999999999997E-2</v>
      </c>
      <c r="F10" s="16">
        <f>B10*3.14</f>
        <v>37.68</v>
      </c>
      <c r="G10" s="17">
        <f>F10/E10</f>
        <v>502.40000000000003</v>
      </c>
      <c r="H10" s="16">
        <f>C10/10</f>
        <v>6.8125</v>
      </c>
      <c r="I10" s="16">
        <v>2</v>
      </c>
      <c r="J10" s="19">
        <f>H10*G10/60</f>
        <v>57.043333333333337</v>
      </c>
      <c r="K10" s="20">
        <f>J10+I10</f>
        <v>59.043333333333337</v>
      </c>
      <c r="L10" s="11">
        <v>225</v>
      </c>
      <c r="M10" s="12">
        <f>L10/60</f>
        <v>3.75</v>
      </c>
      <c r="N10" s="18">
        <f>ROUNDUP(K10*M10,1)</f>
        <v>221.5</v>
      </c>
      <c r="O10" s="34" t="s">
        <v>440</v>
      </c>
      <c r="P10" s="32">
        <v>64</v>
      </c>
      <c r="Q10" s="35">
        <f>N10*P10</f>
        <v>14176</v>
      </c>
      <c r="R10" s="33">
        <f>IF(Q10&gt;X10, Q10, X10)</f>
        <v>14176</v>
      </c>
      <c r="S10" s="30">
        <v>125</v>
      </c>
      <c r="T10" s="79">
        <v>0.02</v>
      </c>
      <c r="U10" s="33">
        <f>R10+S10</f>
        <v>14301</v>
      </c>
      <c r="V10" s="77">
        <f>ROUNDUP(U10*T10,0)</f>
        <v>287</v>
      </c>
      <c r="W10" s="33">
        <f t="shared" ref="W10" si="4">U10+V10</f>
        <v>14588</v>
      </c>
      <c r="X10" s="57">
        <v>250</v>
      </c>
      <c r="Y10" s="78">
        <f>ROUNDDOWN(X10/N10,0)</f>
        <v>1</v>
      </c>
      <c r="Z10" s="21"/>
      <c r="AA10" s="21"/>
      <c r="AB10" s="21"/>
      <c r="AC10" s="21"/>
      <c r="AD10" s="1"/>
      <c r="AE10" s="1"/>
      <c r="AF10" s="1"/>
      <c r="AG10" s="1"/>
      <c r="AH10" s="1"/>
    </row>
    <row r="11" spans="1:34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1"/>
      <c r="P11" s="21"/>
      <c r="Q11" s="21"/>
      <c r="R11" s="21"/>
      <c r="S11" s="21"/>
      <c r="T11" s="21"/>
      <c r="U11" s="21"/>
      <c r="V11" s="26"/>
      <c r="W11" s="21"/>
      <c r="X11" s="21"/>
      <c r="Y11" s="21"/>
      <c r="Z11" s="21"/>
      <c r="AA11" s="21"/>
      <c r="AB11" s="21"/>
      <c r="AC11" s="21"/>
      <c r="AD11" s="1"/>
      <c r="AE11" s="1"/>
      <c r="AF11" s="1"/>
      <c r="AG11" s="1"/>
      <c r="AH11" s="1"/>
    </row>
    <row r="12" spans="1:34" ht="33" customHeight="1" thickTop="1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1"/>
      <c r="P12" s="21"/>
      <c r="Q12" s="21"/>
      <c r="R12" s="21"/>
      <c r="S12" s="21"/>
      <c r="T12" s="21"/>
      <c r="U12" s="21"/>
      <c r="V12" s="557" t="s">
        <v>421</v>
      </c>
      <c r="W12" s="558"/>
      <c r="Y12" s="356" t="s">
        <v>422</v>
      </c>
      <c r="Z12" s="358" t="s">
        <v>29</v>
      </c>
      <c r="AA12" s="341" t="s">
        <v>204</v>
      </c>
      <c r="AB12" s="343" t="s">
        <v>27</v>
      </c>
      <c r="AC12" s="343" t="s">
        <v>34</v>
      </c>
      <c r="AD12" s="341" t="s">
        <v>39</v>
      </c>
      <c r="AE12" s="341" t="s">
        <v>30</v>
      </c>
      <c r="AF12" s="349" t="s">
        <v>36</v>
      </c>
      <c r="AG12" s="347" t="s">
        <v>31</v>
      </c>
      <c r="AH12" s="347" t="s">
        <v>32</v>
      </c>
    </row>
    <row r="13" spans="1:34" ht="24.75" customHeight="1" thickTop="1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1"/>
      <c r="P13" s="21"/>
      <c r="Q13" s="21"/>
      <c r="R13" s="21"/>
      <c r="S13" s="21"/>
      <c r="T13" s="21"/>
      <c r="U13" s="21"/>
      <c r="V13" s="337" t="s">
        <v>242</v>
      </c>
      <c r="W13" s="338">
        <v>27.25</v>
      </c>
      <c r="Y13" s="357">
        <v>165.8</v>
      </c>
      <c r="Z13" s="342">
        <v>4</v>
      </c>
      <c r="AA13" s="344">
        <f>Y13*Z13</f>
        <v>663.2</v>
      </c>
      <c r="AB13" s="345">
        <v>125</v>
      </c>
      <c r="AC13" s="495">
        <f>IF(AA13&gt;AH13,AA13,AH13)</f>
        <v>663.2</v>
      </c>
      <c r="AD13" s="346">
        <v>0.02</v>
      </c>
      <c r="AE13" s="344">
        <f>AC13+AB13</f>
        <v>788.2</v>
      </c>
      <c r="AF13" s="350">
        <f>ROUNDUP(AE13*AD13,0)</f>
        <v>16</v>
      </c>
      <c r="AG13" s="348">
        <f>AE13+AF13</f>
        <v>804.2</v>
      </c>
      <c r="AH13" s="348">
        <v>250</v>
      </c>
    </row>
    <row r="14" spans="1:34" ht="24.75" thickTop="1" thickBot="1" x14ac:dyDescent="0.4">
      <c r="A14" s="171"/>
      <c r="B14" s="172" t="s">
        <v>119</v>
      </c>
      <c r="C14" s="173"/>
      <c r="D14" s="1"/>
      <c r="E14" s="1"/>
      <c r="F14" s="1"/>
      <c r="G14" s="1"/>
      <c r="H14" s="1"/>
      <c r="I14" s="1"/>
      <c r="J14" s="1"/>
      <c r="K14" s="1"/>
      <c r="L14" s="1"/>
      <c r="M14" s="1"/>
      <c r="N14" s="559" t="s">
        <v>149</v>
      </c>
      <c r="O14" s="560"/>
      <c r="P14" s="561"/>
      <c r="R14" s="541" t="s">
        <v>348</v>
      </c>
      <c r="S14" s="541"/>
      <c r="T14" s="541"/>
      <c r="U14" s="541"/>
      <c r="V14" s="335" t="s">
        <v>243</v>
      </c>
      <c r="W14" s="336">
        <v>26.95</v>
      </c>
      <c r="AH14" s="1"/>
    </row>
    <row r="15" spans="1:34" ht="16.5" thickTop="1" x14ac:dyDescent="0.25">
      <c r="A15" s="174" t="s">
        <v>32</v>
      </c>
      <c r="C15" s="280">
        <v>250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74" t="s">
        <v>150</v>
      </c>
      <c r="P15" s="176"/>
      <c r="R15" s="362" t="s">
        <v>207</v>
      </c>
      <c r="S15" s="363"/>
      <c r="T15" s="352"/>
      <c r="U15" s="364">
        <f>N6</f>
        <v>18.700000000000003</v>
      </c>
      <c r="V15" s="337" t="s">
        <v>244</v>
      </c>
      <c r="W15" s="338">
        <v>26.15</v>
      </c>
      <c r="Y15" s="351" t="s">
        <v>359</v>
      </c>
      <c r="Z15" s="352"/>
      <c r="AA15" s="352"/>
      <c r="AB15" s="489">
        <f>Y13</f>
        <v>165.8</v>
      </c>
      <c r="AD15" s="351" t="s">
        <v>285</v>
      </c>
      <c r="AE15" s="352"/>
      <c r="AF15" s="352"/>
      <c r="AG15" s="489">
        <f>AC13</f>
        <v>663.2</v>
      </c>
      <c r="AH15" s="1"/>
    </row>
    <row r="16" spans="1:34" ht="15.75" x14ac:dyDescent="0.25">
      <c r="A16" s="174" t="s">
        <v>120</v>
      </c>
      <c r="C16" s="280" t="s">
        <v>160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74" t="s">
        <v>151</v>
      </c>
      <c r="P16" s="176"/>
      <c r="R16" s="365" t="s">
        <v>208</v>
      </c>
      <c r="S16" s="1"/>
      <c r="U16" s="366">
        <f>P6</f>
        <v>35</v>
      </c>
      <c r="V16" s="335" t="s">
        <v>245</v>
      </c>
      <c r="W16" s="336">
        <v>25.95</v>
      </c>
      <c r="Y16" s="373" t="s">
        <v>286</v>
      </c>
      <c r="AB16" s="374">
        <f>Z13</f>
        <v>4</v>
      </c>
      <c r="AC16" s="1"/>
      <c r="AD16" s="373" t="s">
        <v>286</v>
      </c>
      <c r="AG16" s="374">
        <f>Z13</f>
        <v>4</v>
      </c>
      <c r="AH16" s="1"/>
    </row>
    <row r="17" spans="1:34" ht="15.75" x14ac:dyDescent="0.25">
      <c r="A17" s="174" t="s">
        <v>36</v>
      </c>
      <c r="C17" s="200" t="s">
        <v>122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74"/>
      <c r="P17" s="176"/>
      <c r="R17" s="365" t="s">
        <v>209</v>
      </c>
      <c r="S17" s="1"/>
      <c r="U17" s="367">
        <f>R6</f>
        <v>654.50000000000011</v>
      </c>
      <c r="V17" s="337" t="s">
        <v>246</v>
      </c>
      <c r="W17" s="338">
        <v>25.55</v>
      </c>
      <c r="Y17" s="490" t="s">
        <v>411</v>
      </c>
      <c r="Z17" s="1"/>
      <c r="AA17" s="1"/>
      <c r="AB17" s="491">
        <f>AB13</f>
        <v>125</v>
      </c>
      <c r="AC17" s="1"/>
      <c r="AD17" s="490" t="s">
        <v>411</v>
      </c>
      <c r="AE17" s="1"/>
      <c r="AF17" s="1"/>
      <c r="AG17" s="491">
        <f>AB13</f>
        <v>125</v>
      </c>
      <c r="AH17" s="1"/>
    </row>
    <row r="18" spans="1:34" ht="15.75" x14ac:dyDescent="0.25">
      <c r="A18" s="174" t="s">
        <v>121</v>
      </c>
      <c r="C18" s="200" t="s">
        <v>123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74" t="s">
        <v>152</v>
      </c>
      <c r="P18" s="176"/>
      <c r="R18" s="365" t="s">
        <v>210</v>
      </c>
      <c r="S18" s="1"/>
      <c r="U18" s="367">
        <f>V6</f>
        <v>16</v>
      </c>
      <c r="V18" s="335" t="s">
        <v>247</v>
      </c>
      <c r="W18" s="336">
        <v>25.25</v>
      </c>
      <c r="Y18" s="373" t="s">
        <v>36</v>
      </c>
      <c r="AB18" s="492">
        <f>AF13</f>
        <v>16</v>
      </c>
      <c r="AC18" s="1"/>
      <c r="AD18" s="373" t="s">
        <v>36</v>
      </c>
      <c r="AG18" s="492">
        <f>AF13</f>
        <v>16</v>
      </c>
      <c r="AH18" s="1"/>
    </row>
    <row r="19" spans="1:34" ht="15.75" x14ac:dyDescent="0.25">
      <c r="A19" s="177" t="s">
        <v>124</v>
      </c>
      <c r="B19" s="178"/>
      <c r="C19" s="201" t="s">
        <v>160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74" t="s">
        <v>153</v>
      </c>
      <c r="P19" s="176"/>
      <c r="R19" s="365" t="s">
        <v>216</v>
      </c>
      <c r="U19" s="368">
        <f>S6</f>
        <v>125</v>
      </c>
      <c r="V19" s="337" t="s">
        <v>248</v>
      </c>
      <c r="W19" s="338">
        <v>24.95</v>
      </c>
      <c r="Y19" s="373" t="s">
        <v>414</v>
      </c>
      <c r="AB19" s="492">
        <f>AG13</f>
        <v>804.2</v>
      </c>
      <c r="AC19" s="1"/>
      <c r="AD19" s="373" t="s">
        <v>414</v>
      </c>
      <c r="AG19" s="492">
        <f>AG13</f>
        <v>804.2</v>
      </c>
      <c r="AH19" s="1"/>
    </row>
    <row r="20" spans="1:34" ht="16.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4"/>
      <c r="P20" s="176"/>
      <c r="R20" s="365" t="s">
        <v>211</v>
      </c>
      <c r="S20" s="1"/>
      <c r="U20" s="367">
        <f>W6</f>
        <v>795.50000000000011</v>
      </c>
      <c r="V20" s="335" t="s">
        <v>249</v>
      </c>
      <c r="W20" s="336">
        <v>25</v>
      </c>
      <c r="Y20" s="353" t="s">
        <v>309</v>
      </c>
      <c r="Z20" s="354"/>
      <c r="AA20" s="354"/>
      <c r="AB20" s="493" t="s">
        <v>310</v>
      </c>
      <c r="AC20" s="1"/>
      <c r="AD20" s="353" t="s">
        <v>309</v>
      </c>
      <c r="AE20" s="354"/>
      <c r="AF20" s="354"/>
      <c r="AG20" s="493" t="s">
        <v>310</v>
      </c>
      <c r="AH20" s="1"/>
    </row>
    <row r="21" spans="1:34" ht="17.25" thickTop="1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4" t="s">
        <v>154</v>
      </c>
      <c r="P21" s="176"/>
      <c r="R21" s="369" t="s">
        <v>346</v>
      </c>
      <c r="S21" s="354"/>
      <c r="T21" s="539" t="s">
        <v>347</v>
      </c>
      <c r="U21" s="540"/>
      <c r="V21" s="337" t="s">
        <v>250</v>
      </c>
      <c r="W21" s="338">
        <v>28.75</v>
      </c>
      <c r="AB21" s="1"/>
      <c r="AC21" s="1"/>
      <c r="AD21" s="1"/>
      <c r="AE21" s="1"/>
      <c r="AH21" s="1"/>
    </row>
    <row r="22" spans="1:34" ht="15.75" thickTop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7" t="s">
        <v>155</v>
      </c>
      <c r="O22" s="178"/>
      <c r="P22" s="199"/>
      <c r="T22" s="1"/>
      <c r="U22" s="1"/>
      <c r="V22" s="335" t="s">
        <v>251</v>
      </c>
      <c r="W22" s="336">
        <v>30.15</v>
      </c>
      <c r="AH22" s="1"/>
    </row>
    <row r="23" spans="1:34" ht="24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541" t="s">
        <v>284</v>
      </c>
      <c r="S23" s="541"/>
      <c r="T23" s="541"/>
      <c r="U23" s="541"/>
      <c r="V23" s="337" t="s">
        <v>252</v>
      </c>
      <c r="W23" s="338">
        <v>32.75</v>
      </c>
      <c r="AH23" s="1"/>
    </row>
    <row r="24" spans="1:34" ht="16.5" thickTop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362" t="s">
        <v>207</v>
      </c>
      <c r="S24" s="363"/>
      <c r="T24" s="352"/>
      <c r="U24" s="364">
        <f>N10</f>
        <v>221.5</v>
      </c>
      <c r="V24" s="335" t="s">
        <v>253</v>
      </c>
      <c r="W24" s="336">
        <v>35</v>
      </c>
      <c r="AH24" s="1"/>
    </row>
    <row r="25" spans="1:34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365" t="s">
        <v>208</v>
      </c>
      <c r="S25" s="1"/>
      <c r="U25" s="366">
        <f>P10</f>
        <v>64</v>
      </c>
      <c r="V25" s="337" t="s">
        <v>254</v>
      </c>
      <c r="W25" s="338">
        <v>36.75</v>
      </c>
      <c r="AH25" s="1"/>
    </row>
    <row r="26" spans="1:34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65" t="s">
        <v>209</v>
      </c>
      <c r="S26" s="1"/>
      <c r="U26" s="367">
        <f>R10</f>
        <v>14176</v>
      </c>
      <c r="V26" s="335" t="s">
        <v>255</v>
      </c>
      <c r="W26" s="336">
        <v>40</v>
      </c>
      <c r="AH26" s="1"/>
    </row>
    <row r="27" spans="1:34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365" t="s">
        <v>210</v>
      </c>
      <c r="S27" s="1"/>
      <c r="U27" s="367">
        <f>V10</f>
        <v>287</v>
      </c>
      <c r="V27" s="337" t="s">
        <v>256</v>
      </c>
      <c r="W27" s="338">
        <v>44.25</v>
      </c>
      <c r="AH27" s="1"/>
    </row>
    <row r="28" spans="1:34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365" t="s">
        <v>216</v>
      </c>
      <c r="U28" s="368">
        <f>S10</f>
        <v>125</v>
      </c>
      <c r="V28" s="335" t="s">
        <v>257</v>
      </c>
      <c r="W28" s="336">
        <v>48.9</v>
      </c>
      <c r="AH28" s="1"/>
    </row>
    <row r="29" spans="1:34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365" t="s">
        <v>211</v>
      </c>
      <c r="S29" s="1"/>
      <c r="U29" s="367">
        <f>W10</f>
        <v>14588</v>
      </c>
      <c r="V29" s="337" t="s">
        <v>258</v>
      </c>
      <c r="W29" s="338">
        <v>50.85</v>
      </c>
      <c r="AH29" s="1"/>
    </row>
    <row r="30" spans="1:34" ht="16.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369" t="s">
        <v>346</v>
      </c>
      <c r="S30" s="354"/>
      <c r="T30" s="539" t="s">
        <v>347</v>
      </c>
      <c r="U30" s="540"/>
      <c r="V30" s="335" t="s">
        <v>259</v>
      </c>
      <c r="W30" s="336">
        <v>53.5</v>
      </c>
      <c r="AH30" s="1"/>
    </row>
    <row r="31" spans="1:34" ht="15.75" thickTop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37" t="s">
        <v>260</v>
      </c>
      <c r="W31" s="338">
        <v>56.75</v>
      </c>
      <c r="AH31" s="1"/>
    </row>
    <row r="32" spans="1:3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35" t="s">
        <v>261</v>
      </c>
      <c r="W32" s="336">
        <v>59</v>
      </c>
      <c r="AH32" s="1"/>
    </row>
    <row r="33" spans="1:3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37" t="s">
        <v>262</v>
      </c>
      <c r="W33" s="338">
        <v>63.25</v>
      </c>
      <c r="AH33" s="1"/>
    </row>
    <row r="34" spans="1:3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35" t="s">
        <v>263</v>
      </c>
      <c r="W34" s="336">
        <v>68.2</v>
      </c>
      <c r="AH34" s="1"/>
    </row>
    <row r="35" spans="1:3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37" t="s">
        <v>264</v>
      </c>
      <c r="W35" s="338">
        <v>72.75</v>
      </c>
      <c r="AH35" s="1"/>
    </row>
    <row r="36" spans="1:3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35" t="s">
        <v>265</v>
      </c>
      <c r="W36" s="336">
        <v>74.5</v>
      </c>
      <c r="AH36" s="1"/>
    </row>
    <row r="37" spans="1:3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337" t="s">
        <v>266</v>
      </c>
      <c r="W37" s="338">
        <v>79.900000000000006</v>
      </c>
      <c r="AH37" s="1"/>
    </row>
    <row r="38" spans="1:3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335" t="s">
        <v>267</v>
      </c>
      <c r="W38" s="336">
        <v>88.25</v>
      </c>
      <c r="AH38" s="1"/>
    </row>
    <row r="39" spans="1:3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337" t="s">
        <v>268</v>
      </c>
      <c r="W39" s="338">
        <v>96.9</v>
      </c>
      <c r="AH39" s="1"/>
    </row>
    <row r="40" spans="1:3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335" t="s">
        <v>269</v>
      </c>
      <c r="W40" s="336">
        <v>105.25</v>
      </c>
      <c r="AH40" s="1"/>
    </row>
    <row r="41" spans="1:3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337" t="s">
        <v>270</v>
      </c>
      <c r="W41" s="338">
        <v>119.95</v>
      </c>
      <c r="AH41" s="1"/>
    </row>
    <row r="42" spans="1:3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335" t="s">
        <v>271</v>
      </c>
      <c r="W42" s="336">
        <v>134.25</v>
      </c>
      <c r="AH42" s="1"/>
    </row>
    <row r="43" spans="1:3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337" t="s">
        <v>272</v>
      </c>
      <c r="W43" s="338">
        <v>158.25</v>
      </c>
      <c r="AH43" s="1"/>
    </row>
    <row r="44" spans="1:3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335" t="s">
        <v>273</v>
      </c>
      <c r="W44" s="336">
        <v>178.95</v>
      </c>
      <c r="AH44" s="1"/>
    </row>
    <row r="45" spans="1:3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337" t="s">
        <v>274</v>
      </c>
      <c r="W45" s="338">
        <v>192.5</v>
      </c>
      <c r="AH45" s="1"/>
    </row>
    <row r="46" spans="1:3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335" t="s">
        <v>275</v>
      </c>
      <c r="W46" s="336">
        <v>213.9</v>
      </c>
      <c r="AH46" s="1"/>
    </row>
    <row r="47" spans="1:3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337" t="s">
        <v>276</v>
      </c>
      <c r="W47" s="338">
        <v>226.65</v>
      </c>
      <c r="AH47" s="1"/>
    </row>
    <row r="48" spans="1:3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335" t="s">
        <v>277</v>
      </c>
      <c r="W48" s="336">
        <v>239.35</v>
      </c>
      <c r="AH48" s="1"/>
    </row>
    <row r="49" spans="1:3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337" t="s">
        <v>278</v>
      </c>
      <c r="W49" s="338">
        <v>252.3</v>
      </c>
      <c r="AH49" s="1"/>
    </row>
    <row r="50" spans="1:3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335" t="s">
        <v>279</v>
      </c>
      <c r="W50" s="336">
        <v>267</v>
      </c>
      <c r="AH50" s="1"/>
    </row>
    <row r="51" spans="1:3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337" t="s">
        <v>280</v>
      </c>
      <c r="W51" s="338">
        <v>278.5</v>
      </c>
      <c r="AH51" s="1"/>
    </row>
    <row r="52" spans="1:3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335" t="s">
        <v>281</v>
      </c>
      <c r="W52" s="336">
        <v>291.25</v>
      </c>
      <c r="AH52" s="1"/>
    </row>
    <row r="53" spans="1:3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337" t="s">
        <v>282</v>
      </c>
      <c r="W53" s="338">
        <v>303.5</v>
      </c>
      <c r="AH53" s="1"/>
    </row>
    <row r="54" spans="1:34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339" t="s">
        <v>283</v>
      </c>
      <c r="W54" s="340">
        <v>318.75</v>
      </c>
      <c r="AH54" s="1"/>
    </row>
    <row r="55" spans="1:34" ht="15.75" thickTop="1" x14ac:dyDescent="0.25"/>
  </sheetData>
  <mergeCells count="6">
    <mergeCell ref="T30:U30"/>
    <mergeCell ref="V12:W12"/>
    <mergeCell ref="N14:P14"/>
    <mergeCell ref="R14:U14"/>
    <mergeCell ref="T21:U21"/>
    <mergeCell ref="R23:U23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5F94-745C-49B0-9EFB-824188345B17}">
  <sheetPr>
    <tabColor rgb="FF92D050"/>
  </sheetPr>
  <dimension ref="A1:Y22"/>
  <sheetViews>
    <sheetView zoomScale="110" zoomScaleNormal="110" workbookViewId="0">
      <selection activeCell="D1" sqref="D1:M1048576"/>
    </sheetView>
  </sheetViews>
  <sheetFormatPr defaultRowHeight="15" x14ac:dyDescent="0.25"/>
  <cols>
    <col min="4" max="13" width="9.140625" hidden="1" customWidth="1"/>
    <col min="17" max="17" width="10.42578125" bestFit="1" customWidth="1"/>
    <col min="18" max="18" width="11.28515625" customWidth="1"/>
    <col min="21" max="21" width="11" customWidth="1"/>
    <col min="23" max="23" width="11.7109375" customWidth="1"/>
  </cols>
  <sheetData>
    <row r="1" spans="1:25" ht="21" x14ac:dyDescent="0.25">
      <c r="A1" s="9" t="s">
        <v>311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1"/>
      <c r="P1" s="21"/>
      <c r="Q1" s="21"/>
      <c r="R1" s="22"/>
      <c r="S1" s="22"/>
      <c r="T1" s="22"/>
      <c r="U1" s="22"/>
      <c r="V1" s="75"/>
      <c r="W1" s="22"/>
      <c r="X1" s="22"/>
      <c r="Y1" s="88"/>
    </row>
    <row r="2" spans="1:25" ht="45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3" t="s">
        <v>5</v>
      </c>
      <c r="O2" s="34"/>
      <c r="P2" s="38" t="s">
        <v>29</v>
      </c>
      <c r="Q2" s="38" t="s">
        <v>204</v>
      </c>
      <c r="R2" s="37" t="s">
        <v>34</v>
      </c>
      <c r="S2" s="37" t="s">
        <v>27</v>
      </c>
      <c r="T2" s="38" t="s">
        <v>39</v>
      </c>
      <c r="U2" s="38" t="s">
        <v>30</v>
      </c>
      <c r="V2" s="74" t="s">
        <v>36</v>
      </c>
      <c r="W2" s="38" t="s">
        <v>31</v>
      </c>
      <c r="X2" s="37" t="s">
        <v>32</v>
      </c>
      <c r="Y2" s="41" t="s">
        <v>33</v>
      </c>
    </row>
    <row r="3" spans="1:25" x14ac:dyDescent="0.25">
      <c r="A3" s="65">
        <v>0.375</v>
      </c>
      <c r="B3" s="65">
        <v>48.5</v>
      </c>
      <c r="C3" s="65">
        <v>96</v>
      </c>
      <c r="D3" s="66" t="s">
        <v>0</v>
      </c>
      <c r="E3" s="66">
        <v>0.13</v>
      </c>
      <c r="F3" s="66">
        <f>(A3+B3)*C3</f>
        <v>4692</v>
      </c>
      <c r="G3" s="66">
        <f>(A3+B3)/E3</f>
        <v>375.96153846153845</v>
      </c>
      <c r="H3" s="66">
        <f t="shared" ref="H3" si="0">C3/10</f>
        <v>9.6</v>
      </c>
      <c r="I3" s="66">
        <v>6</v>
      </c>
      <c r="J3" s="67">
        <f t="shared" ref="J3" si="1">H3*G3/60</f>
        <v>60.153846153846153</v>
      </c>
      <c r="K3" s="67">
        <f>J3+I3</f>
        <v>66.15384615384616</v>
      </c>
      <c r="L3" s="68">
        <v>250</v>
      </c>
      <c r="M3" s="69">
        <f>L3/60</f>
        <v>4.166666666666667</v>
      </c>
      <c r="N3" s="70">
        <f>ROUNDUP(K3*M3,1)</f>
        <v>275.70000000000005</v>
      </c>
      <c r="O3" s="23" t="s">
        <v>239</v>
      </c>
      <c r="P3" s="32">
        <v>12</v>
      </c>
      <c r="Q3" s="35">
        <f>N3*P3</f>
        <v>3308.4000000000005</v>
      </c>
      <c r="R3" s="33">
        <f>IF(Q3&gt;X3, Q3, X3)</f>
        <v>3308.4000000000005</v>
      </c>
      <c r="S3" s="30">
        <v>0</v>
      </c>
      <c r="T3" s="79">
        <v>0.02</v>
      </c>
      <c r="U3" s="33">
        <f>R3+S3</f>
        <v>3308.4000000000005</v>
      </c>
      <c r="V3" s="77">
        <f>ROUNDUP(U3*T3,0)</f>
        <v>67</v>
      </c>
      <c r="W3" s="33">
        <f>U3+V3</f>
        <v>3375.4000000000005</v>
      </c>
      <c r="X3" s="57">
        <v>250</v>
      </c>
      <c r="Y3" s="78">
        <f>ROUNDDOWN(X3/N3,0)</f>
        <v>0</v>
      </c>
    </row>
    <row r="4" spans="1:25" ht="21" x14ac:dyDescent="0.25">
      <c r="A4" s="9" t="s">
        <v>312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21"/>
      <c r="P4" s="21"/>
      <c r="Q4" s="21"/>
      <c r="R4" s="22"/>
      <c r="S4" s="22"/>
      <c r="T4" s="22"/>
      <c r="U4" s="22"/>
      <c r="V4" s="75"/>
      <c r="W4" s="22"/>
      <c r="X4" s="22"/>
      <c r="Y4" s="88"/>
    </row>
    <row r="5" spans="1:25" ht="45" x14ac:dyDescent="0.25">
      <c r="A5" s="2" t="s">
        <v>23</v>
      </c>
      <c r="B5" s="2" t="s">
        <v>8</v>
      </c>
      <c r="C5" s="2" t="s">
        <v>7</v>
      </c>
      <c r="D5" s="2" t="s">
        <v>2</v>
      </c>
      <c r="E5" s="2" t="s">
        <v>1</v>
      </c>
      <c r="F5" s="2" t="s">
        <v>6</v>
      </c>
      <c r="G5" s="2" t="s">
        <v>3</v>
      </c>
      <c r="H5" s="2" t="s">
        <v>21</v>
      </c>
      <c r="I5" s="2" t="s">
        <v>9</v>
      </c>
      <c r="J5" s="2" t="s">
        <v>4</v>
      </c>
      <c r="K5" s="2" t="s">
        <v>10</v>
      </c>
      <c r="L5" s="2" t="s">
        <v>24</v>
      </c>
      <c r="M5" s="2" t="s">
        <v>25</v>
      </c>
      <c r="N5" s="3" t="s">
        <v>5</v>
      </c>
      <c r="O5" s="34"/>
      <c r="P5" s="38" t="s">
        <v>29</v>
      </c>
      <c r="Q5" s="38" t="s">
        <v>204</v>
      </c>
      <c r="R5" s="37" t="s">
        <v>34</v>
      </c>
      <c r="S5" s="37" t="s">
        <v>27</v>
      </c>
      <c r="T5" s="38" t="s">
        <v>39</v>
      </c>
      <c r="U5" s="38" t="s">
        <v>30</v>
      </c>
      <c r="V5" s="74" t="s">
        <v>36</v>
      </c>
      <c r="W5" s="38" t="s">
        <v>31</v>
      </c>
      <c r="X5" s="37" t="s">
        <v>32</v>
      </c>
      <c r="Y5" s="41" t="s">
        <v>33</v>
      </c>
    </row>
    <row r="6" spans="1:25" x14ac:dyDescent="0.25">
      <c r="A6" s="65">
        <v>0.75</v>
      </c>
      <c r="B6" s="65">
        <v>12</v>
      </c>
      <c r="C6" s="65">
        <v>12</v>
      </c>
      <c r="D6" s="66" t="s">
        <v>0</v>
      </c>
      <c r="E6" s="66">
        <v>8.5000000000000006E-2</v>
      </c>
      <c r="F6" s="66">
        <f>(A6+B6)*C6</f>
        <v>153</v>
      </c>
      <c r="G6" s="66">
        <f>(A6+B6)/E6</f>
        <v>150</v>
      </c>
      <c r="H6" s="66">
        <f t="shared" ref="H6" si="2">C6/10</f>
        <v>1.2</v>
      </c>
      <c r="I6" s="66">
        <v>3.5</v>
      </c>
      <c r="J6" s="67">
        <f t="shared" ref="J6" si="3">H6*G6/60</f>
        <v>3</v>
      </c>
      <c r="K6" s="67">
        <f>J6+I6</f>
        <v>6.5</v>
      </c>
      <c r="L6" s="68">
        <v>250</v>
      </c>
      <c r="M6" s="69">
        <f>L6/60</f>
        <v>4.166666666666667</v>
      </c>
      <c r="N6" s="70">
        <f>ROUNDUP(K6*M6,1)</f>
        <v>27.1</v>
      </c>
      <c r="O6" s="23" t="s">
        <v>239</v>
      </c>
      <c r="P6" s="32">
        <v>12</v>
      </c>
      <c r="Q6" s="35">
        <f>N6*P6</f>
        <v>325.20000000000005</v>
      </c>
      <c r="R6" s="33">
        <f>IF(Q6&gt;X6, Q6, X6)</f>
        <v>325.20000000000005</v>
      </c>
      <c r="S6" s="30">
        <v>0</v>
      </c>
      <c r="T6" s="79">
        <v>0.02</v>
      </c>
      <c r="U6" s="33">
        <f>R6+S6</f>
        <v>325.20000000000005</v>
      </c>
      <c r="V6" s="77">
        <f>ROUNDUP(U6*T6,0)</f>
        <v>7</v>
      </c>
      <c r="W6" s="33">
        <f>U6+V6</f>
        <v>332.20000000000005</v>
      </c>
      <c r="X6" s="57">
        <v>250</v>
      </c>
      <c r="Y6" s="78">
        <f>ROUNDDOWN(X6/N6,0)</f>
        <v>9</v>
      </c>
    </row>
    <row r="7" spans="1:25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1"/>
      <c r="Q7" s="21"/>
      <c r="R7" s="27"/>
      <c r="S7" s="28"/>
      <c r="T7" s="72"/>
      <c r="U7" s="27"/>
      <c r="V7" s="76"/>
      <c r="W7" s="27"/>
      <c r="X7" s="25"/>
      <c r="Y7" s="26"/>
    </row>
    <row r="8" spans="1:25" ht="21" x14ac:dyDescent="0.25">
      <c r="A8" s="1"/>
      <c r="B8" s="80" t="s">
        <v>12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2"/>
      <c r="P8" s="82"/>
      <c r="Q8" s="82"/>
      <c r="R8" s="83"/>
      <c r="S8" s="84"/>
      <c r="T8" s="85"/>
      <c r="U8" s="83"/>
      <c r="V8" s="86"/>
      <c r="W8" s="83"/>
      <c r="X8" s="82"/>
      <c r="Y8" s="87"/>
    </row>
    <row r="9" spans="1:25" ht="45" x14ac:dyDescent="0.25">
      <c r="A9" s="1"/>
      <c r="B9" s="4" t="s">
        <v>13</v>
      </c>
      <c r="C9" s="4" t="s">
        <v>7</v>
      </c>
      <c r="D9" s="2" t="s">
        <v>2</v>
      </c>
      <c r="E9" s="4" t="s">
        <v>1</v>
      </c>
      <c r="F9" s="5" t="s">
        <v>20</v>
      </c>
      <c r="G9" s="4" t="s">
        <v>14</v>
      </c>
      <c r="H9" s="4" t="s">
        <v>15</v>
      </c>
      <c r="I9" s="4" t="s">
        <v>17</v>
      </c>
      <c r="J9" s="4" t="s">
        <v>16</v>
      </c>
      <c r="K9" s="4" t="s">
        <v>18</v>
      </c>
      <c r="L9" s="2" t="s">
        <v>24</v>
      </c>
      <c r="M9" s="2" t="s">
        <v>25</v>
      </c>
      <c r="N9" s="6" t="s">
        <v>19</v>
      </c>
      <c r="O9" s="37"/>
      <c r="P9" s="38" t="s">
        <v>29</v>
      </c>
      <c r="Q9" s="38" t="s">
        <v>204</v>
      </c>
      <c r="R9" s="44" t="s">
        <v>34</v>
      </c>
      <c r="S9" s="42" t="s">
        <v>27</v>
      </c>
      <c r="T9" s="73" t="s">
        <v>39</v>
      </c>
      <c r="U9" s="44" t="s">
        <v>30</v>
      </c>
      <c r="V9" s="45" t="s">
        <v>36</v>
      </c>
      <c r="W9" s="44" t="s">
        <v>31</v>
      </c>
      <c r="X9" s="37" t="s">
        <v>32</v>
      </c>
      <c r="Y9" s="41" t="s">
        <v>33</v>
      </c>
    </row>
    <row r="10" spans="1:25" x14ac:dyDescent="0.25">
      <c r="A10" s="1"/>
      <c r="B10" s="14">
        <v>2.5</v>
      </c>
      <c r="C10" s="14">
        <v>21.75</v>
      </c>
      <c r="D10" s="7" t="s">
        <v>0</v>
      </c>
      <c r="E10" s="16">
        <v>7.4999999999999997E-2</v>
      </c>
      <c r="F10" s="16">
        <f>B10*3.14</f>
        <v>7.8500000000000005</v>
      </c>
      <c r="G10" s="17">
        <f>F10/E10</f>
        <v>104.66666666666667</v>
      </c>
      <c r="H10" s="16">
        <f>C10/10</f>
        <v>2.1749999999999998</v>
      </c>
      <c r="I10" s="16">
        <v>3</v>
      </c>
      <c r="J10" s="19">
        <f>H10*G10/60</f>
        <v>3.7941666666666669</v>
      </c>
      <c r="K10" s="20">
        <f>J10+I10</f>
        <v>6.7941666666666674</v>
      </c>
      <c r="L10" s="11">
        <v>250</v>
      </c>
      <c r="M10" s="12">
        <f>L10/60</f>
        <v>4.166666666666667</v>
      </c>
      <c r="N10" s="18">
        <f>ROUNDUP(K10*M10,1)</f>
        <v>28.400000000000002</v>
      </c>
      <c r="O10" s="34" t="s">
        <v>239</v>
      </c>
      <c r="P10" s="32">
        <v>12</v>
      </c>
      <c r="Q10" s="35">
        <f>N10*P10</f>
        <v>340.8</v>
      </c>
      <c r="R10" s="33">
        <f>IF(Q10&gt;X10, Q10, X10)</f>
        <v>340.8</v>
      </c>
      <c r="S10" s="30">
        <v>0</v>
      </c>
      <c r="T10" s="79">
        <v>0.02</v>
      </c>
      <c r="U10" s="33">
        <f>R10+S10</f>
        <v>340.8</v>
      </c>
      <c r="V10" s="77">
        <f>ROUNDUP(U10*T10,0)</f>
        <v>7</v>
      </c>
      <c r="W10" s="33">
        <f t="shared" ref="W10" si="4">U10+V10</f>
        <v>347.8</v>
      </c>
      <c r="X10" s="57">
        <v>250</v>
      </c>
      <c r="Y10" s="78">
        <f>ROUNDDOWN(X10/N10,0)</f>
        <v>8</v>
      </c>
    </row>
    <row r="11" spans="1:2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1"/>
      <c r="P11" s="21"/>
      <c r="Q11" s="21"/>
      <c r="R11" s="21"/>
      <c r="S11" s="21"/>
      <c r="T11" s="21"/>
      <c r="U11" s="21"/>
      <c r="V11" s="26"/>
      <c r="W11" s="21"/>
      <c r="X11" s="21"/>
      <c r="Y11" s="21"/>
    </row>
    <row r="12" spans="1:2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1"/>
      <c r="P12" s="21"/>
      <c r="Q12" s="21"/>
      <c r="R12" s="21"/>
      <c r="S12" s="21"/>
      <c r="T12" s="21"/>
      <c r="U12" s="21"/>
      <c r="V12" s="26"/>
      <c r="W12" s="21"/>
      <c r="X12" s="21"/>
      <c r="Y12" s="21"/>
    </row>
    <row r="13" spans="1:2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1"/>
      <c r="P13" s="21"/>
      <c r="Q13" s="21"/>
      <c r="R13" s="21"/>
      <c r="S13" s="21"/>
      <c r="T13" s="21"/>
      <c r="U13" s="21"/>
      <c r="V13" s="26"/>
      <c r="W13" s="21"/>
      <c r="X13" s="21"/>
      <c r="Y13" s="21"/>
    </row>
    <row r="14" spans="1:25" ht="21" x14ac:dyDescent="0.35">
      <c r="A14" s="171"/>
      <c r="B14" s="172" t="s">
        <v>119</v>
      </c>
      <c r="C14" s="173"/>
      <c r="D14" s="1"/>
      <c r="E14" s="1"/>
      <c r="F14" s="1"/>
      <c r="G14" s="1"/>
      <c r="H14" s="1"/>
      <c r="I14" s="1"/>
      <c r="J14" s="1"/>
      <c r="K14" s="1"/>
      <c r="L14" s="1"/>
      <c r="M14" s="1"/>
      <c r="N14" s="171"/>
      <c r="O14" s="198"/>
      <c r="P14" s="198"/>
      <c r="Q14" s="198"/>
      <c r="R14" s="198"/>
      <c r="S14" s="172" t="s">
        <v>149</v>
      </c>
      <c r="T14" s="198"/>
      <c r="U14" s="198"/>
      <c r="V14" s="198"/>
      <c r="W14" s="173"/>
      <c r="X14" s="21"/>
      <c r="Y14" s="21"/>
    </row>
    <row r="15" spans="1:25" x14ac:dyDescent="0.25">
      <c r="A15" s="174" t="s">
        <v>32</v>
      </c>
      <c r="C15" s="280">
        <v>250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74" t="s">
        <v>150</v>
      </c>
      <c r="W15" s="176"/>
      <c r="X15" s="21"/>
      <c r="Y15" s="21"/>
    </row>
    <row r="16" spans="1:25" x14ac:dyDescent="0.25">
      <c r="A16" s="174" t="s">
        <v>120</v>
      </c>
      <c r="C16" s="280" t="s">
        <v>160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74" t="s">
        <v>151</v>
      </c>
      <c r="W16" s="176"/>
      <c r="X16" s="21"/>
      <c r="Y16" s="21"/>
    </row>
    <row r="17" spans="1:25" x14ac:dyDescent="0.25">
      <c r="A17" s="174" t="s">
        <v>36</v>
      </c>
      <c r="C17" s="200" t="s">
        <v>122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74"/>
      <c r="W17" s="176"/>
      <c r="X17" s="21"/>
      <c r="Y17" s="21"/>
    </row>
    <row r="18" spans="1:25" x14ac:dyDescent="0.25">
      <c r="A18" s="174" t="s">
        <v>121</v>
      </c>
      <c r="C18" s="200" t="s">
        <v>123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74" t="s">
        <v>152</v>
      </c>
      <c r="W18" s="176"/>
      <c r="X18" s="21"/>
      <c r="Y18" s="21"/>
    </row>
    <row r="19" spans="1:25" x14ac:dyDescent="0.25">
      <c r="A19" s="177" t="s">
        <v>124</v>
      </c>
      <c r="B19" s="178"/>
      <c r="C19" s="201" t="s">
        <v>160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74" t="s">
        <v>153</v>
      </c>
      <c r="W19" s="176"/>
      <c r="X19" s="21"/>
      <c r="Y19" s="21"/>
    </row>
    <row r="20" spans="1:2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4"/>
      <c r="W20" s="176"/>
      <c r="X20" s="1"/>
      <c r="Y20" s="1"/>
    </row>
    <row r="21" spans="1:2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4" t="s">
        <v>154</v>
      </c>
      <c r="W21" s="176"/>
      <c r="X21" s="1"/>
      <c r="Y21" s="1"/>
    </row>
    <row r="22" spans="1:2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7" t="s">
        <v>155</v>
      </c>
      <c r="O22" s="178"/>
      <c r="P22" s="178"/>
      <c r="Q22" s="178"/>
      <c r="R22" s="178"/>
      <c r="S22" s="178"/>
      <c r="T22" s="178"/>
      <c r="U22" s="178"/>
      <c r="V22" s="178"/>
      <c r="W22" s="199"/>
      <c r="X22" s="1"/>
      <c r="Y22" s="1"/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BAAB-496D-49F8-A34B-612314039738}">
  <sheetPr>
    <tabColor rgb="FF92D050"/>
  </sheetPr>
  <dimension ref="A1:AC34"/>
  <sheetViews>
    <sheetView workbookViewId="0">
      <selection activeCell="R4" sqref="R4"/>
    </sheetView>
  </sheetViews>
  <sheetFormatPr defaultRowHeight="15" x14ac:dyDescent="0.25"/>
  <cols>
    <col min="4" max="13" width="0" hidden="1" customWidth="1"/>
    <col min="16" max="16" width="10.5703125" customWidth="1"/>
    <col min="17" max="17" width="0" hidden="1" customWidth="1"/>
    <col min="19" max="19" width="0" hidden="1" customWidth="1"/>
    <col min="20" max="20" width="11.42578125" customWidth="1"/>
    <col min="21" max="21" width="12.7109375" customWidth="1"/>
    <col min="24" max="24" width="18.140625" customWidth="1"/>
    <col min="27" max="27" width="20.5703125" customWidth="1"/>
    <col min="29" max="29" width="10.710937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0.16</v>
      </c>
      <c r="B3" s="65">
        <v>12</v>
      </c>
      <c r="C3" s="65">
        <v>12</v>
      </c>
      <c r="D3" s="66">
        <v>0.125</v>
      </c>
      <c r="E3" s="66">
        <v>0.1</v>
      </c>
      <c r="F3" s="66">
        <f>(A3+B3)*C3</f>
        <v>145.92000000000002</v>
      </c>
      <c r="G3" s="66">
        <f>(A3+B3)/E3</f>
        <v>121.6</v>
      </c>
      <c r="H3" s="66">
        <f t="shared" ref="H3" si="0">C3/10</f>
        <v>1.2</v>
      </c>
      <c r="I3" s="66">
        <v>6</v>
      </c>
      <c r="J3" s="67">
        <f t="shared" ref="J3" si="1">H3*G3/60</f>
        <v>2.4319999999999999</v>
      </c>
      <c r="K3" s="67">
        <f>J3+I3</f>
        <v>8.4320000000000004</v>
      </c>
      <c r="L3" s="68">
        <v>225</v>
      </c>
      <c r="M3" s="69">
        <f>L3/60</f>
        <v>3.75</v>
      </c>
      <c r="N3" s="247">
        <f>ROUNDUP(K3*M3,1)</f>
        <v>31.700000000000003</v>
      </c>
      <c r="O3" s="56"/>
      <c r="P3" s="30">
        <v>125</v>
      </c>
      <c r="Q3" s="71">
        <v>0.02</v>
      </c>
      <c r="R3" s="32">
        <v>9</v>
      </c>
      <c r="S3" s="35">
        <f>N3*R3</f>
        <v>285.3</v>
      </c>
      <c r="T3" s="33">
        <f>IF(S3&gt;Y3, S3, Y3)</f>
        <v>285.3</v>
      </c>
      <c r="U3" s="33">
        <f>T3+P3</f>
        <v>410.3</v>
      </c>
      <c r="V3" s="33">
        <f>ROUNDUP(U3*Q3,0)</f>
        <v>9</v>
      </c>
      <c r="W3" s="249">
        <f>U3+V3</f>
        <v>419.3</v>
      </c>
      <c r="X3" s="34"/>
      <c r="Y3" s="57">
        <v>225</v>
      </c>
      <c r="Z3" s="36">
        <f>ROUNDDOWN(Y3/N3,0)</f>
        <v>7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204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0.16</v>
      </c>
      <c r="B6" s="65">
        <v>12</v>
      </c>
      <c r="C6" s="65">
        <v>12</v>
      </c>
      <c r="D6" s="66">
        <v>0.125</v>
      </c>
      <c r="E6" s="66">
        <v>6.5000000000000002E-2</v>
      </c>
      <c r="F6" s="66">
        <f>(A6+B6)*C6</f>
        <v>145.92000000000002</v>
      </c>
      <c r="G6" s="66">
        <f>(A6+B6)/E6</f>
        <v>187.07692307692307</v>
      </c>
      <c r="H6" s="66">
        <f t="shared" ref="H6" si="2">C6/10</f>
        <v>1.2</v>
      </c>
      <c r="I6" s="66">
        <v>3</v>
      </c>
      <c r="J6" s="67">
        <f t="shared" ref="J6" si="3">H6*G6/60</f>
        <v>3.741538461538461</v>
      </c>
      <c r="K6" s="67">
        <f>J6+I6</f>
        <v>6.741538461538461</v>
      </c>
      <c r="L6" s="68">
        <v>225</v>
      </c>
      <c r="M6" s="69">
        <f>L6/60</f>
        <v>3.75</v>
      </c>
      <c r="N6" s="247">
        <f>ROUNDUP(K6*M6,1)</f>
        <v>25.3</v>
      </c>
      <c r="O6" s="56"/>
      <c r="P6" s="30">
        <v>125</v>
      </c>
      <c r="Q6" s="71">
        <v>0.02</v>
      </c>
      <c r="R6" s="32">
        <v>7</v>
      </c>
      <c r="S6" s="35">
        <f>N6*R6</f>
        <v>177.1</v>
      </c>
      <c r="T6" s="33">
        <f>IF(S6&gt;Y6, S6, Y6)</f>
        <v>225</v>
      </c>
      <c r="U6" s="33">
        <f>T6+P6</f>
        <v>350</v>
      </c>
      <c r="V6" s="33">
        <f>ROUNDUP(U6*Q6,0)</f>
        <v>7</v>
      </c>
      <c r="W6" s="249">
        <f>U6+V6</f>
        <v>357</v>
      </c>
      <c r="X6" s="34"/>
      <c r="Y6" s="57">
        <v>225</v>
      </c>
      <c r="Z6" s="36">
        <f>ROUNDDOWN(Y6/N6,0)</f>
        <v>8</v>
      </c>
    </row>
    <row r="7" spans="1:26" ht="26.25" x14ac:dyDescent="0.25">
      <c r="B7" s="168" t="s">
        <v>12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ht="30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204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1.75</v>
      </c>
      <c r="C9" s="14">
        <v>11</v>
      </c>
      <c r="D9" s="66" t="s">
        <v>0</v>
      </c>
      <c r="E9" s="16">
        <v>6.5000000000000002E-2</v>
      </c>
      <c r="F9" s="16">
        <f>B9*3.14</f>
        <v>5.4950000000000001</v>
      </c>
      <c r="G9" s="17">
        <f>F9/E9</f>
        <v>84.538461538461533</v>
      </c>
      <c r="H9" s="16">
        <f>C9/10</f>
        <v>1.1000000000000001</v>
      </c>
      <c r="I9" s="16">
        <v>3</v>
      </c>
      <c r="J9" s="19">
        <f>H9*G9/60</f>
        <v>1.5498717948717948</v>
      </c>
      <c r="K9" s="20">
        <f>J9+I9</f>
        <v>4.5498717948717946</v>
      </c>
      <c r="L9" s="68">
        <v>225</v>
      </c>
      <c r="M9" s="69">
        <f>L9/60</f>
        <v>3.75</v>
      </c>
      <c r="N9" s="248">
        <f>ROUNDUP(K9*M9,1)</f>
        <v>17.100000000000001</v>
      </c>
      <c r="O9" s="56"/>
      <c r="P9" s="30">
        <v>125</v>
      </c>
      <c r="Q9" s="71">
        <v>0.02</v>
      </c>
      <c r="R9" s="32">
        <v>3</v>
      </c>
      <c r="S9" s="35">
        <f>N9*R9</f>
        <v>51.300000000000004</v>
      </c>
      <c r="T9" s="33">
        <f>IF(S9&gt;Y9, S9, Y9)</f>
        <v>225</v>
      </c>
      <c r="U9" s="33">
        <f>T9+P9</f>
        <v>350</v>
      </c>
      <c r="V9" s="33">
        <f>ROUNDUP(U9*Q9,0)</f>
        <v>7</v>
      </c>
      <c r="W9" s="249">
        <f t="shared" ref="W9" si="4">U9+V9</f>
        <v>357</v>
      </c>
      <c r="X9" s="56"/>
      <c r="Y9" s="58">
        <v>225</v>
      </c>
      <c r="Z9" s="47">
        <f>ROUNDDOWN(Y9/N9,0)</f>
        <v>13</v>
      </c>
    </row>
    <row r="10" spans="1:26" x14ac:dyDescent="0.25">
      <c r="A10" s="1"/>
    </row>
    <row r="11" spans="1:26" ht="26.25" x14ac:dyDescent="0.25">
      <c r="A11" s="134" t="s">
        <v>147</v>
      </c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82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88"/>
    </row>
    <row r="12" spans="1:26" ht="30" x14ac:dyDescent="0.25">
      <c r="A12" s="111" t="s">
        <v>23</v>
      </c>
      <c r="B12" s="111" t="s">
        <v>8</v>
      </c>
      <c r="C12" s="111" t="s">
        <v>7</v>
      </c>
      <c r="D12" s="111" t="s">
        <v>2</v>
      </c>
      <c r="E12" s="111" t="s">
        <v>1</v>
      </c>
      <c r="F12" s="111" t="s">
        <v>6</v>
      </c>
      <c r="G12" s="111" t="s">
        <v>3</v>
      </c>
      <c r="H12" s="111" t="s">
        <v>21</v>
      </c>
      <c r="I12" s="111" t="s">
        <v>9</v>
      </c>
      <c r="J12" s="111" t="s">
        <v>4</v>
      </c>
      <c r="K12" s="111" t="s">
        <v>10</v>
      </c>
      <c r="L12" s="111" t="s">
        <v>24</v>
      </c>
      <c r="M12" s="111" t="s">
        <v>25</v>
      </c>
      <c r="N12" s="112" t="s">
        <v>5</v>
      </c>
      <c r="O12" s="39"/>
      <c r="P12" s="113" t="s">
        <v>27</v>
      </c>
      <c r="Q12" s="113" t="s">
        <v>38</v>
      </c>
      <c r="R12" s="114" t="s">
        <v>35</v>
      </c>
      <c r="S12" s="114" t="s">
        <v>204</v>
      </c>
      <c r="T12" s="114" t="s">
        <v>34</v>
      </c>
      <c r="U12" s="114" t="s">
        <v>30</v>
      </c>
      <c r="V12" s="113" t="s">
        <v>36</v>
      </c>
      <c r="W12" s="115" t="s">
        <v>31</v>
      </c>
      <c r="X12" s="113"/>
      <c r="Y12" s="113" t="s">
        <v>32</v>
      </c>
      <c r="Z12" s="114" t="s">
        <v>33</v>
      </c>
    </row>
    <row r="13" spans="1:26" x14ac:dyDescent="0.25">
      <c r="A13" s="65">
        <v>1.5</v>
      </c>
      <c r="B13" s="65">
        <v>36</v>
      </c>
      <c r="C13" s="65">
        <v>20</v>
      </c>
      <c r="D13" s="66">
        <v>0.125</v>
      </c>
      <c r="E13" s="66">
        <v>6.5000000000000002E-2</v>
      </c>
      <c r="F13" s="66">
        <f>(A13+B13)*C13</f>
        <v>750</v>
      </c>
      <c r="G13" s="66">
        <f>(A13+B13)/E13</f>
        <v>576.92307692307691</v>
      </c>
      <c r="H13" s="66">
        <f t="shared" ref="H13" si="5">C13/10</f>
        <v>2</v>
      </c>
      <c r="I13" s="66">
        <v>3</v>
      </c>
      <c r="J13" s="67">
        <f t="shared" ref="J13" si="6">H13*G13/60</f>
        <v>19.23076923076923</v>
      </c>
      <c r="K13" s="67">
        <f>J13+I13</f>
        <v>22.23076923076923</v>
      </c>
      <c r="L13" s="68">
        <v>250</v>
      </c>
      <c r="M13" s="69">
        <f>L13/60</f>
        <v>4.166666666666667</v>
      </c>
      <c r="N13" s="247">
        <f>ROUNDUP(K13*M13,1)</f>
        <v>92.699999999999989</v>
      </c>
      <c r="O13" s="56"/>
      <c r="P13" s="30">
        <v>125</v>
      </c>
      <c r="Q13" s="71">
        <v>0.02</v>
      </c>
      <c r="R13" s="32">
        <v>1</v>
      </c>
      <c r="S13" s="35">
        <f>N13*R13</f>
        <v>92.699999999999989</v>
      </c>
      <c r="T13" s="33">
        <f>IF(S13&gt;Y13, S13, Y13)</f>
        <v>250</v>
      </c>
      <c r="U13" s="33">
        <f>T13+P13</f>
        <v>375</v>
      </c>
      <c r="V13" s="33">
        <f>ROUNDUP(U13*Q13,0)</f>
        <v>8</v>
      </c>
      <c r="W13" s="249">
        <f>U13+V13</f>
        <v>383</v>
      </c>
      <c r="X13" s="34"/>
      <c r="Y13" s="57">
        <v>250</v>
      </c>
      <c r="Z13" s="36">
        <f>ROUNDDOWN(Y13/N13,0)</f>
        <v>2</v>
      </c>
    </row>
    <row r="14" spans="1:26" ht="26.25" x14ac:dyDescent="0.25">
      <c r="A14" s="1"/>
      <c r="B14" s="168" t="s">
        <v>148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60"/>
      <c r="P14" s="61"/>
      <c r="Q14" s="62"/>
      <c r="R14" s="60"/>
      <c r="S14" s="60"/>
      <c r="T14" s="63"/>
      <c r="U14" s="63"/>
      <c r="V14" s="63"/>
      <c r="W14" s="63"/>
      <c r="X14" s="60"/>
      <c r="Y14" s="60"/>
      <c r="Z14" s="64"/>
    </row>
    <row r="15" spans="1:26" ht="30" x14ac:dyDescent="0.25">
      <c r="A15" s="1"/>
      <c r="B15" s="4" t="s">
        <v>13</v>
      </c>
      <c r="C15" s="4" t="s">
        <v>7</v>
      </c>
      <c r="D15" s="2" t="s">
        <v>2</v>
      </c>
      <c r="E15" s="4" t="s">
        <v>1</v>
      </c>
      <c r="F15" s="5" t="s">
        <v>20</v>
      </c>
      <c r="G15" s="4" t="s">
        <v>14</v>
      </c>
      <c r="H15" s="4" t="s">
        <v>15</v>
      </c>
      <c r="I15" s="4" t="s">
        <v>17</v>
      </c>
      <c r="J15" s="4" t="s">
        <v>16</v>
      </c>
      <c r="K15" s="4" t="s">
        <v>18</v>
      </c>
      <c r="L15" s="2" t="s">
        <v>24</v>
      </c>
      <c r="M15" s="2" t="s">
        <v>25</v>
      </c>
      <c r="N15" s="6" t="s">
        <v>19</v>
      </c>
      <c r="O15" s="40"/>
      <c r="P15" s="42" t="s">
        <v>27</v>
      </c>
      <c r="Q15" s="43" t="s">
        <v>38</v>
      </c>
      <c r="R15" s="49" t="s">
        <v>35</v>
      </c>
      <c r="S15" s="114" t="s">
        <v>204</v>
      </c>
      <c r="T15" s="52" t="s">
        <v>34</v>
      </c>
      <c r="U15" s="44" t="s">
        <v>30</v>
      </c>
      <c r="V15" s="53" t="s">
        <v>36</v>
      </c>
      <c r="W15" s="46" t="s">
        <v>37</v>
      </c>
      <c r="X15" s="21"/>
      <c r="Y15" s="37" t="s">
        <v>32</v>
      </c>
      <c r="Z15" s="37" t="s">
        <v>33</v>
      </c>
    </row>
    <row r="16" spans="1:26" x14ac:dyDescent="0.25">
      <c r="A16" s="1"/>
      <c r="B16" s="14">
        <v>2</v>
      </c>
      <c r="C16" s="14">
        <v>2</v>
      </c>
      <c r="D16" s="66" t="s">
        <v>0</v>
      </c>
      <c r="E16" s="16">
        <v>6.5000000000000002E-2</v>
      </c>
      <c r="F16" s="16">
        <f>B16*3.14</f>
        <v>6.28</v>
      </c>
      <c r="G16" s="17">
        <f>F16/E16</f>
        <v>96.615384615384613</v>
      </c>
      <c r="H16" s="16">
        <f>C16/10</f>
        <v>0.2</v>
      </c>
      <c r="I16" s="16">
        <v>3</v>
      </c>
      <c r="J16" s="19">
        <f>H16*G16/60</f>
        <v>0.32205128205128208</v>
      </c>
      <c r="K16" s="20">
        <f>J16+I16</f>
        <v>3.322051282051282</v>
      </c>
      <c r="L16" s="68">
        <v>250</v>
      </c>
      <c r="M16" s="69">
        <f>L16/60</f>
        <v>4.166666666666667</v>
      </c>
      <c r="N16" s="248">
        <f>ROUNDUP(K16*M16,1)</f>
        <v>13.9</v>
      </c>
      <c r="O16" s="56"/>
      <c r="P16" s="30">
        <v>125</v>
      </c>
      <c r="Q16" s="71">
        <v>0.02</v>
      </c>
      <c r="R16" s="32">
        <v>1</v>
      </c>
      <c r="S16" s="35">
        <f>N16*R16</f>
        <v>13.9</v>
      </c>
      <c r="T16" s="33">
        <f>IF(S16&gt;Y16, S16, Y16)</f>
        <v>250</v>
      </c>
      <c r="U16" s="33">
        <f>T16+P16</f>
        <v>375</v>
      </c>
      <c r="V16" s="33">
        <f>ROUNDUP(U16*Q16,0)</f>
        <v>8</v>
      </c>
      <c r="W16" s="249">
        <f t="shared" ref="W16" si="7">U16+V16</f>
        <v>383</v>
      </c>
      <c r="X16" s="56"/>
      <c r="Y16" s="58">
        <v>250</v>
      </c>
      <c r="Z16" s="47">
        <f>ROUNDDOWN(Y16/N16,0)</f>
        <v>17</v>
      </c>
    </row>
    <row r="17" spans="1:29" ht="24" thickBot="1" x14ac:dyDescent="0.4">
      <c r="U17" s="494" t="s">
        <v>348</v>
      </c>
      <c r="V17" s="436"/>
      <c r="W17" s="436"/>
      <c r="X17" s="436"/>
      <c r="Y17" s="1"/>
      <c r="Z17" s="460" t="s">
        <v>362</v>
      </c>
      <c r="AA17" s="461"/>
      <c r="AB17" s="461"/>
      <c r="AC17" s="461"/>
    </row>
    <row r="18" spans="1:29" ht="17.25" thickTop="1" thickBot="1" x14ac:dyDescent="0.3">
      <c r="U18" s="362" t="s">
        <v>207</v>
      </c>
      <c r="V18" s="363"/>
      <c r="W18" s="352"/>
      <c r="X18" s="364">
        <f>N6</f>
        <v>25.3</v>
      </c>
      <c r="Y18" s="1"/>
      <c r="Z18" s="462" t="s">
        <v>207</v>
      </c>
      <c r="AA18" s="463"/>
      <c r="AB18" s="383"/>
      <c r="AC18" s="470">
        <f>N3</f>
        <v>31.700000000000003</v>
      </c>
    </row>
    <row r="19" spans="1:29" ht="21" x14ac:dyDescent="0.35">
      <c r="A19" s="171"/>
      <c r="B19" s="172" t="s">
        <v>119</v>
      </c>
      <c r="C19" s="173"/>
      <c r="N19" s="439"/>
      <c r="O19" s="440" t="s">
        <v>149</v>
      </c>
      <c r="P19" s="441"/>
      <c r="Q19" s="441"/>
      <c r="R19" s="441"/>
      <c r="S19" s="488"/>
      <c r="U19" s="365" t="s">
        <v>208</v>
      </c>
      <c r="V19" s="1"/>
      <c r="X19" s="366">
        <f>R6</f>
        <v>7</v>
      </c>
      <c r="Y19" s="1"/>
      <c r="Z19" s="464" t="s">
        <v>208</v>
      </c>
      <c r="AA19" s="1"/>
      <c r="AC19" s="471">
        <f>R3</f>
        <v>9</v>
      </c>
    </row>
    <row r="20" spans="1:29" ht="15.75" x14ac:dyDescent="0.25">
      <c r="A20" s="174" t="s">
        <v>32</v>
      </c>
      <c r="C20" s="175">
        <v>225</v>
      </c>
      <c r="N20" s="443" t="s">
        <v>150</v>
      </c>
      <c r="S20" s="444"/>
      <c r="U20" s="365" t="s">
        <v>209</v>
      </c>
      <c r="V20" s="1"/>
      <c r="X20" s="367">
        <f>T6</f>
        <v>225</v>
      </c>
      <c r="Y20" s="1"/>
      <c r="Z20" s="464" t="s">
        <v>209</v>
      </c>
      <c r="AA20" s="1"/>
      <c r="AC20" s="469">
        <f>T3</f>
        <v>285.3</v>
      </c>
    </row>
    <row r="21" spans="1:29" ht="15.75" x14ac:dyDescent="0.25">
      <c r="A21" s="174" t="s">
        <v>120</v>
      </c>
      <c r="C21" s="175">
        <v>125</v>
      </c>
      <c r="N21" s="443" t="s">
        <v>151</v>
      </c>
      <c r="S21" s="444"/>
      <c r="U21" s="365" t="s">
        <v>210</v>
      </c>
      <c r="V21" s="1"/>
      <c r="X21" s="367">
        <f>V6</f>
        <v>7</v>
      </c>
      <c r="Y21" s="1"/>
      <c r="Z21" s="464" t="s">
        <v>210</v>
      </c>
      <c r="AA21" s="1"/>
      <c r="AC21" s="469">
        <f>V3</f>
        <v>9</v>
      </c>
    </row>
    <row r="22" spans="1:29" ht="15.75" x14ac:dyDescent="0.25">
      <c r="A22" s="174" t="s">
        <v>36</v>
      </c>
      <c r="C22" s="200" t="s">
        <v>122</v>
      </c>
      <c r="N22" s="443"/>
      <c r="S22" s="444"/>
      <c r="U22" s="365" t="s">
        <v>216</v>
      </c>
      <c r="X22" s="368">
        <f>P6</f>
        <v>125</v>
      </c>
      <c r="Y22" s="1"/>
      <c r="Z22" s="464" t="s">
        <v>216</v>
      </c>
      <c r="AC22" s="465">
        <f>P3</f>
        <v>125</v>
      </c>
    </row>
    <row r="23" spans="1:29" ht="15.75" x14ac:dyDescent="0.25">
      <c r="A23" s="174" t="s">
        <v>121</v>
      </c>
      <c r="C23" s="176" t="s">
        <v>123</v>
      </c>
      <c r="N23" s="443" t="s">
        <v>152</v>
      </c>
      <c r="S23" s="444"/>
      <c r="U23" s="365" t="s">
        <v>211</v>
      </c>
      <c r="V23" s="1"/>
      <c r="X23" s="367">
        <f>W6</f>
        <v>357</v>
      </c>
      <c r="Y23" s="1"/>
      <c r="Z23" s="464" t="s">
        <v>211</v>
      </c>
      <c r="AA23" s="1"/>
      <c r="AC23" s="469">
        <f>W3</f>
        <v>419.3</v>
      </c>
    </row>
    <row r="24" spans="1:29" ht="16.5" thickBot="1" x14ac:dyDescent="0.3">
      <c r="A24" s="177" t="s">
        <v>124</v>
      </c>
      <c r="B24" s="178"/>
      <c r="C24" s="179">
        <v>100</v>
      </c>
      <c r="N24" s="443" t="s">
        <v>153</v>
      </c>
      <c r="S24" s="444"/>
      <c r="U24" s="369" t="s">
        <v>346</v>
      </c>
      <c r="V24" s="354"/>
      <c r="W24" s="437"/>
      <c r="X24" s="438" t="s">
        <v>347</v>
      </c>
      <c r="Y24" s="1"/>
      <c r="Z24" s="466" t="s">
        <v>346</v>
      </c>
      <c r="AA24" s="388"/>
      <c r="AB24" s="467"/>
      <c r="AC24" s="468" t="s">
        <v>347</v>
      </c>
    </row>
    <row r="25" spans="1:29" ht="15.75" thickTop="1" x14ac:dyDescent="0.25">
      <c r="N25" s="443"/>
      <c r="S25" s="444"/>
      <c r="W25" s="1"/>
      <c r="X25" s="1"/>
      <c r="Y25" s="1"/>
    </row>
    <row r="26" spans="1:29" ht="24" thickBot="1" x14ac:dyDescent="0.4">
      <c r="N26" s="443" t="s">
        <v>154</v>
      </c>
      <c r="S26" s="444"/>
      <c r="U26" s="541" t="s">
        <v>284</v>
      </c>
      <c r="V26" s="541"/>
      <c r="W26" s="541"/>
      <c r="X26" s="541"/>
      <c r="Y26" s="1"/>
    </row>
    <row r="27" spans="1:29" ht="17.25" thickTop="1" thickBot="1" x14ac:dyDescent="0.3">
      <c r="N27" s="445" t="s">
        <v>155</v>
      </c>
      <c r="O27" s="446"/>
      <c r="P27" s="446"/>
      <c r="Q27" s="446"/>
      <c r="R27" s="446"/>
      <c r="S27" s="447"/>
      <c r="U27" s="362" t="s">
        <v>207</v>
      </c>
      <c r="V27" s="363"/>
      <c r="W27" s="352"/>
      <c r="X27" s="364">
        <f>W9</f>
        <v>357</v>
      </c>
      <c r="Y27" s="1"/>
    </row>
    <row r="28" spans="1:29" ht="15.75" x14ac:dyDescent="0.25">
      <c r="U28" s="365" t="s">
        <v>208</v>
      </c>
      <c r="V28" s="1"/>
      <c r="X28" s="366">
        <f>R9</f>
        <v>3</v>
      </c>
      <c r="Y28" s="1"/>
    </row>
    <row r="29" spans="1:29" ht="15.75" x14ac:dyDescent="0.25">
      <c r="U29" s="365" t="s">
        <v>209</v>
      </c>
      <c r="V29" s="1"/>
      <c r="X29" s="367">
        <f>T9</f>
        <v>225</v>
      </c>
      <c r="Y29" s="1"/>
    </row>
    <row r="30" spans="1:29" ht="15.75" x14ac:dyDescent="0.25">
      <c r="U30" s="365" t="s">
        <v>210</v>
      </c>
      <c r="V30" s="1"/>
      <c r="X30" s="367">
        <f>V9</f>
        <v>7</v>
      </c>
      <c r="Y30" s="1"/>
    </row>
    <row r="31" spans="1:29" ht="15.75" x14ac:dyDescent="0.25">
      <c r="U31" s="365" t="s">
        <v>216</v>
      </c>
      <c r="X31" s="368">
        <f>P9</f>
        <v>125</v>
      </c>
      <c r="Y31" s="1"/>
    </row>
    <row r="32" spans="1:29" ht="15.75" x14ac:dyDescent="0.25">
      <c r="U32" s="365" t="s">
        <v>211</v>
      </c>
      <c r="V32" s="1"/>
      <c r="X32" s="367">
        <f>W9</f>
        <v>357</v>
      </c>
      <c r="Y32" s="1"/>
    </row>
    <row r="33" spans="21:25" ht="16.5" thickBot="1" x14ac:dyDescent="0.3">
      <c r="U33" s="369" t="s">
        <v>346</v>
      </c>
      <c r="V33" s="354"/>
      <c r="W33" s="539" t="s">
        <v>347</v>
      </c>
      <c r="X33" s="540"/>
      <c r="Y33" s="1"/>
    </row>
    <row r="34" spans="21:25" ht="15.75" thickTop="1" x14ac:dyDescent="0.25"/>
  </sheetData>
  <mergeCells count="2">
    <mergeCell ref="U26:X26"/>
    <mergeCell ref="W33:X33"/>
  </mergeCell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185A-0F04-4CBA-B5D7-A0C63EEBE7AB}">
  <sheetPr>
    <tabColor rgb="FFFF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1E50-BB79-4D68-8397-55B29EAEB219}">
  <sheetPr>
    <tabColor rgb="FF92D050"/>
  </sheetPr>
  <dimension ref="A1:AC98"/>
  <sheetViews>
    <sheetView workbookViewId="0">
      <selection activeCell="W4" sqref="W4"/>
    </sheetView>
  </sheetViews>
  <sheetFormatPr defaultRowHeight="15" x14ac:dyDescent="0.25"/>
  <cols>
    <col min="1" max="1" width="21.85546875" customWidth="1"/>
    <col min="4" max="4" width="15.85546875" bestFit="1" customWidth="1"/>
  </cols>
  <sheetData>
    <row r="1" spans="1:29" ht="21" x14ac:dyDescent="0.25">
      <c r="A1" s="562" t="s">
        <v>90</v>
      </c>
      <c r="B1" s="563"/>
      <c r="C1" s="563"/>
      <c r="D1" s="564"/>
      <c r="F1" s="80" t="s">
        <v>12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2"/>
      <c r="T1" s="82"/>
      <c r="U1" s="82"/>
      <c r="V1" s="83"/>
      <c r="W1" s="84"/>
      <c r="X1" s="85"/>
      <c r="Y1" s="83"/>
      <c r="Z1" s="86"/>
      <c r="AA1" s="83"/>
      <c r="AB1" s="82"/>
      <c r="AC1" s="87"/>
    </row>
    <row r="2" spans="1:29" ht="45" x14ac:dyDescent="0.25">
      <c r="A2" s="565"/>
      <c r="B2" s="566"/>
      <c r="C2" s="566"/>
      <c r="D2" s="567"/>
      <c r="F2" s="4" t="s">
        <v>13</v>
      </c>
      <c r="G2" s="4" t="s">
        <v>7</v>
      </c>
      <c r="H2" s="2" t="s">
        <v>2</v>
      </c>
      <c r="I2" s="4" t="s">
        <v>1</v>
      </c>
      <c r="J2" s="5" t="s">
        <v>20</v>
      </c>
      <c r="K2" s="4" t="s">
        <v>14</v>
      </c>
      <c r="L2" s="4" t="s">
        <v>15</v>
      </c>
      <c r="M2" s="4" t="s">
        <v>17</v>
      </c>
      <c r="N2" s="4" t="s">
        <v>16</v>
      </c>
      <c r="O2" s="4" t="s">
        <v>18</v>
      </c>
      <c r="P2" s="2" t="s">
        <v>24</v>
      </c>
      <c r="Q2" s="2" t="s">
        <v>25</v>
      </c>
      <c r="R2" s="6" t="s">
        <v>19</v>
      </c>
      <c r="S2" s="37"/>
      <c r="T2" s="38" t="s">
        <v>29</v>
      </c>
      <c r="U2" s="38" t="s">
        <v>204</v>
      </c>
      <c r="V2" s="44" t="s">
        <v>34</v>
      </c>
      <c r="W2" s="42" t="s">
        <v>27</v>
      </c>
      <c r="X2" s="73" t="s">
        <v>39</v>
      </c>
      <c r="Y2" s="44" t="s">
        <v>30</v>
      </c>
      <c r="Z2" s="45" t="s">
        <v>36</v>
      </c>
      <c r="AA2" s="44" t="s">
        <v>31</v>
      </c>
      <c r="AB2" s="37" t="s">
        <v>32</v>
      </c>
      <c r="AC2" s="41" t="s">
        <v>33</v>
      </c>
    </row>
    <row r="3" spans="1:29" ht="15" customHeight="1" x14ac:dyDescent="0.25">
      <c r="A3" s="568" t="s">
        <v>437</v>
      </c>
      <c r="B3" s="569"/>
      <c r="C3" s="569"/>
      <c r="D3" s="570"/>
      <c r="F3" s="14">
        <v>4.5</v>
      </c>
      <c r="G3" s="14">
        <v>72</v>
      </c>
      <c r="H3" s="66" t="s">
        <v>0</v>
      </c>
      <c r="I3" s="16">
        <v>0.23100000000000001</v>
      </c>
      <c r="J3" s="16">
        <f>F3*3.14</f>
        <v>14.13</v>
      </c>
      <c r="K3" s="17">
        <f>J3/I3</f>
        <v>61.168831168831169</v>
      </c>
      <c r="L3" s="16">
        <f>G3/10</f>
        <v>7.2</v>
      </c>
      <c r="M3" s="16">
        <v>3</v>
      </c>
      <c r="N3" s="19">
        <f>L3*K3/60</f>
        <v>7.3402597402597403</v>
      </c>
      <c r="O3" s="20">
        <f>N3+M3</f>
        <v>10.340259740259739</v>
      </c>
      <c r="P3" s="68">
        <v>225</v>
      </c>
      <c r="Q3" s="69">
        <f>P3/60</f>
        <v>3.75</v>
      </c>
      <c r="R3" s="18">
        <f>ROUNDUP(O3*Q3,1)</f>
        <v>38.800000000000004</v>
      </c>
      <c r="S3" s="21" t="s">
        <v>22</v>
      </c>
      <c r="T3" s="32">
        <v>6</v>
      </c>
      <c r="U3" s="35">
        <f>R3*T3</f>
        <v>232.8</v>
      </c>
      <c r="V3" s="33">
        <f>IF(U3&gt;AB3, U3, AB3)</f>
        <v>232.8</v>
      </c>
      <c r="W3" s="30">
        <v>0</v>
      </c>
      <c r="X3" s="79">
        <v>0.02</v>
      </c>
      <c r="Y3" s="33">
        <f>V3+W3</f>
        <v>232.8</v>
      </c>
      <c r="Z3" s="77">
        <f>ROUNDUP(Y3*X3,0)</f>
        <v>5</v>
      </c>
      <c r="AA3" s="33">
        <f t="shared" ref="AA3" si="0">Y3+Z3</f>
        <v>237.8</v>
      </c>
      <c r="AB3" s="57">
        <v>225</v>
      </c>
      <c r="AC3" s="78">
        <f>ROUNDDOWN(AB3/R3,0)</f>
        <v>5</v>
      </c>
    </row>
    <row r="4" spans="1:29" x14ac:dyDescent="0.25">
      <c r="A4" s="571"/>
      <c r="B4" s="572"/>
      <c r="C4" s="572"/>
      <c r="D4" s="573"/>
    </row>
    <row r="6" spans="1:29" x14ac:dyDescent="0.25">
      <c r="A6" s="95" t="s">
        <v>44</v>
      </c>
      <c r="B6" s="95" t="s">
        <v>45</v>
      </c>
      <c r="C6" s="95" t="s">
        <v>46</v>
      </c>
      <c r="D6" s="95" t="s">
        <v>82</v>
      </c>
    </row>
    <row r="7" spans="1:29" x14ac:dyDescent="0.25">
      <c r="A7" s="95" t="s">
        <v>47</v>
      </c>
      <c r="B7" s="96">
        <v>44.25</v>
      </c>
      <c r="C7" s="99" t="s">
        <v>81</v>
      </c>
      <c r="D7" s="99" t="s">
        <v>83</v>
      </c>
    </row>
    <row r="8" spans="1:29" x14ac:dyDescent="0.25">
      <c r="A8" s="95" t="s">
        <v>48</v>
      </c>
      <c r="B8" s="96">
        <v>44.95</v>
      </c>
      <c r="C8" s="99" t="s">
        <v>81</v>
      </c>
      <c r="D8" s="99" t="s">
        <v>83</v>
      </c>
    </row>
    <row r="9" spans="1:29" x14ac:dyDescent="0.25">
      <c r="A9" s="95" t="s">
        <v>49</v>
      </c>
      <c r="B9" s="96">
        <v>19.399999999999999</v>
      </c>
      <c r="C9" s="99" t="s">
        <v>81</v>
      </c>
      <c r="D9" s="99" t="s">
        <v>83</v>
      </c>
    </row>
    <row r="10" spans="1:29" x14ac:dyDescent="0.25">
      <c r="A10" s="95" t="s">
        <v>50</v>
      </c>
      <c r="B10" s="96">
        <v>10.35</v>
      </c>
      <c r="C10" s="99" t="s">
        <v>81</v>
      </c>
      <c r="D10" s="99" t="s">
        <v>83</v>
      </c>
    </row>
    <row r="11" spans="1:29" x14ac:dyDescent="0.25">
      <c r="A11" s="95" t="s">
        <v>51</v>
      </c>
      <c r="B11" s="96">
        <v>35.4</v>
      </c>
      <c r="C11" s="99" t="s">
        <v>81</v>
      </c>
      <c r="D11" s="99" t="s">
        <v>83</v>
      </c>
    </row>
    <row r="12" spans="1:29" x14ac:dyDescent="0.25">
      <c r="A12" s="95" t="s">
        <v>52</v>
      </c>
      <c r="B12" s="96">
        <v>21.25</v>
      </c>
      <c r="C12" s="99" t="s">
        <v>81</v>
      </c>
      <c r="D12" s="99" t="s">
        <v>83</v>
      </c>
    </row>
    <row r="13" spans="1:29" x14ac:dyDescent="0.25">
      <c r="A13" s="95" t="s">
        <v>53</v>
      </c>
      <c r="B13" s="96">
        <v>33.549999999999997</v>
      </c>
      <c r="C13" s="99" t="s">
        <v>81</v>
      </c>
      <c r="D13" s="99" t="s">
        <v>83</v>
      </c>
    </row>
    <row r="14" spans="1:29" x14ac:dyDescent="0.25">
      <c r="A14" s="95" t="s">
        <v>54</v>
      </c>
      <c r="B14" s="96">
        <v>22.75</v>
      </c>
      <c r="C14" s="99" t="s">
        <v>81</v>
      </c>
      <c r="D14" s="99" t="s">
        <v>83</v>
      </c>
    </row>
    <row r="15" spans="1:29" x14ac:dyDescent="0.25">
      <c r="A15" s="95" t="s">
        <v>55</v>
      </c>
      <c r="B15" s="96">
        <v>24.5</v>
      </c>
      <c r="C15" s="99" t="s">
        <v>81</v>
      </c>
      <c r="D15" s="99" t="s">
        <v>83</v>
      </c>
    </row>
    <row r="16" spans="1:29" x14ac:dyDescent="0.25">
      <c r="A16" s="95" t="s">
        <v>56</v>
      </c>
      <c r="B16" s="96">
        <v>22.75</v>
      </c>
      <c r="C16" s="99" t="s">
        <v>81</v>
      </c>
      <c r="D16" s="99" t="s">
        <v>83</v>
      </c>
    </row>
    <row r="17" spans="1:4" x14ac:dyDescent="0.25">
      <c r="A17" s="95" t="s">
        <v>57</v>
      </c>
      <c r="B17" s="96">
        <v>20.95</v>
      </c>
      <c r="C17" s="99" t="s">
        <v>81</v>
      </c>
      <c r="D17" s="99" t="s">
        <v>83</v>
      </c>
    </row>
    <row r="18" spans="1:4" x14ac:dyDescent="0.25">
      <c r="A18" s="95" t="s">
        <v>58</v>
      </c>
      <c r="B18" s="96">
        <v>20.95</v>
      </c>
      <c r="C18" s="99" t="s">
        <v>81</v>
      </c>
      <c r="D18" s="99" t="s">
        <v>83</v>
      </c>
    </row>
    <row r="19" spans="1:4" x14ac:dyDescent="0.25">
      <c r="A19" s="95" t="s">
        <v>59</v>
      </c>
      <c r="B19" s="96">
        <v>10.85</v>
      </c>
      <c r="C19" s="99" t="s">
        <v>81</v>
      </c>
      <c r="D19" s="99" t="s">
        <v>83</v>
      </c>
    </row>
    <row r="20" spans="1:4" x14ac:dyDescent="0.25">
      <c r="A20" s="95" t="s">
        <v>60</v>
      </c>
      <c r="B20" s="96">
        <v>41.95</v>
      </c>
      <c r="C20" s="99" t="s">
        <v>81</v>
      </c>
      <c r="D20" s="99" t="s">
        <v>83</v>
      </c>
    </row>
    <row r="21" spans="1:4" x14ac:dyDescent="0.25">
      <c r="A21" s="95" t="s">
        <v>61</v>
      </c>
      <c r="B21" s="96">
        <v>43.5</v>
      </c>
      <c r="C21" s="99" t="s">
        <v>81</v>
      </c>
      <c r="D21" s="99" t="s">
        <v>83</v>
      </c>
    </row>
    <row r="22" spans="1:4" x14ac:dyDescent="0.25">
      <c r="A22" s="95" t="s">
        <v>62</v>
      </c>
      <c r="B22" s="96">
        <v>45.95</v>
      </c>
      <c r="C22" s="99" t="s">
        <v>81</v>
      </c>
      <c r="D22" s="99" t="s">
        <v>83</v>
      </c>
    </row>
    <row r="23" spans="1:4" x14ac:dyDescent="0.25">
      <c r="A23" s="95" t="s">
        <v>63</v>
      </c>
      <c r="B23" s="96">
        <v>12.75</v>
      </c>
      <c r="C23" s="99" t="s">
        <v>81</v>
      </c>
      <c r="D23" s="99" t="s">
        <v>83</v>
      </c>
    </row>
    <row r="24" spans="1:4" x14ac:dyDescent="0.25">
      <c r="A24" s="95" t="s">
        <v>64</v>
      </c>
      <c r="B24" s="96">
        <v>64.75</v>
      </c>
      <c r="C24" s="99" t="s">
        <v>81</v>
      </c>
      <c r="D24" s="99" t="s">
        <v>83</v>
      </c>
    </row>
    <row r="25" spans="1:4" x14ac:dyDescent="0.25">
      <c r="A25" s="95" t="s">
        <v>65</v>
      </c>
      <c r="B25" s="96">
        <v>39.75</v>
      </c>
      <c r="C25" s="99" t="s">
        <v>81</v>
      </c>
      <c r="D25" s="99" t="s">
        <v>83</v>
      </c>
    </row>
    <row r="26" spans="1:4" x14ac:dyDescent="0.25">
      <c r="A26" s="95" t="s">
        <v>66</v>
      </c>
      <c r="B26" s="96">
        <v>23.9</v>
      </c>
      <c r="C26" s="99" t="s">
        <v>81</v>
      </c>
      <c r="D26" s="99" t="s">
        <v>83</v>
      </c>
    </row>
    <row r="27" spans="1:4" x14ac:dyDescent="0.25">
      <c r="A27" s="95" t="s">
        <v>67</v>
      </c>
      <c r="B27" s="96">
        <v>24.75</v>
      </c>
      <c r="C27" s="99" t="s">
        <v>81</v>
      </c>
      <c r="D27" s="99" t="s">
        <v>83</v>
      </c>
    </row>
    <row r="28" spans="1:4" x14ac:dyDescent="0.25">
      <c r="A28" s="95" t="s">
        <v>68</v>
      </c>
      <c r="B28" s="96">
        <v>36.85</v>
      </c>
      <c r="C28" s="99" t="s">
        <v>81</v>
      </c>
      <c r="D28" s="99" t="s">
        <v>83</v>
      </c>
    </row>
    <row r="29" spans="1:4" x14ac:dyDescent="0.25">
      <c r="A29" s="95" t="s">
        <v>69</v>
      </c>
      <c r="B29" s="96">
        <v>20.149999999999999</v>
      </c>
      <c r="C29" s="99" t="s">
        <v>81</v>
      </c>
      <c r="D29" s="99" t="s">
        <v>83</v>
      </c>
    </row>
    <row r="30" spans="1:4" x14ac:dyDescent="0.25">
      <c r="A30" s="95" t="s">
        <v>70</v>
      </c>
      <c r="B30" s="96">
        <v>23.3</v>
      </c>
      <c r="C30" s="99" t="s">
        <v>81</v>
      </c>
      <c r="D30" s="99" t="s">
        <v>83</v>
      </c>
    </row>
    <row r="31" spans="1:4" x14ac:dyDescent="0.25">
      <c r="A31" s="95" t="s">
        <v>71</v>
      </c>
      <c r="B31" s="96">
        <v>20.05</v>
      </c>
      <c r="C31" s="99" t="s">
        <v>81</v>
      </c>
      <c r="D31" s="99" t="s">
        <v>83</v>
      </c>
    </row>
    <row r="32" spans="1:4" x14ac:dyDescent="0.25">
      <c r="A32" s="95" t="s">
        <v>72</v>
      </c>
      <c r="B32" s="96">
        <v>17.75</v>
      </c>
      <c r="C32" s="99" t="s">
        <v>81</v>
      </c>
      <c r="D32" s="99" t="s">
        <v>83</v>
      </c>
    </row>
    <row r="33" spans="1:4" x14ac:dyDescent="0.25">
      <c r="A33" s="95" t="s">
        <v>73</v>
      </c>
      <c r="B33" s="96">
        <v>20.399999999999999</v>
      </c>
      <c r="C33" s="99" t="s">
        <v>81</v>
      </c>
      <c r="D33" s="99" t="s">
        <v>83</v>
      </c>
    </row>
    <row r="34" spans="1:4" x14ac:dyDescent="0.25">
      <c r="A34" s="95" t="s">
        <v>74</v>
      </c>
      <c r="B34" s="96">
        <v>19.649999999999999</v>
      </c>
      <c r="C34" s="99" t="s">
        <v>81</v>
      </c>
      <c r="D34" s="99" t="s">
        <v>83</v>
      </c>
    </row>
    <row r="35" spans="1:4" x14ac:dyDescent="0.25">
      <c r="A35" s="95" t="s">
        <v>75</v>
      </c>
      <c r="B35" s="96">
        <v>18.649999999999999</v>
      </c>
      <c r="C35" s="99" t="s">
        <v>81</v>
      </c>
      <c r="D35" s="99" t="s">
        <v>83</v>
      </c>
    </row>
    <row r="36" spans="1:4" x14ac:dyDescent="0.25">
      <c r="A36" s="95" t="s">
        <v>76</v>
      </c>
      <c r="B36" s="96">
        <v>28.05</v>
      </c>
      <c r="C36" s="99" t="s">
        <v>81</v>
      </c>
      <c r="D36" s="99" t="s">
        <v>83</v>
      </c>
    </row>
    <row r="37" spans="1:4" x14ac:dyDescent="0.25">
      <c r="A37" s="95" t="s">
        <v>77</v>
      </c>
      <c r="B37" s="96">
        <v>26.5</v>
      </c>
      <c r="C37" s="99" t="s">
        <v>81</v>
      </c>
      <c r="D37" s="99" t="s">
        <v>83</v>
      </c>
    </row>
    <row r="38" spans="1:4" x14ac:dyDescent="0.25">
      <c r="A38" s="95" t="s">
        <v>89</v>
      </c>
      <c r="B38" s="96">
        <v>15.75</v>
      </c>
      <c r="C38" s="99" t="s">
        <v>81</v>
      </c>
      <c r="D38" s="99" t="s">
        <v>83</v>
      </c>
    </row>
    <row r="39" spans="1:4" x14ac:dyDescent="0.25">
      <c r="A39" s="202" t="s">
        <v>157</v>
      </c>
      <c r="B39" s="203">
        <v>20.6</v>
      </c>
      <c r="C39" s="204" t="s">
        <v>158</v>
      </c>
      <c r="D39" s="204" t="s">
        <v>159</v>
      </c>
    </row>
    <row r="40" spans="1:4" x14ac:dyDescent="0.25">
      <c r="A40" s="279">
        <v>817239</v>
      </c>
      <c r="B40" s="96">
        <v>32.75</v>
      </c>
      <c r="C40" s="99" t="s">
        <v>81</v>
      </c>
      <c r="D40" s="99" t="s">
        <v>159</v>
      </c>
    </row>
    <row r="41" spans="1:4" x14ac:dyDescent="0.25">
      <c r="A41" s="95" t="s">
        <v>231</v>
      </c>
      <c r="B41" s="328">
        <v>48.9</v>
      </c>
      <c r="C41" s="99" t="s">
        <v>81</v>
      </c>
      <c r="D41" s="99" t="s">
        <v>232</v>
      </c>
    </row>
    <row r="42" spans="1:4" x14ac:dyDescent="0.25">
      <c r="A42" s="95" t="s">
        <v>435</v>
      </c>
      <c r="B42" s="519">
        <v>38.799999999999997</v>
      </c>
      <c r="C42" s="99" t="s">
        <v>81</v>
      </c>
      <c r="D42" s="99" t="s">
        <v>436</v>
      </c>
    </row>
    <row r="51" spans="4:6" x14ac:dyDescent="0.25">
      <c r="D51" t="s">
        <v>78</v>
      </c>
      <c r="F51" s="97">
        <v>10.85</v>
      </c>
    </row>
    <row r="56" spans="4:6" x14ac:dyDescent="0.25">
      <c r="D56" s="98">
        <v>45703</v>
      </c>
    </row>
    <row r="70" spans="4:4" x14ac:dyDescent="0.25">
      <c r="D70" t="s">
        <v>79</v>
      </c>
    </row>
    <row r="83" spans="4:4" x14ac:dyDescent="0.25">
      <c r="D83" t="s">
        <v>80</v>
      </c>
    </row>
    <row r="90" spans="4:4" x14ac:dyDescent="0.25">
      <c r="D90" s="98">
        <v>45678</v>
      </c>
    </row>
    <row r="91" spans="4:4" x14ac:dyDescent="0.25">
      <c r="D91" s="98">
        <v>45678</v>
      </c>
    </row>
    <row r="92" spans="4:4" x14ac:dyDescent="0.25">
      <c r="D92" s="98">
        <v>45690</v>
      </c>
    </row>
    <row r="93" spans="4:4" x14ac:dyDescent="0.25">
      <c r="D93" s="98">
        <v>45713</v>
      </c>
    </row>
    <row r="94" spans="4:4" x14ac:dyDescent="0.25">
      <c r="D94" s="98">
        <v>45713</v>
      </c>
    </row>
    <row r="95" spans="4:4" x14ac:dyDescent="0.25">
      <c r="D95" s="98">
        <v>45713</v>
      </c>
    </row>
    <row r="96" spans="4:4" x14ac:dyDescent="0.25">
      <c r="D96" s="98">
        <v>45713</v>
      </c>
    </row>
    <row r="97" spans="4:4" x14ac:dyDescent="0.25">
      <c r="D97" s="98">
        <v>45713</v>
      </c>
    </row>
    <row r="98" spans="4:4" x14ac:dyDescent="0.25">
      <c r="D98" s="98">
        <v>45713</v>
      </c>
    </row>
  </sheetData>
  <mergeCells count="2">
    <mergeCell ref="A1:D2"/>
    <mergeCell ref="A3:D4"/>
  </mergeCells>
  <phoneticPr fontId="10" type="noConversion"/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1E27-EBD9-41EF-911D-2F811F6F81F9}">
  <sheetPr>
    <tabColor rgb="FF92D050"/>
  </sheetPr>
  <dimension ref="A1:W23"/>
  <sheetViews>
    <sheetView workbookViewId="0">
      <selection activeCell="E18" sqref="E18"/>
    </sheetView>
  </sheetViews>
  <sheetFormatPr defaultRowHeight="15" x14ac:dyDescent="0.25"/>
  <cols>
    <col min="2" max="2" width="9.85546875" bestFit="1" customWidth="1"/>
    <col min="4" max="4" width="12" customWidth="1"/>
    <col min="7" max="7" width="10.5703125" customWidth="1"/>
    <col min="9" max="9" width="9.85546875" customWidth="1"/>
    <col min="17" max="17" width="15" customWidth="1"/>
    <col min="18" max="18" width="12.28515625" customWidth="1"/>
    <col min="21" max="21" width="9.7109375" customWidth="1"/>
    <col min="23" max="23" width="10.28515625" customWidth="1"/>
  </cols>
  <sheetData>
    <row r="1" spans="1:23" ht="21" x14ac:dyDescent="0.25">
      <c r="A1" s="515" t="s">
        <v>11</v>
      </c>
      <c r="B1" s="516"/>
      <c r="C1" s="516"/>
      <c r="D1" s="516"/>
      <c r="E1" s="516"/>
      <c r="F1" s="10"/>
      <c r="G1" s="10"/>
      <c r="H1" s="10"/>
      <c r="I1" s="10"/>
      <c r="J1" s="10"/>
      <c r="K1" s="10"/>
      <c r="L1" s="10"/>
      <c r="M1" s="10"/>
      <c r="N1" s="10"/>
      <c r="O1" s="21"/>
      <c r="P1" s="21"/>
      <c r="Q1" s="21"/>
      <c r="R1" s="22"/>
      <c r="S1" s="22"/>
      <c r="T1" s="22"/>
      <c r="U1" s="22"/>
      <c r="V1" s="75"/>
      <c r="W1" s="22"/>
    </row>
    <row r="2" spans="1:23" ht="45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3" t="s">
        <v>5</v>
      </c>
      <c r="O2" s="34"/>
      <c r="P2" s="38" t="s">
        <v>29</v>
      </c>
      <c r="Q2" s="38" t="s">
        <v>204</v>
      </c>
      <c r="R2" s="37" t="s">
        <v>34</v>
      </c>
      <c r="S2" s="37" t="s">
        <v>27</v>
      </c>
      <c r="T2" s="38" t="s">
        <v>39</v>
      </c>
      <c r="U2" s="38" t="s">
        <v>30</v>
      </c>
      <c r="V2" s="74" t="s">
        <v>36</v>
      </c>
      <c r="W2" s="38" t="s">
        <v>31</v>
      </c>
    </row>
    <row r="3" spans="1:23" x14ac:dyDescent="0.25">
      <c r="A3" s="65">
        <v>3.5</v>
      </c>
      <c r="B3" s="65">
        <v>61</v>
      </c>
      <c r="C3" s="65">
        <v>63</v>
      </c>
      <c r="D3" s="66" t="s">
        <v>0</v>
      </c>
      <c r="E3" s="66">
        <v>7.4999999999999997E-2</v>
      </c>
      <c r="F3" s="66">
        <f>(A3+B3)*C3</f>
        <v>4063.5</v>
      </c>
      <c r="G3" s="66">
        <f>(A3+B3)/E3</f>
        <v>860</v>
      </c>
      <c r="H3" s="66">
        <f t="shared" ref="H3" si="0">C3/10</f>
        <v>6.3</v>
      </c>
      <c r="I3" s="66">
        <v>6</v>
      </c>
      <c r="J3" s="67">
        <f t="shared" ref="J3" si="1">H3*G3/60</f>
        <v>90.3</v>
      </c>
      <c r="K3" s="67">
        <f>J3+I3</f>
        <v>96.3</v>
      </c>
      <c r="L3" s="68">
        <v>275</v>
      </c>
      <c r="M3" s="69">
        <f>L3/60</f>
        <v>4.583333333333333</v>
      </c>
      <c r="N3" s="70">
        <f>ROUNDUP(K3*M3,1)</f>
        <v>441.40000000000003</v>
      </c>
      <c r="O3" s="23"/>
      <c r="P3" s="32">
        <v>10</v>
      </c>
      <c r="Q3" s="35">
        <f>N3*P3</f>
        <v>4414</v>
      </c>
      <c r="R3" s="33">
        <f>IF(Q3&gt;X3, Q3, X3)</f>
        <v>4414</v>
      </c>
      <c r="S3" s="30">
        <v>125</v>
      </c>
      <c r="T3" s="79">
        <v>0.02</v>
      </c>
      <c r="U3" s="33">
        <f>R3+S3</f>
        <v>4539</v>
      </c>
      <c r="V3" s="77">
        <f>ROUNDUP(U3*T3,0)</f>
        <v>91</v>
      </c>
      <c r="W3" s="33">
        <f>U3+V3</f>
        <v>4630</v>
      </c>
    </row>
    <row r="4" spans="1:23" ht="21" x14ac:dyDescent="0.25">
      <c r="A4" s="517" t="s">
        <v>432</v>
      </c>
      <c r="B4" s="518"/>
      <c r="C4" s="518"/>
      <c r="D4" s="518"/>
      <c r="E4" s="518"/>
      <c r="F4" s="518"/>
      <c r="G4" s="10"/>
      <c r="H4" s="10"/>
      <c r="I4" s="10"/>
      <c r="J4" s="10"/>
      <c r="K4" s="10"/>
      <c r="L4" s="10"/>
      <c r="M4" s="10"/>
      <c r="N4" s="10"/>
      <c r="O4" s="21"/>
      <c r="P4" s="21"/>
      <c r="Q4" s="21"/>
      <c r="R4" s="22"/>
      <c r="S4" s="22"/>
      <c r="T4" s="22"/>
      <c r="U4" s="22"/>
      <c r="V4" s="75"/>
      <c r="W4" s="22"/>
    </row>
    <row r="5" spans="1:23" ht="45" x14ac:dyDescent="0.25">
      <c r="A5" s="2" t="s">
        <v>23</v>
      </c>
      <c r="B5" s="2" t="s">
        <v>8</v>
      </c>
      <c r="C5" s="2" t="s">
        <v>7</v>
      </c>
      <c r="D5" s="2" t="s">
        <v>2</v>
      </c>
      <c r="E5" s="2" t="s">
        <v>1</v>
      </c>
      <c r="F5" s="2" t="s">
        <v>6</v>
      </c>
      <c r="G5" s="2" t="s">
        <v>3</v>
      </c>
      <c r="H5" s="2" t="s">
        <v>21</v>
      </c>
      <c r="I5" s="2" t="s">
        <v>9</v>
      </c>
      <c r="J5" s="2" t="s">
        <v>4</v>
      </c>
      <c r="K5" s="2" t="s">
        <v>10</v>
      </c>
      <c r="L5" s="2" t="s">
        <v>24</v>
      </c>
      <c r="M5" s="2" t="s">
        <v>25</v>
      </c>
      <c r="N5" s="3" t="s">
        <v>5</v>
      </c>
      <c r="O5" s="34"/>
      <c r="P5" s="38" t="s">
        <v>29</v>
      </c>
      <c r="Q5" s="38" t="s">
        <v>204</v>
      </c>
      <c r="R5" s="37" t="s">
        <v>34</v>
      </c>
      <c r="S5" s="37" t="s">
        <v>27</v>
      </c>
      <c r="T5" s="38" t="s">
        <v>39</v>
      </c>
      <c r="U5" s="38" t="s">
        <v>30</v>
      </c>
      <c r="V5" s="74" t="s">
        <v>36</v>
      </c>
      <c r="W5" s="38" t="s">
        <v>31</v>
      </c>
    </row>
    <row r="6" spans="1:23" x14ac:dyDescent="0.25">
      <c r="A6" s="65">
        <v>3.5</v>
      </c>
      <c r="B6" s="65">
        <v>36</v>
      </c>
      <c r="C6" s="65">
        <v>120</v>
      </c>
      <c r="D6" s="66" t="s">
        <v>0</v>
      </c>
      <c r="E6" s="66">
        <v>6.5000000000000002E-2</v>
      </c>
      <c r="F6" s="66">
        <f>(A6+B6)*C6</f>
        <v>4740</v>
      </c>
      <c r="G6" s="66">
        <f>(A6+B6)/E6</f>
        <v>607.69230769230762</v>
      </c>
      <c r="H6" s="66">
        <f t="shared" ref="H6" si="2">C6/10</f>
        <v>12</v>
      </c>
      <c r="I6" s="66">
        <v>6</v>
      </c>
      <c r="J6" s="67">
        <f t="shared" ref="J6" si="3">H6*G6/60</f>
        <v>121.53846153846152</v>
      </c>
      <c r="K6" s="67">
        <f>J6+I6</f>
        <v>127.53846153846152</v>
      </c>
      <c r="L6" s="68">
        <v>275</v>
      </c>
      <c r="M6" s="69">
        <f>L6/60</f>
        <v>4.583333333333333</v>
      </c>
      <c r="N6" s="70">
        <f>ROUNDUP(K6*M6,1)</f>
        <v>584.6</v>
      </c>
      <c r="O6" s="23"/>
      <c r="P6" s="32">
        <v>10</v>
      </c>
      <c r="Q6" s="35">
        <f>N6*P6</f>
        <v>5846</v>
      </c>
      <c r="R6" s="33">
        <f>IF(Q6&gt;X6, Q6, X6)</f>
        <v>5846</v>
      </c>
      <c r="S6" s="30">
        <v>125</v>
      </c>
      <c r="T6" s="79">
        <v>0.02</v>
      </c>
      <c r="U6" s="33">
        <f>R6+S6</f>
        <v>5971</v>
      </c>
      <c r="V6" s="77">
        <f>ROUNDUP(U6*T6,0)</f>
        <v>120</v>
      </c>
      <c r="W6" s="33">
        <f>U6+V6</f>
        <v>6091</v>
      </c>
    </row>
    <row r="7" spans="1:2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1"/>
      <c r="P7" s="21"/>
      <c r="Q7" s="21"/>
      <c r="R7" s="21"/>
      <c r="S7" s="21"/>
      <c r="T7" s="21"/>
      <c r="U7" s="21"/>
      <c r="V7" s="26"/>
      <c r="W7" s="21"/>
    </row>
    <row r="8" spans="1:23" ht="21" x14ac:dyDescent="0.35">
      <c r="A8" s="171"/>
      <c r="B8" s="172" t="s">
        <v>119</v>
      </c>
      <c r="C8" s="173"/>
      <c r="D8" s="1"/>
      <c r="E8" s="1"/>
      <c r="F8" s="1"/>
      <c r="G8" s="1"/>
      <c r="H8" s="1"/>
      <c r="I8" s="1"/>
      <c r="J8" s="1"/>
      <c r="K8" s="1"/>
      <c r="L8" s="1"/>
      <c r="M8" s="1"/>
      <c r="N8" s="171"/>
      <c r="O8" s="198"/>
      <c r="P8" s="198"/>
      <c r="Q8" s="198"/>
      <c r="R8" s="198"/>
      <c r="S8" s="172" t="s">
        <v>149</v>
      </c>
      <c r="T8" s="198"/>
      <c r="U8" s="198"/>
      <c r="V8" s="198"/>
      <c r="W8" s="173"/>
    </row>
    <row r="9" spans="1:23" x14ac:dyDescent="0.25">
      <c r="A9" s="174" t="s">
        <v>32</v>
      </c>
      <c r="C9" s="280">
        <v>250</v>
      </c>
      <c r="D9" s="1"/>
      <c r="E9" s="1"/>
      <c r="F9" s="1"/>
      <c r="G9" s="1"/>
      <c r="H9" s="1"/>
      <c r="I9" s="1"/>
      <c r="J9" s="1"/>
      <c r="K9" s="1"/>
      <c r="L9" s="1"/>
      <c r="M9" s="1"/>
      <c r="N9" s="174" t="s">
        <v>150</v>
      </c>
      <c r="W9" s="176"/>
    </row>
    <row r="10" spans="1:23" x14ac:dyDescent="0.25">
      <c r="A10" s="174" t="s">
        <v>120</v>
      </c>
      <c r="B10" s="334" t="s">
        <v>122</v>
      </c>
      <c r="C10" s="280">
        <v>75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74" t="s">
        <v>151</v>
      </c>
      <c r="W10" s="176"/>
    </row>
    <row r="11" spans="1:23" x14ac:dyDescent="0.25">
      <c r="A11" s="174" t="s">
        <v>36</v>
      </c>
      <c r="C11" s="200" t="s">
        <v>122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74"/>
      <c r="W11" s="176"/>
    </row>
    <row r="12" spans="1:23" x14ac:dyDescent="0.25">
      <c r="A12" s="174" t="s">
        <v>121</v>
      </c>
      <c r="C12" s="200" t="s">
        <v>123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74" t="s">
        <v>152</v>
      </c>
      <c r="W12" s="176"/>
    </row>
    <row r="13" spans="1:23" x14ac:dyDescent="0.25">
      <c r="A13" s="177" t="s">
        <v>124</v>
      </c>
      <c r="B13" s="178"/>
      <c r="C13" s="201" t="s">
        <v>160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74" t="s">
        <v>153</v>
      </c>
      <c r="W13" s="176"/>
    </row>
    <row r="14" spans="1:2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74"/>
      <c r="W14" s="176"/>
    </row>
    <row r="15" spans="1:23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74" t="s">
        <v>154</v>
      </c>
      <c r="W15" s="176"/>
    </row>
    <row r="16" spans="1:23" ht="46.5" thickTop="1" thickBot="1" x14ac:dyDescent="0.3">
      <c r="B16" s="356" t="s">
        <v>241</v>
      </c>
      <c r="C16" s="358" t="s">
        <v>29</v>
      </c>
      <c r="D16" s="343" t="s">
        <v>34</v>
      </c>
      <c r="E16" s="343" t="s">
        <v>27</v>
      </c>
      <c r="F16" s="341" t="s">
        <v>39</v>
      </c>
      <c r="G16" s="341" t="s">
        <v>30</v>
      </c>
      <c r="H16" s="349" t="s">
        <v>36</v>
      </c>
      <c r="I16" s="347" t="s">
        <v>31</v>
      </c>
      <c r="J16" s="1"/>
      <c r="K16" s="1"/>
      <c r="N16" s="177" t="s">
        <v>155</v>
      </c>
      <c r="O16" s="178"/>
      <c r="P16" s="178"/>
      <c r="Q16" s="178"/>
      <c r="R16" s="178"/>
      <c r="S16" s="178"/>
      <c r="T16" s="178"/>
      <c r="U16" s="178"/>
      <c r="V16" s="178"/>
      <c r="W16" s="199"/>
    </row>
    <row r="17" spans="2:23" ht="16.5" thickTop="1" thickBot="1" x14ac:dyDescent="0.3">
      <c r="B17" s="357">
        <v>3619.05</v>
      </c>
      <c r="C17" s="342">
        <v>1</v>
      </c>
      <c r="D17" s="344">
        <f>IF(V19&gt;W19,V19,W19)</f>
        <v>3619.05</v>
      </c>
      <c r="E17" s="345">
        <v>125</v>
      </c>
      <c r="F17" s="346">
        <v>0.02</v>
      </c>
      <c r="G17" s="344">
        <f>D17+E17</f>
        <v>3744.05</v>
      </c>
      <c r="H17" s="350">
        <f>ROUNDUP(G17*F17,0)</f>
        <v>75</v>
      </c>
      <c r="I17" s="348">
        <f>G17+H17</f>
        <v>3819.05</v>
      </c>
    </row>
    <row r="18" spans="2:23" ht="15.75" thickTop="1" x14ac:dyDescent="0.25">
      <c r="V18" t="s">
        <v>287</v>
      </c>
      <c r="W18" t="s">
        <v>288</v>
      </c>
    </row>
    <row r="19" spans="2:23" x14ac:dyDescent="0.25">
      <c r="V19" s="97">
        <f>B17*C17</f>
        <v>3619.05</v>
      </c>
      <c r="W19" s="192">
        <v>250</v>
      </c>
    </row>
    <row r="20" spans="2:23" ht="15.75" thickBot="1" x14ac:dyDescent="0.3">
      <c r="G20" s="97"/>
    </row>
    <row r="21" spans="2:23" x14ac:dyDescent="0.25">
      <c r="E21" s="382" t="s">
        <v>286</v>
      </c>
      <c r="F21" s="383"/>
      <c r="G21" s="384">
        <f>C17</f>
        <v>1</v>
      </c>
    </row>
    <row r="22" spans="2:23" x14ac:dyDescent="0.25">
      <c r="E22" s="385" t="s">
        <v>285</v>
      </c>
      <c r="G22" s="386">
        <f>I17</f>
        <v>3819.05</v>
      </c>
    </row>
    <row r="23" spans="2:23" ht="15.75" thickBot="1" x14ac:dyDescent="0.3">
      <c r="E23" s="387" t="s">
        <v>309</v>
      </c>
      <c r="F23" s="388"/>
      <c r="G23" s="389" t="s">
        <v>310</v>
      </c>
    </row>
  </sheetData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DABD-C1FF-48B4-868A-204426562F43}">
  <sheetPr>
    <tabColor rgb="FFFF0000"/>
  </sheetPr>
  <dimension ref="A1:AD37"/>
  <sheetViews>
    <sheetView workbookViewId="0">
      <selection activeCell="U26" sqref="U26"/>
    </sheetView>
  </sheetViews>
  <sheetFormatPr defaultRowHeight="15" x14ac:dyDescent="0.25"/>
  <cols>
    <col min="25" max="25" width="17.42578125" customWidth="1"/>
    <col min="30" max="30" width="16.570312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0.25</v>
      </c>
      <c r="B3" s="65">
        <v>16</v>
      </c>
      <c r="C3" s="65">
        <v>16.25</v>
      </c>
      <c r="D3" s="66">
        <v>0.125</v>
      </c>
      <c r="E3" s="66">
        <v>0.125</v>
      </c>
      <c r="F3" s="66">
        <f>(A3+B3)*C3</f>
        <v>264.0625</v>
      </c>
      <c r="G3" s="66">
        <f>(A3+B3)/E3</f>
        <v>130</v>
      </c>
      <c r="H3" s="66">
        <f t="shared" ref="H3" si="0">C3/10</f>
        <v>1.625</v>
      </c>
      <c r="I3" s="66">
        <v>3.5</v>
      </c>
      <c r="J3" s="67">
        <f t="shared" ref="J3" si="1">H3*G3/60</f>
        <v>3.5208333333333335</v>
      </c>
      <c r="K3" s="67">
        <f>J3+I3</f>
        <v>7.0208333333333339</v>
      </c>
      <c r="L3" s="68">
        <v>250</v>
      </c>
      <c r="M3" s="69">
        <f>L3/60</f>
        <v>4.166666666666667</v>
      </c>
      <c r="N3" s="70">
        <f>ROUNDUP(K3*M3,1)</f>
        <v>29.3</v>
      </c>
      <c r="O3" s="56"/>
      <c r="P3" s="30">
        <v>125</v>
      </c>
      <c r="Q3" s="71">
        <v>0.02</v>
      </c>
      <c r="R3" s="32">
        <v>5</v>
      </c>
      <c r="S3" s="35">
        <f>N3*R3</f>
        <v>146.5</v>
      </c>
      <c r="T3" s="33">
        <f>IF(S3&gt;Y3,S3,Y3)</f>
        <v>250</v>
      </c>
      <c r="U3" s="33">
        <f>T3+P3</f>
        <v>375</v>
      </c>
      <c r="V3" s="33">
        <f>ROUNDUP(U3*Q3,0)</f>
        <v>8</v>
      </c>
      <c r="W3" s="33">
        <f>U3+V3</f>
        <v>383</v>
      </c>
      <c r="X3" s="34"/>
      <c r="Y3" s="57">
        <v>250</v>
      </c>
      <c r="Z3" s="36">
        <f>ROUNDDOWN(Y3/N3,0)</f>
        <v>8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3.5</v>
      </c>
      <c r="B6" s="65">
        <v>35</v>
      </c>
      <c r="C6" s="65">
        <v>35</v>
      </c>
      <c r="D6" s="66">
        <v>0.125</v>
      </c>
      <c r="E6" s="66">
        <v>4.4999999999999998E-2</v>
      </c>
      <c r="F6" s="66">
        <f>(A6+B6)*C6</f>
        <v>1347.5</v>
      </c>
      <c r="G6" s="66">
        <f>(A6+B6)/E6</f>
        <v>855.55555555555554</v>
      </c>
      <c r="H6" s="66">
        <f t="shared" ref="H6" si="2">C6/10</f>
        <v>3.5</v>
      </c>
      <c r="I6" s="66">
        <v>3.5</v>
      </c>
      <c r="J6" s="67">
        <f t="shared" ref="J6" si="3">H6*G6/60</f>
        <v>49.907407407407405</v>
      </c>
      <c r="K6" s="67">
        <f>J6+I6</f>
        <v>53.407407407407405</v>
      </c>
      <c r="L6" s="68">
        <v>250</v>
      </c>
      <c r="M6" s="69">
        <f>L6/60</f>
        <v>4.166666666666667</v>
      </c>
      <c r="N6" s="70">
        <f>ROUNDUP(K6*M6,1)</f>
        <v>222.6</v>
      </c>
      <c r="O6" s="56"/>
      <c r="P6" s="30">
        <v>125</v>
      </c>
      <c r="Q6" s="71">
        <v>0.02</v>
      </c>
      <c r="R6" s="32">
        <v>5</v>
      </c>
      <c r="S6" s="35">
        <f>N6*R6</f>
        <v>1113</v>
      </c>
      <c r="T6" s="33">
        <f>IF(S6&gt;Y6,S6,Y6)</f>
        <v>1113</v>
      </c>
      <c r="U6" s="33">
        <f>T6+P6</f>
        <v>1238</v>
      </c>
      <c r="V6" s="33">
        <f>ROUNDUP(U6*Q6,0)</f>
        <v>25</v>
      </c>
      <c r="W6" s="33">
        <f>U6+V6</f>
        <v>1263</v>
      </c>
      <c r="X6" s="34"/>
      <c r="Y6" s="57">
        <v>250</v>
      </c>
      <c r="Z6" s="36">
        <f>ROUNDDOWN(Y6/N6,0)</f>
        <v>1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12</v>
      </c>
      <c r="C9" s="14">
        <v>4</v>
      </c>
      <c r="D9" s="66" t="s">
        <v>0</v>
      </c>
      <c r="E9" s="16">
        <v>4.4999999999999998E-2</v>
      </c>
      <c r="F9" s="16">
        <f>B9*3.14</f>
        <v>37.68</v>
      </c>
      <c r="G9" s="17">
        <f>F9/E9</f>
        <v>837.33333333333337</v>
      </c>
      <c r="H9" s="16">
        <f>C9/10</f>
        <v>0.4</v>
      </c>
      <c r="I9" s="16">
        <v>2</v>
      </c>
      <c r="J9" s="19">
        <f>H9*G9/60</f>
        <v>5.5822222222222235</v>
      </c>
      <c r="K9" s="20">
        <f>J9+I9</f>
        <v>7.5822222222222235</v>
      </c>
      <c r="L9" s="68">
        <v>250</v>
      </c>
      <c r="M9" s="69">
        <f>L9/60</f>
        <v>4.166666666666667</v>
      </c>
      <c r="N9" s="18">
        <f>ROUNDUP(K9*M9,1)</f>
        <v>31.6</v>
      </c>
      <c r="O9" s="56"/>
      <c r="P9" s="30">
        <v>125</v>
      </c>
      <c r="Q9" s="71">
        <v>0.02</v>
      </c>
      <c r="R9" s="32">
        <v>28</v>
      </c>
      <c r="S9" s="35">
        <f>N9*R9</f>
        <v>884.80000000000007</v>
      </c>
      <c r="T9" s="33">
        <f>IF(S9&gt;Y9,S9,Y9)</f>
        <v>884.80000000000007</v>
      </c>
      <c r="U9" s="33">
        <f>T9+P9</f>
        <v>1009.8000000000001</v>
      </c>
      <c r="V9" s="33">
        <f>ROUNDUP(U9*Q9,0)</f>
        <v>21</v>
      </c>
      <c r="W9" s="33">
        <f t="shared" ref="W9" si="4">U9+V9</f>
        <v>1030.8000000000002</v>
      </c>
      <c r="X9" s="56"/>
      <c r="Y9" s="58">
        <v>250</v>
      </c>
      <c r="Z9" s="47">
        <f>ROUNDDOWN(Y9/N9,0)</f>
        <v>7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4</v>
      </c>
      <c r="J14" s="67">
        <f t="shared" ref="J14" si="6">H14*G14/60</f>
        <v>0.1111111111111111</v>
      </c>
      <c r="K14" s="67">
        <f>J14+I14</f>
        <v>4.1111111111111107</v>
      </c>
      <c r="L14" s="68">
        <v>275</v>
      </c>
      <c r="M14" s="69">
        <f>L14/60</f>
        <v>4.583333333333333</v>
      </c>
      <c r="N14" s="70">
        <f>ROUNDUP(K14*M14,1)</f>
        <v>18.900000000000002</v>
      </c>
      <c r="O14" s="56"/>
      <c r="P14" s="30">
        <v>125</v>
      </c>
      <c r="Q14" s="71">
        <v>0.02</v>
      </c>
      <c r="R14" s="32">
        <v>105</v>
      </c>
      <c r="S14" s="35">
        <f>N14*R14</f>
        <v>1984.5000000000002</v>
      </c>
      <c r="T14" s="33">
        <f>IF(S14&gt;Y14,S14,Y14)</f>
        <v>1984.5000000000002</v>
      </c>
      <c r="U14" s="33">
        <f>T14+P14</f>
        <v>2109.5</v>
      </c>
      <c r="V14" s="33">
        <f>ROUNDUP(U14*Q14,0)</f>
        <v>43</v>
      </c>
      <c r="W14" s="33">
        <f>U14+V14</f>
        <v>2152.5</v>
      </c>
      <c r="X14" s="34"/>
      <c r="Y14" s="57">
        <v>275</v>
      </c>
      <c r="Z14" s="36">
        <f>ROUNDDOWN(Y14/N14,0)</f>
        <v>14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A17" s="1"/>
      <c r="B17" s="14">
        <v>8.5</v>
      </c>
      <c r="C17" s="14">
        <v>3.75</v>
      </c>
      <c r="D17" s="66" t="s">
        <v>0</v>
      </c>
      <c r="E17" s="16">
        <v>4.4999999999999998E-2</v>
      </c>
      <c r="F17" s="16">
        <f>B17*3.14</f>
        <v>26.69</v>
      </c>
      <c r="G17" s="17">
        <f>F17/E17</f>
        <v>593.1111111111112</v>
      </c>
      <c r="H17" s="16">
        <f>C17/10</f>
        <v>0.375</v>
      </c>
      <c r="I17" s="16">
        <v>4</v>
      </c>
      <c r="J17" s="19">
        <f>H17*G17/60</f>
        <v>3.7069444444444448</v>
      </c>
      <c r="K17" s="20">
        <f>J17+I17</f>
        <v>7.7069444444444448</v>
      </c>
      <c r="L17" s="68">
        <v>275</v>
      </c>
      <c r="M17" s="69">
        <f>L17/60</f>
        <v>4.583333333333333</v>
      </c>
      <c r="N17" s="18">
        <f>ROUNDUP(K17*M17,1)</f>
        <v>35.4</v>
      </c>
      <c r="O17" s="56"/>
      <c r="P17" s="30">
        <v>125</v>
      </c>
      <c r="Q17" s="71">
        <v>0.02</v>
      </c>
      <c r="R17" s="32">
        <v>105</v>
      </c>
      <c r="S17" s="35">
        <f>N17*R17</f>
        <v>3717</v>
      </c>
      <c r="T17" s="33">
        <f>IF(S17&gt;Y17,S17,Y17)</f>
        <v>3717</v>
      </c>
      <c r="U17" s="33">
        <f>T17+P17</f>
        <v>3842</v>
      </c>
      <c r="V17" s="33">
        <f>ROUNDUP(U17*Q17,0)</f>
        <v>77</v>
      </c>
      <c r="W17" s="33">
        <f t="shared" ref="W17" si="7">U17+V17</f>
        <v>3919</v>
      </c>
      <c r="X17" s="56"/>
      <c r="Y17" s="58">
        <v>275</v>
      </c>
      <c r="Z17" s="47">
        <f>ROUNDDOWN(Y17/N17,0)</f>
        <v>7</v>
      </c>
    </row>
    <row r="19" spans="1:30" ht="15.75" thickBot="1" x14ac:dyDescent="0.3"/>
    <row r="20" spans="1:30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494" t="s">
        <v>348</v>
      </c>
      <c r="W20" s="436"/>
      <c r="X20" s="436"/>
      <c r="Y20" s="436"/>
      <c r="Z20" s="1"/>
      <c r="AA20" s="460" t="s">
        <v>362</v>
      </c>
      <c r="AB20" s="461"/>
      <c r="AC20" s="461"/>
      <c r="AD20" s="461"/>
    </row>
    <row r="21" spans="1:30" ht="16.5" thickTop="1" x14ac:dyDescent="0.25">
      <c r="A21" s="373" t="s">
        <v>32</v>
      </c>
      <c r="C21" s="376">
        <v>250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222.6</v>
      </c>
      <c r="Z21" s="1"/>
      <c r="AA21" s="462" t="s">
        <v>207</v>
      </c>
      <c r="AB21" s="463"/>
      <c r="AC21" s="383"/>
      <c r="AD21" s="470">
        <f>N3</f>
        <v>29.3</v>
      </c>
    </row>
    <row r="22" spans="1:30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5</v>
      </c>
      <c r="Z22" s="1"/>
      <c r="AA22" s="464" t="s">
        <v>208</v>
      </c>
      <c r="AB22" s="1"/>
      <c r="AD22" s="471">
        <f>R3</f>
        <v>5</v>
      </c>
    </row>
    <row r="23" spans="1:30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1113</v>
      </c>
      <c r="Z23" s="1"/>
      <c r="AA23" s="464" t="s">
        <v>209</v>
      </c>
      <c r="AB23" s="1"/>
      <c r="AD23" s="469">
        <f>T3</f>
        <v>250</v>
      </c>
    </row>
    <row r="24" spans="1:30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25</v>
      </c>
      <c r="Z24" s="1"/>
      <c r="AA24" s="464" t="s">
        <v>210</v>
      </c>
      <c r="AB24" s="1"/>
      <c r="AD24" s="469">
        <f>V3</f>
        <v>8</v>
      </c>
    </row>
    <row r="25" spans="1:30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  <c r="AA25" s="464" t="s">
        <v>216</v>
      </c>
      <c r="AD25" s="465">
        <f>-P3</f>
        <v>-125</v>
      </c>
    </row>
    <row r="26" spans="1:30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1263</v>
      </c>
      <c r="Z26" s="1"/>
      <c r="AA26" s="464" t="s">
        <v>211</v>
      </c>
      <c r="AB26" s="1"/>
      <c r="AD26" s="469">
        <f>W3</f>
        <v>383</v>
      </c>
    </row>
    <row r="27" spans="1:30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7"/>
      <c r="AD27" s="468" t="s">
        <v>347</v>
      </c>
    </row>
    <row r="28" spans="1:30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30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30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31.6</v>
      </c>
      <c r="Z30" s="1"/>
    </row>
    <row r="31" spans="1:30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28</v>
      </c>
      <c r="Z31" s="1"/>
    </row>
    <row r="32" spans="1:30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884.80000000000007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21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1030.8000000000002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2">
    <mergeCell ref="V29:Y29"/>
    <mergeCell ref="X36:Y36"/>
  </mergeCell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7651-E948-4100-B522-BFDC4E07E291}">
  <sheetPr>
    <tabColor rgb="FF92D050"/>
  </sheetPr>
  <dimension ref="A1:AF21"/>
  <sheetViews>
    <sheetView zoomScaleNormal="100" workbookViewId="0">
      <selection activeCell="R11" sqref="R11"/>
    </sheetView>
  </sheetViews>
  <sheetFormatPr defaultRowHeight="15" x14ac:dyDescent="0.25"/>
  <cols>
    <col min="1" max="1" width="9.140625" style="1"/>
    <col min="2" max="3" width="13.28515625" style="1" customWidth="1"/>
    <col min="4" max="5" width="13.28515625" style="1" hidden="1" customWidth="1"/>
    <col min="6" max="6" width="21" style="1" hidden="1" customWidth="1"/>
    <col min="7" max="7" width="22.7109375" style="1" hidden="1" customWidth="1"/>
    <col min="8" max="8" width="14.85546875" style="1" hidden="1" customWidth="1"/>
    <col min="9" max="9" width="11.5703125" style="1" hidden="1" customWidth="1"/>
    <col min="10" max="10" width="12.42578125" style="1" hidden="1" customWidth="1"/>
    <col min="11" max="13" width="26" style="1" hidden="1" customWidth="1"/>
    <col min="14" max="14" width="18.5703125" style="1" customWidth="1"/>
    <col min="15" max="15" width="16.42578125" style="1" customWidth="1"/>
    <col min="16" max="16" width="14.7109375" style="1" customWidth="1"/>
    <col min="17" max="17" width="20.28515625" style="1" customWidth="1"/>
    <col min="18" max="18" width="13" style="1" customWidth="1"/>
    <col min="19" max="19" width="15.7109375" style="1" hidden="1" customWidth="1"/>
    <col min="20" max="20" width="20.28515625" style="1" customWidth="1"/>
    <col min="21" max="21" width="15.28515625" style="1" customWidth="1"/>
    <col min="22" max="22" width="8.7109375" style="1" bestFit="1" customWidth="1"/>
    <col min="23" max="23" width="13.140625" style="1" customWidth="1"/>
    <col min="24" max="24" width="9.140625" style="1" customWidth="1"/>
    <col min="25" max="25" width="12.28515625" style="1" bestFit="1" customWidth="1"/>
    <col min="26" max="26" width="13.85546875" style="1" customWidth="1"/>
  </cols>
  <sheetData>
    <row r="1" spans="1:32" ht="26.25" x14ac:dyDescent="0.25">
      <c r="A1" s="124" t="s">
        <v>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1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32" ht="15.75" customHeight="1" x14ac:dyDescent="0.25">
      <c r="A2" s="4" t="s">
        <v>23</v>
      </c>
      <c r="B2" s="4" t="s">
        <v>8</v>
      </c>
      <c r="C2" s="4" t="s">
        <v>7</v>
      </c>
      <c r="D2" s="4" t="s">
        <v>2</v>
      </c>
      <c r="E2" s="4" t="s">
        <v>1</v>
      </c>
      <c r="F2" s="4" t="s">
        <v>6</v>
      </c>
      <c r="G2" s="4" t="s">
        <v>3</v>
      </c>
      <c r="H2" s="4" t="s">
        <v>21</v>
      </c>
      <c r="I2" s="4" t="s">
        <v>9</v>
      </c>
      <c r="J2" s="4" t="s">
        <v>4</v>
      </c>
      <c r="K2" s="4" t="s">
        <v>10</v>
      </c>
      <c r="L2" s="4" t="s">
        <v>24</v>
      </c>
      <c r="M2" s="4" t="s">
        <v>25</v>
      </c>
      <c r="N2" s="6" t="s">
        <v>5</v>
      </c>
      <c r="O2" s="39"/>
      <c r="P2" s="37" t="s">
        <v>27</v>
      </c>
      <c r="Q2" s="37" t="s">
        <v>28</v>
      </c>
      <c r="R2" s="38" t="s">
        <v>35</v>
      </c>
      <c r="S2" s="38" t="s">
        <v>203</v>
      </c>
      <c r="T2" s="38" t="s">
        <v>34</v>
      </c>
      <c r="U2" s="38" t="s">
        <v>30</v>
      </c>
      <c r="V2" s="37" t="s">
        <v>36</v>
      </c>
      <c r="W2" s="41" t="s">
        <v>31</v>
      </c>
      <c r="X2" s="37"/>
      <c r="Y2" s="37" t="s">
        <v>32</v>
      </c>
      <c r="Z2" s="38" t="s">
        <v>33</v>
      </c>
    </row>
    <row r="3" spans="1:32" x14ac:dyDescent="0.25">
      <c r="A3" s="89">
        <v>4.125</v>
      </c>
      <c r="B3" s="89">
        <v>1.625</v>
      </c>
      <c r="C3" s="89">
        <v>1.25</v>
      </c>
      <c r="D3" s="90">
        <v>0.125</v>
      </c>
      <c r="E3" s="90">
        <v>4.4999999999999998E-2</v>
      </c>
      <c r="F3" s="90">
        <f>(A3+B3)*C3</f>
        <v>7.1875</v>
      </c>
      <c r="G3" s="90">
        <f>(A3+B3)/E3</f>
        <v>127.77777777777779</v>
      </c>
      <c r="H3" s="90">
        <f t="shared" ref="H3:H6" si="0">C3/10</f>
        <v>0.125</v>
      </c>
      <c r="I3" s="90">
        <v>5</v>
      </c>
      <c r="J3" s="91">
        <f t="shared" ref="J3:J6" si="1">H3*G3/60</f>
        <v>0.26620370370370372</v>
      </c>
      <c r="K3" s="91">
        <f>J3+I3</f>
        <v>5.2662037037037042</v>
      </c>
      <c r="L3" s="92">
        <v>225</v>
      </c>
      <c r="M3" s="93">
        <f>L3/60</f>
        <v>3.75</v>
      </c>
      <c r="N3" s="94">
        <f>ROUNDUP(K3*M3,1)</f>
        <v>19.8</v>
      </c>
      <c r="O3" s="23" t="s">
        <v>42</v>
      </c>
      <c r="P3" s="30">
        <v>125</v>
      </c>
      <c r="Q3" s="31">
        <v>0.02</v>
      </c>
      <c r="R3" s="32">
        <v>10</v>
      </c>
      <c r="S3" s="35">
        <f>N3*R3</f>
        <v>198</v>
      </c>
      <c r="T3" s="35">
        <f>IF(S3&gt;Y3, S3, Y3)</f>
        <v>225</v>
      </c>
      <c r="U3" s="33">
        <f>T3+P3</f>
        <v>350</v>
      </c>
      <c r="V3" s="33">
        <f>ROUNDUP(U3*Q3,0)</f>
        <v>7</v>
      </c>
      <c r="W3" s="33">
        <f>U3+V3</f>
        <v>357</v>
      </c>
      <c r="X3" s="34"/>
      <c r="Y3" s="57">
        <v>225</v>
      </c>
      <c r="Z3" s="36">
        <f>ROUNDDOWN(Y3/N3,0)</f>
        <v>11</v>
      </c>
      <c r="AF3" t="s">
        <v>142</v>
      </c>
    </row>
    <row r="4" spans="1:32" ht="25.5" customHeight="1" x14ac:dyDescent="0.4">
      <c r="A4" s="136"/>
      <c r="B4" s="123" t="s">
        <v>84</v>
      </c>
      <c r="C4" s="116"/>
      <c r="D4" s="117"/>
      <c r="E4" s="117"/>
      <c r="F4" s="117"/>
      <c r="G4" s="117"/>
      <c r="H4" s="117"/>
      <c r="I4" s="117"/>
      <c r="J4" s="117"/>
      <c r="K4" s="117"/>
      <c r="L4" s="118"/>
      <c r="M4" s="119"/>
      <c r="N4" s="120"/>
      <c r="O4" s="82"/>
      <c r="P4" s="84"/>
      <c r="Q4" s="121"/>
      <c r="R4" s="82"/>
      <c r="S4" s="82"/>
      <c r="T4" s="83"/>
      <c r="U4" s="83"/>
      <c r="V4" s="83"/>
      <c r="W4" s="83"/>
      <c r="X4" s="82"/>
      <c r="Y4" s="82"/>
      <c r="Z4" s="122"/>
    </row>
    <row r="5" spans="1:32" ht="16.5" customHeight="1" x14ac:dyDescent="0.25">
      <c r="A5" s="4" t="s">
        <v>23</v>
      </c>
      <c r="B5" s="4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28</v>
      </c>
      <c r="R5" s="114" t="s">
        <v>35</v>
      </c>
      <c r="S5" s="38" t="s">
        <v>203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32" x14ac:dyDescent="0.25">
      <c r="A6" s="89">
        <v>1.5</v>
      </c>
      <c r="B6" s="89">
        <v>2.875</v>
      </c>
      <c r="C6" s="89">
        <v>4.75</v>
      </c>
      <c r="D6" s="90">
        <v>0.125</v>
      </c>
      <c r="E6" s="90">
        <v>4.4999999999999998E-2</v>
      </c>
      <c r="F6" s="90">
        <f t="shared" ref="F6" si="2">(A6+B6)*C6</f>
        <v>20.78125</v>
      </c>
      <c r="G6" s="90">
        <f t="shared" ref="G6" si="3">(A6+B6)/E6</f>
        <v>97.222222222222229</v>
      </c>
      <c r="H6" s="90">
        <f t="shared" si="0"/>
        <v>0.47499999999999998</v>
      </c>
      <c r="I6" s="90">
        <v>6</v>
      </c>
      <c r="J6" s="91">
        <f t="shared" si="1"/>
        <v>0.76967592592592593</v>
      </c>
      <c r="K6" s="91">
        <f t="shared" ref="K6" si="4">J6+I6</f>
        <v>6.7696759259259256</v>
      </c>
      <c r="L6" s="92">
        <v>250</v>
      </c>
      <c r="M6" s="93">
        <f t="shared" ref="M6" si="5">L6/60</f>
        <v>4.166666666666667</v>
      </c>
      <c r="N6" s="94">
        <f t="shared" ref="N6" si="6">ROUNDUP(K6*M6,1)</f>
        <v>28.3</v>
      </c>
      <c r="O6" s="23" t="s">
        <v>43</v>
      </c>
      <c r="P6" s="30">
        <v>125</v>
      </c>
      <c r="Q6" s="31">
        <v>0.02</v>
      </c>
      <c r="R6" s="32">
        <v>1</v>
      </c>
      <c r="S6" s="50">
        <f>N6*R6</f>
        <v>28.3</v>
      </c>
      <c r="T6" s="50">
        <f>IF(S6&gt;Y6, S6, Y6)</f>
        <v>250</v>
      </c>
      <c r="U6" s="54">
        <f>T6+P6</f>
        <v>375</v>
      </c>
      <c r="V6" s="33">
        <f t="shared" ref="V6" si="7">ROUNDUP(U6*Q6,0)</f>
        <v>8</v>
      </c>
      <c r="W6" s="33">
        <f t="shared" ref="W6" si="8">U6+V6</f>
        <v>383</v>
      </c>
      <c r="X6" s="48"/>
      <c r="Y6" s="57">
        <v>250</v>
      </c>
      <c r="Z6" s="36">
        <f t="shared" ref="Z6" si="9">ROUNDDOWN(Y6/N6,0)</f>
        <v>8</v>
      </c>
    </row>
    <row r="7" spans="1:32" ht="18.75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 s="24"/>
      <c r="P7" s="28"/>
      <c r="Q7" s="29"/>
      <c r="R7" s="21"/>
      <c r="S7" s="21"/>
      <c r="T7" s="27"/>
      <c r="U7" s="27"/>
      <c r="V7" s="27"/>
      <c r="W7" s="27"/>
      <c r="X7" s="25"/>
      <c r="Y7" s="21"/>
      <c r="Z7" s="21"/>
    </row>
    <row r="8" spans="1:32" ht="26.25" x14ac:dyDescent="0.25">
      <c r="A8"/>
      <c r="B8" s="134" t="s">
        <v>12</v>
      </c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82"/>
      <c r="P8" s="84"/>
      <c r="Q8" s="121"/>
      <c r="R8" s="82"/>
      <c r="S8" s="82"/>
      <c r="T8" s="83"/>
      <c r="U8" s="83"/>
      <c r="V8" s="83"/>
      <c r="W8" s="83"/>
      <c r="X8" s="82"/>
      <c r="Y8" s="82"/>
      <c r="Z8" s="122"/>
    </row>
    <row r="9" spans="1:32" x14ac:dyDescent="0.25">
      <c r="A9"/>
      <c r="B9" s="111" t="s">
        <v>13</v>
      </c>
      <c r="C9" s="111" t="s">
        <v>7</v>
      </c>
      <c r="D9" s="125" t="s">
        <v>2</v>
      </c>
      <c r="E9" s="111" t="s">
        <v>1</v>
      </c>
      <c r="F9" s="126" t="s">
        <v>20</v>
      </c>
      <c r="G9" s="111" t="s">
        <v>14</v>
      </c>
      <c r="H9" s="111" t="s">
        <v>15</v>
      </c>
      <c r="I9" s="111" t="s">
        <v>17</v>
      </c>
      <c r="J9" s="111" t="s">
        <v>16</v>
      </c>
      <c r="K9" s="111" t="s">
        <v>18</v>
      </c>
      <c r="L9" s="125" t="s">
        <v>24</v>
      </c>
      <c r="M9" s="125" t="s">
        <v>25</v>
      </c>
      <c r="N9" s="112" t="s">
        <v>19</v>
      </c>
      <c r="O9" s="40"/>
      <c r="P9" s="127" t="s">
        <v>27</v>
      </c>
      <c r="Q9" s="128"/>
      <c r="R9" s="129" t="s">
        <v>35</v>
      </c>
      <c r="S9" s="38" t="s">
        <v>203</v>
      </c>
      <c r="T9" s="130" t="s">
        <v>34</v>
      </c>
      <c r="U9" s="131" t="s">
        <v>30</v>
      </c>
      <c r="V9" s="132" t="s">
        <v>36</v>
      </c>
      <c r="W9" s="133" t="s">
        <v>37</v>
      </c>
      <c r="X9" s="21"/>
      <c r="Y9" s="113" t="s">
        <v>32</v>
      </c>
      <c r="Z9" s="113" t="s">
        <v>33</v>
      </c>
    </row>
    <row r="10" spans="1:32" x14ac:dyDescent="0.25">
      <c r="A10"/>
      <c r="B10" s="137">
        <v>5.5</v>
      </c>
      <c r="C10" s="137">
        <v>3.375</v>
      </c>
      <c r="D10" s="105" t="s">
        <v>0</v>
      </c>
      <c r="E10" s="138">
        <v>4.4999999999999998E-2</v>
      </c>
      <c r="F10" s="138">
        <f>B10*3.14</f>
        <v>17.27</v>
      </c>
      <c r="G10" s="139">
        <f>F10/E10</f>
        <v>383.77777777777777</v>
      </c>
      <c r="H10" s="138">
        <f>C10/10</f>
        <v>0.33750000000000002</v>
      </c>
      <c r="I10" s="138">
        <v>5</v>
      </c>
      <c r="J10" s="140">
        <f>H10*G10/60</f>
        <v>2.1587499999999999</v>
      </c>
      <c r="K10" s="141">
        <f>J10+I10</f>
        <v>7.1587499999999995</v>
      </c>
      <c r="L10" s="106">
        <v>225</v>
      </c>
      <c r="M10" s="107">
        <f>L10/60</f>
        <v>3.75</v>
      </c>
      <c r="N10" s="142">
        <f>ROUNDUP(K10*M10,1)</f>
        <v>26.900000000000002</v>
      </c>
      <c r="O10" s="21" t="s">
        <v>88</v>
      </c>
      <c r="P10" s="108">
        <v>125</v>
      </c>
      <c r="Q10" s="109">
        <v>0.02</v>
      </c>
      <c r="R10" s="110">
        <v>135</v>
      </c>
      <c r="S10" s="143">
        <f>N10*R10</f>
        <v>3631.5000000000005</v>
      </c>
      <c r="T10" s="143">
        <f>IF(S10&gt;Y10, S10, Y10)</f>
        <v>3631.5000000000005</v>
      </c>
      <c r="U10" s="144">
        <f>T10+P10</f>
        <v>3756.5000000000005</v>
      </c>
      <c r="V10" s="54">
        <f>ROUNDUP(U10*Q10,0)</f>
        <v>76</v>
      </c>
      <c r="W10" s="54">
        <f t="shared" ref="W10:W12" si="10">U10+V10</f>
        <v>3832.5000000000005</v>
      </c>
      <c r="X10" s="21"/>
      <c r="Y10" s="283">
        <v>225</v>
      </c>
      <c r="Z10" s="145">
        <f>ROUNDDOWN(Y10/N10,0)</f>
        <v>8</v>
      </c>
    </row>
    <row r="11" spans="1:32" ht="26.25" x14ac:dyDescent="0.25">
      <c r="A11"/>
      <c r="B11" s="134" t="s">
        <v>86</v>
      </c>
      <c r="C11" s="99"/>
      <c r="D11" s="100"/>
      <c r="E11" s="158"/>
      <c r="F11" s="158"/>
      <c r="G11" s="159"/>
      <c r="H11" s="158"/>
      <c r="I11" s="158"/>
      <c r="J11" s="158"/>
      <c r="K11" s="159"/>
      <c r="L11" s="101"/>
      <c r="M11" s="102"/>
      <c r="N11" s="160"/>
      <c r="O11" s="82"/>
      <c r="P11" s="103"/>
      <c r="Q11" s="31"/>
      <c r="R11" s="34"/>
      <c r="S11" s="34"/>
      <c r="T11" s="104"/>
      <c r="U11" s="104"/>
      <c r="V11" s="104"/>
      <c r="W11" s="104"/>
      <c r="X11" s="82"/>
      <c r="Y11" s="34"/>
      <c r="Z11" s="34"/>
    </row>
    <row r="12" spans="1:32" x14ac:dyDescent="0.25">
      <c r="A12"/>
      <c r="B12" s="146">
        <v>3</v>
      </c>
      <c r="C12" s="146">
        <v>2</v>
      </c>
      <c r="D12" s="147"/>
      <c r="E12" s="148">
        <v>4.4999999999999998E-2</v>
      </c>
      <c r="F12" s="148">
        <f>B12*3.14</f>
        <v>9.42</v>
      </c>
      <c r="G12" s="149">
        <f>F12/E12</f>
        <v>209.33333333333334</v>
      </c>
      <c r="H12" s="148">
        <f>C12/10</f>
        <v>0.2</v>
      </c>
      <c r="I12" s="148">
        <v>6</v>
      </c>
      <c r="J12" s="150">
        <f>H12*G12/60</f>
        <v>0.69777777777777794</v>
      </c>
      <c r="K12" s="151">
        <f>J12+I12</f>
        <v>6.6977777777777776</v>
      </c>
      <c r="L12" s="152">
        <v>250</v>
      </c>
      <c r="M12" s="153">
        <f>L12/60</f>
        <v>4.166666666666667</v>
      </c>
      <c r="N12" s="154">
        <f>ROUNDUP(K12*M12,1)</f>
        <v>28</v>
      </c>
      <c r="O12" s="21" t="s">
        <v>87</v>
      </c>
      <c r="P12" s="155">
        <v>125</v>
      </c>
      <c r="Q12" s="156">
        <v>0.02</v>
      </c>
      <c r="R12" s="157">
        <v>4</v>
      </c>
      <c r="S12" s="51">
        <f>N12*R12</f>
        <v>112</v>
      </c>
      <c r="T12" s="284">
        <f>IF(S12&gt;Y12, S12, Y12)</f>
        <v>250</v>
      </c>
      <c r="U12" s="55">
        <f>T12+P12</f>
        <v>375</v>
      </c>
      <c r="V12" s="55">
        <f>ROUNDUP(U12*Q12,0)</f>
        <v>8</v>
      </c>
      <c r="W12" s="55">
        <f t="shared" si="10"/>
        <v>383</v>
      </c>
      <c r="X12" s="21"/>
      <c r="Y12" s="58">
        <v>250</v>
      </c>
      <c r="Z12" s="47">
        <f>ROUNDDOWN(Y12/N12,0)</f>
        <v>8</v>
      </c>
    </row>
    <row r="13" spans="1:32" x14ac:dyDescent="0.25"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32" x14ac:dyDescent="0.25"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32" ht="21" x14ac:dyDescent="0.35">
      <c r="A15" s="171"/>
      <c r="B15" s="172" t="s">
        <v>119</v>
      </c>
      <c r="C15" s="173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32" x14ac:dyDescent="0.25">
      <c r="A16" s="174" t="s">
        <v>32</v>
      </c>
      <c r="B16"/>
      <c r="C16" s="175">
        <v>225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x14ac:dyDescent="0.25">
      <c r="A17" s="174" t="s">
        <v>120</v>
      </c>
      <c r="B17"/>
      <c r="C17" s="175">
        <v>125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25">
      <c r="A18" s="174" t="s">
        <v>36</v>
      </c>
      <c r="B18"/>
      <c r="C18" s="200" t="s">
        <v>122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25">
      <c r="A19" s="174" t="s">
        <v>121</v>
      </c>
      <c r="B19"/>
      <c r="C19" s="200" t="s">
        <v>123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5">
      <c r="A20" s="177" t="s">
        <v>124</v>
      </c>
      <c r="B20" s="178"/>
      <c r="C20" s="179" t="s">
        <v>125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25"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8698-0DCA-4471-A810-B47C4AD07827}">
  <sheetPr>
    <tabColor rgb="FF92D050"/>
  </sheetPr>
  <dimension ref="A1:AC34"/>
  <sheetViews>
    <sheetView zoomScaleNormal="100" workbookViewId="0">
      <selection activeCell="A3" sqref="A3"/>
    </sheetView>
  </sheetViews>
  <sheetFormatPr defaultRowHeight="15" x14ac:dyDescent="0.25"/>
  <cols>
    <col min="4" max="4" width="9.140625" hidden="1" customWidth="1"/>
    <col min="5" max="5" width="9.140625" customWidth="1"/>
    <col min="6" max="8" width="9.140625" hidden="1" customWidth="1"/>
    <col min="9" max="13" width="9.140625" customWidth="1"/>
    <col min="14" max="14" width="12.7109375" customWidth="1"/>
    <col min="15" max="15" width="9.140625" customWidth="1"/>
    <col min="16" max="16" width="14.85546875" bestFit="1" customWidth="1"/>
    <col min="17" max="17" width="8.140625" hidden="1" customWidth="1"/>
    <col min="18" max="18" width="11.42578125" customWidth="1"/>
    <col min="19" max="19" width="11.42578125" hidden="1" customWidth="1"/>
    <col min="20" max="20" width="13.28515625" customWidth="1"/>
    <col min="21" max="21" width="11.5703125" customWidth="1"/>
    <col min="23" max="23" width="11.5703125" customWidth="1"/>
    <col min="24" max="24" width="10.140625" customWidth="1"/>
    <col min="25" max="25" width="13.7109375" customWidth="1"/>
    <col min="26" max="26" width="14.28515625" customWidth="1"/>
    <col min="27" max="27" width="15" customWidth="1"/>
    <col min="28" max="28" width="10" customWidth="1"/>
    <col min="29" max="29" width="16.42578125" customWidth="1"/>
  </cols>
  <sheetData>
    <row r="1" spans="1:26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18" customHeight="1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358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1.25</v>
      </c>
      <c r="B3" s="65">
        <v>36</v>
      </c>
      <c r="C3" s="65">
        <v>53</v>
      </c>
      <c r="D3" s="66">
        <v>0.125</v>
      </c>
      <c r="E3" s="66">
        <v>0.1</v>
      </c>
      <c r="F3" s="66">
        <f>(A3+B3)*C3</f>
        <v>1974.25</v>
      </c>
      <c r="G3" s="66">
        <f>(A3+B3)/E3</f>
        <v>372.5</v>
      </c>
      <c r="H3" s="66">
        <f t="shared" ref="H3" si="0">C3/10</f>
        <v>5.3</v>
      </c>
      <c r="I3" s="66">
        <v>2.5</v>
      </c>
      <c r="J3" s="67">
        <f t="shared" ref="J3" si="1">H3*G3/60</f>
        <v>32.904166666666669</v>
      </c>
      <c r="K3" s="67">
        <f>J3+I3</f>
        <v>35.404166666666669</v>
      </c>
      <c r="L3" s="68">
        <v>250</v>
      </c>
      <c r="M3" s="69">
        <f>L3/60</f>
        <v>4.166666666666667</v>
      </c>
      <c r="N3" s="70">
        <f>ROUNDUP(K3*M3,1)</f>
        <v>147.6</v>
      </c>
      <c r="O3" s="56"/>
      <c r="P3" s="30">
        <v>125</v>
      </c>
      <c r="Q3" s="71">
        <v>0.02</v>
      </c>
      <c r="R3" s="32">
        <v>4</v>
      </c>
      <c r="S3" s="35">
        <f>N3*R3</f>
        <v>590.4</v>
      </c>
      <c r="T3" s="33">
        <f>IF(S3&gt;Y3,S3,Y3)</f>
        <v>590.4</v>
      </c>
      <c r="U3" s="33">
        <f>T3+P3</f>
        <v>715.4</v>
      </c>
      <c r="V3" s="33">
        <f>ROUNDUP(U3*Q3,0)</f>
        <v>15</v>
      </c>
      <c r="W3" s="33">
        <f t="shared" ref="W3" si="2">U3+V3</f>
        <v>730.4</v>
      </c>
      <c r="X3" s="34"/>
      <c r="Y3" s="57">
        <v>250</v>
      </c>
      <c r="Z3" s="36">
        <f>ROUNDDOWN(Y3/N3,0)</f>
        <v>1</v>
      </c>
    </row>
    <row r="4" spans="1:26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0"/>
      <c r="T4" s="63"/>
      <c r="U4" s="63"/>
      <c r="V4" s="63"/>
      <c r="W4" s="63"/>
      <c r="X4" s="60"/>
      <c r="Y4" s="60"/>
      <c r="Z4" s="64"/>
    </row>
    <row r="5" spans="1:26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114" t="s">
        <v>358</v>
      </c>
      <c r="T5" s="52" t="s">
        <v>34</v>
      </c>
      <c r="U5" s="44" t="s">
        <v>30</v>
      </c>
      <c r="V5" s="53" t="s">
        <v>36</v>
      </c>
      <c r="W5" s="46" t="s">
        <v>37</v>
      </c>
      <c r="X5" s="21"/>
      <c r="Y5" s="37" t="s">
        <v>32</v>
      </c>
      <c r="Z5" s="37" t="s">
        <v>33</v>
      </c>
    </row>
    <row r="6" spans="1:26" x14ac:dyDescent="0.25">
      <c r="B6" s="14">
        <v>2.75</v>
      </c>
      <c r="C6" s="14">
        <v>72</v>
      </c>
      <c r="D6" s="66" t="s">
        <v>0</v>
      </c>
      <c r="E6" s="16">
        <v>6.5000000000000002E-2</v>
      </c>
      <c r="F6" s="16">
        <f>B6*3.14</f>
        <v>8.6349999999999998</v>
      </c>
      <c r="G6" s="17">
        <f>F6/E6</f>
        <v>132.84615384615384</v>
      </c>
      <c r="H6" s="16">
        <f>C6/10</f>
        <v>7.2</v>
      </c>
      <c r="I6" s="16">
        <v>2.5</v>
      </c>
      <c r="J6" s="19">
        <f>H6*G6/60</f>
        <v>15.941538461538462</v>
      </c>
      <c r="K6" s="20">
        <f>J6+I6</f>
        <v>18.441538461538464</v>
      </c>
      <c r="L6" s="68">
        <v>250</v>
      </c>
      <c r="M6" s="69">
        <f>L6/60</f>
        <v>4.166666666666667</v>
      </c>
      <c r="N6" s="18">
        <f>ROUNDUP(K6*M6,1)</f>
        <v>76.899999999999991</v>
      </c>
      <c r="O6" s="56"/>
      <c r="P6" s="30">
        <v>125</v>
      </c>
      <c r="Q6" s="71">
        <v>0.02</v>
      </c>
      <c r="R6" s="32">
        <v>4</v>
      </c>
      <c r="S6" s="35">
        <f>N6*R6</f>
        <v>307.59999999999997</v>
      </c>
      <c r="T6" s="33">
        <f>IF(S6&gt;Y6,S6,Y6)</f>
        <v>307.59999999999997</v>
      </c>
      <c r="U6" s="33">
        <f>T6+P6</f>
        <v>432.59999999999997</v>
      </c>
      <c r="V6" s="33">
        <f>ROUNDUP(U6*Q6,0)</f>
        <v>9</v>
      </c>
      <c r="W6" s="33">
        <f t="shared" ref="W6" si="3">U6+V6</f>
        <v>441.59999999999997</v>
      </c>
      <c r="X6" s="56"/>
      <c r="Y6" s="58">
        <v>250</v>
      </c>
      <c r="Z6" s="47">
        <f>ROUNDDOWN(Y6/N6,0)</f>
        <v>3</v>
      </c>
    </row>
    <row r="7" spans="1:26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8"/>
      <c r="Q7" s="29"/>
      <c r="R7" s="21"/>
      <c r="S7" s="21"/>
      <c r="T7" s="27"/>
      <c r="U7" s="27"/>
      <c r="V7" s="27"/>
      <c r="W7" s="27"/>
      <c r="X7" s="25"/>
      <c r="Y7" s="21"/>
      <c r="Z7" s="21"/>
    </row>
    <row r="8" spans="1:26" x14ac:dyDescent="0.25">
      <c r="A8" s="1"/>
    </row>
    <row r="9" spans="1:26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88"/>
    </row>
    <row r="10" spans="1:26" ht="30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39"/>
      <c r="P10" s="113" t="s">
        <v>27</v>
      </c>
      <c r="Q10" s="113" t="s">
        <v>38</v>
      </c>
      <c r="R10" s="114" t="s">
        <v>35</v>
      </c>
      <c r="S10" s="114" t="s">
        <v>358</v>
      </c>
      <c r="T10" s="114" t="s">
        <v>34</v>
      </c>
      <c r="U10" s="114" t="s">
        <v>30</v>
      </c>
      <c r="V10" s="113" t="s">
        <v>36</v>
      </c>
      <c r="W10" s="115" t="s">
        <v>31</v>
      </c>
      <c r="X10" s="113"/>
      <c r="Y10" s="113" t="s">
        <v>32</v>
      </c>
      <c r="Z10" s="114" t="s">
        <v>33</v>
      </c>
    </row>
    <row r="11" spans="1:26" x14ac:dyDescent="0.25">
      <c r="A11" s="65">
        <v>0.5</v>
      </c>
      <c r="B11" s="65">
        <v>7.5</v>
      </c>
      <c r="C11" s="65">
        <v>8.5</v>
      </c>
      <c r="D11" s="66">
        <v>0.125</v>
      </c>
      <c r="E11" s="66">
        <v>6.5000000000000002E-2</v>
      </c>
      <c r="F11" s="66">
        <f>(A11+B11)*C11</f>
        <v>68</v>
      </c>
      <c r="G11" s="66">
        <f>(A11+B11)/E11</f>
        <v>123.07692307692307</v>
      </c>
      <c r="H11" s="66">
        <f t="shared" ref="H11" si="4">C11/10</f>
        <v>0.85</v>
      </c>
      <c r="I11" s="66">
        <v>3</v>
      </c>
      <c r="J11" s="67">
        <f t="shared" ref="J11" si="5">H11*G11/60</f>
        <v>1.7435897435897434</v>
      </c>
      <c r="K11" s="67">
        <f>J11+I11</f>
        <v>4.7435897435897436</v>
      </c>
      <c r="L11" s="68">
        <v>275</v>
      </c>
      <c r="M11" s="69">
        <f>L11/60</f>
        <v>4.583333333333333</v>
      </c>
      <c r="N11" s="70">
        <f>ROUNDUP(K11*M11,1)</f>
        <v>21.8</v>
      </c>
      <c r="O11" s="56"/>
      <c r="P11" s="30">
        <v>125</v>
      </c>
      <c r="Q11" s="71">
        <v>0.02</v>
      </c>
      <c r="R11" s="32">
        <v>8</v>
      </c>
      <c r="S11" s="35">
        <f>N11*R11</f>
        <v>174.4</v>
      </c>
      <c r="T11" s="33">
        <f>IF(S11&gt;Y11,S11,Y11)</f>
        <v>275</v>
      </c>
      <c r="U11" s="33">
        <f>T11+P11</f>
        <v>400</v>
      </c>
      <c r="V11" s="33">
        <f>ROUNDUP(U11*Q11,0)</f>
        <v>8</v>
      </c>
      <c r="W11" s="33">
        <f>U11+V11</f>
        <v>408</v>
      </c>
      <c r="X11" s="34"/>
      <c r="Y11" s="57">
        <v>275</v>
      </c>
      <c r="Z11" s="36">
        <f>ROUNDDOWN(Y11/N11,0)</f>
        <v>12</v>
      </c>
    </row>
    <row r="12" spans="1:26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0"/>
      <c r="S12" s="60"/>
      <c r="T12" s="63"/>
      <c r="U12" s="63"/>
      <c r="V12" s="63"/>
      <c r="W12" s="63"/>
      <c r="X12" s="60"/>
      <c r="Y12" s="60"/>
      <c r="Z12" s="64"/>
    </row>
    <row r="13" spans="1:26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40"/>
      <c r="P13" s="42" t="s">
        <v>27</v>
      </c>
      <c r="Q13" s="43" t="s">
        <v>38</v>
      </c>
      <c r="R13" s="49" t="s">
        <v>35</v>
      </c>
      <c r="S13" s="114" t="s">
        <v>358</v>
      </c>
      <c r="T13" s="52" t="s">
        <v>34</v>
      </c>
      <c r="U13" s="44" t="s">
        <v>30</v>
      </c>
      <c r="V13" s="53" t="s">
        <v>36</v>
      </c>
      <c r="W13" s="46" t="s">
        <v>37</v>
      </c>
      <c r="X13" s="21"/>
      <c r="Y13" s="37" t="s">
        <v>32</v>
      </c>
      <c r="Z13" s="37" t="s">
        <v>33</v>
      </c>
    </row>
    <row r="14" spans="1:26" x14ac:dyDescent="0.25">
      <c r="A14" s="1"/>
      <c r="B14" s="14">
        <v>2</v>
      </c>
      <c r="C14" s="14">
        <v>2</v>
      </c>
      <c r="D14" s="66" t="s">
        <v>0</v>
      </c>
      <c r="E14" s="16">
        <v>6.5000000000000002E-2</v>
      </c>
      <c r="F14" s="16">
        <f>B14*3.14</f>
        <v>6.28</v>
      </c>
      <c r="G14" s="17">
        <f>F14/E14</f>
        <v>96.615384615384613</v>
      </c>
      <c r="H14" s="16">
        <f>C14/10</f>
        <v>0.2</v>
      </c>
      <c r="I14" s="16">
        <v>3</v>
      </c>
      <c r="J14" s="19">
        <f>H14*G14/60</f>
        <v>0.32205128205128208</v>
      </c>
      <c r="K14" s="20">
        <f>J14+I14</f>
        <v>3.322051282051282</v>
      </c>
      <c r="L14" s="68">
        <v>275</v>
      </c>
      <c r="M14" s="69">
        <f>L14/60</f>
        <v>4.583333333333333</v>
      </c>
      <c r="N14" s="18">
        <f>ROUNDUP(K14*M14,1)</f>
        <v>15.299999999999999</v>
      </c>
      <c r="O14" s="56"/>
      <c r="P14" s="30">
        <v>125</v>
      </c>
      <c r="Q14" s="71">
        <v>0.02</v>
      </c>
      <c r="R14" s="32">
        <v>1</v>
      </c>
      <c r="S14" s="35">
        <f>N14*R14</f>
        <v>15.299999999999999</v>
      </c>
      <c r="T14" s="33">
        <f>IF(S14&gt;Y14,S14,Y14)</f>
        <v>275</v>
      </c>
      <c r="U14" s="33">
        <f>T14+P14</f>
        <v>400</v>
      </c>
      <c r="V14" s="33">
        <f>ROUNDUP(U14*Q14,0)</f>
        <v>8</v>
      </c>
      <c r="W14" s="33">
        <f t="shared" ref="W14" si="6">U14+V14</f>
        <v>408</v>
      </c>
      <c r="X14" s="56"/>
      <c r="Y14" s="58">
        <v>275</v>
      </c>
      <c r="Z14" s="47">
        <f>ROUNDDOWN(Y14/N14,0)</f>
        <v>17</v>
      </c>
    </row>
    <row r="17" spans="1:29" ht="24" thickBot="1" x14ac:dyDescent="0.4">
      <c r="A17" s="171"/>
      <c r="B17" s="172" t="s">
        <v>119</v>
      </c>
      <c r="C17" s="173"/>
      <c r="I17" s="171"/>
      <c r="J17" s="198"/>
      <c r="K17" s="198"/>
      <c r="L17" s="198"/>
      <c r="M17" s="198"/>
      <c r="N17" s="172" t="s">
        <v>149</v>
      </c>
      <c r="O17" s="198"/>
      <c r="P17" s="198"/>
      <c r="Q17" s="198"/>
      <c r="R17" s="173"/>
      <c r="U17" s="494" t="s">
        <v>348</v>
      </c>
      <c r="V17" s="436"/>
      <c r="W17" s="436"/>
      <c r="X17" s="436"/>
      <c r="Y17" s="1"/>
      <c r="Z17" s="460" t="s">
        <v>362</v>
      </c>
      <c r="AA17" s="461"/>
      <c r="AB17" s="461"/>
      <c r="AC17" s="461"/>
    </row>
    <row r="18" spans="1:29" ht="16.5" thickTop="1" x14ac:dyDescent="0.25">
      <c r="A18" s="174" t="s">
        <v>32</v>
      </c>
      <c r="C18" s="175">
        <v>250</v>
      </c>
      <c r="I18" s="174" t="s">
        <v>150</v>
      </c>
      <c r="R18" s="176"/>
      <c r="U18" s="362" t="s">
        <v>207</v>
      </c>
      <c r="V18" s="363"/>
      <c r="W18" s="352"/>
      <c r="X18" s="364">
        <f>N3</f>
        <v>147.6</v>
      </c>
      <c r="Y18" s="1"/>
      <c r="Z18" s="462" t="s">
        <v>207</v>
      </c>
      <c r="AA18" s="463"/>
      <c r="AB18" s="383"/>
      <c r="AC18" s="470">
        <f>N3</f>
        <v>147.6</v>
      </c>
    </row>
    <row r="19" spans="1:29" ht="15.75" x14ac:dyDescent="0.25">
      <c r="A19" s="174" t="s">
        <v>120</v>
      </c>
      <c r="C19" s="175">
        <v>125</v>
      </c>
      <c r="I19" s="174" t="s">
        <v>151</v>
      </c>
      <c r="R19" s="176"/>
      <c r="U19" s="365" t="s">
        <v>208</v>
      </c>
      <c r="V19" s="1"/>
      <c r="X19" s="366">
        <f>R3</f>
        <v>4</v>
      </c>
      <c r="Y19" s="1"/>
      <c r="Z19" s="464" t="s">
        <v>208</v>
      </c>
      <c r="AA19" s="1"/>
      <c r="AC19" s="471">
        <f>R3</f>
        <v>4</v>
      </c>
    </row>
    <row r="20" spans="1:29" ht="15.75" x14ac:dyDescent="0.25">
      <c r="A20" s="174" t="s">
        <v>36</v>
      </c>
      <c r="C20" s="176" t="s">
        <v>122</v>
      </c>
      <c r="I20" s="174"/>
      <c r="R20" s="176"/>
      <c r="U20" s="365" t="s">
        <v>209</v>
      </c>
      <c r="V20" s="1"/>
      <c r="X20" s="367">
        <f>T3</f>
        <v>590.4</v>
      </c>
      <c r="Y20" s="1"/>
      <c r="Z20" s="464" t="s">
        <v>209</v>
      </c>
      <c r="AA20" s="1"/>
      <c r="AC20" s="469">
        <f>T3</f>
        <v>590.4</v>
      </c>
    </row>
    <row r="21" spans="1:29" ht="15.75" x14ac:dyDescent="0.25">
      <c r="A21" s="174" t="s">
        <v>121</v>
      </c>
      <c r="C21" s="176" t="s">
        <v>123</v>
      </c>
      <c r="I21" s="174" t="s">
        <v>152</v>
      </c>
      <c r="R21" s="176"/>
      <c r="U21" s="365" t="s">
        <v>210</v>
      </c>
      <c r="V21" s="1"/>
      <c r="X21" s="367">
        <f>V3</f>
        <v>15</v>
      </c>
      <c r="Y21" s="1"/>
      <c r="Z21" s="464" t="s">
        <v>210</v>
      </c>
      <c r="AA21" s="1"/>
      <c r="AC21" s="469">
        <f>V3</f>
        <v>15</v>
      </c>
    </row>
    <row r="22" spans="1:29" ht="15.75" x14ac:dyDescent="0.25">
      <c r="A22" s="177" t="s">
        <v>124</v>
      </c>
      <c r="B22" s="178"/>
      <c r="C22" s="179">
        <v>100</v>
      </c>
      <c r="I22" s="174" t="s">
        <v>153</v>
      </c>
      <c r="R22" s="176"/>
      <c r="U22" s="365" t="s">
        <v>216</v>
      </c>
      <c r="X22" s="368">
        <f>P3</f>
        <v>125</v>
      </c>
      <c r="Y22" s="1"/>
      <c r="Z22" s="464" t="s">
        <v>216</v>
      </c>
      <c r="AC22" s="465">
        <f>P3</f>
        <v>125</v>
      </c>
    </row>
    <row r="23" spans="1:29" ht="15.75" x14ac:dyDescent="0.25">
      <c r="I23" s="174"/>
      <c r="R23" s="176"/>
      <c r="U23" s="365" t="s">
        <v>211</v>
      </c>
      <c r="V23" s="1"/>
      <c r="X23" s="367">
        <f>W3</f>
        <v>730.4</v>
      </c>
      <c r="Y23" s="1"/>
      <c r="Z23" s="464" t="s">
        <v>211</v>
      </c>
      <c r="AA23" s="1"/>
      <c r="AC23" s="469">
        <f>W3</f>
        <v>730.4</v>
      </c>
    </row>
    <row r="24" spans="1:29" ht="16.5" thickBot="1" x14ac:dyDescent="0.3">
      <c r="I24" s="174" t="s">
        <v>154</v>
      </c>
      <c r="R24" s="176"/>
      <c r="U24" s="369" t="s">
        <v>346</v>
      </c>
      <c r="V24" s="354"/>
      <c r="W24" s="437"/>
      <c r="X24" s="438" t="s">
        <v>347</v>
      </c>
      <c r="Y24" s="1"/>
      <c r="Z24" s="466" t="s">
        <v>346</v>
      </c>
      <c r="AA24" s="388"/>
      <c r="AB24" s="467"/>
      <c r="AC24" s="468" t="s">
        <v>347</v>
      </c>
    </row>
    <row r="25" spans="1:29" ht="15.75" thickTop="1" x14ac:dyDescent="0.25">
      <c r="I25" s="177" t="s">
        <v>155</v>
      </c>
      <c r="J25" s="178"/>
      <c r="K25" s="178"/>
      <c r="L25" s="178"/>
      <c r="M25" s="178"/>
      <c r="N25" s="178"/>
      <c r="O25" s="178"/>
      <c r="P25" s="178"/>
      <c r="Q25" s="178"/>
      <c r="R25" s="199"/>
      <c r="W25" s="1"/>
      <c r="X25" s="1"/>
      <c r="Y25" s="1"/>
    </row>
    <row r="26" spans="1:29" ht="24" thickBot="1" x14ac:dyDescent="0.4">
      <c r="U26" s="541" t="s">
        <v>284</v>
      </c>
      <c r="V26" s="541"/>
      <c r="W26" s="541"/>
      <c r="X26" s="541"/>
      <c r="Y26" s="1"/>
    </row>
    <row r="27" spans="1:29" ht="16.5" thickTop="1" x14ac:dyDescent="0.25">
      <c r="U27" s="362" t="s">
        <v>207</v>
      </c>
      <c r="V27" s="363"/>
      <c r="W27" s="352"/>
      <c r="X27" s="364">
        <f>N6</f>
        <v>76.899999999999991</v>
      </c>
      <c r="Y27" s="1"/>
    </row>
    <row r="28" spans="1:29" ht="15.75" x14ac:dyDescent="0.25">
      <c r="U28" s="365" t="s">
        <v>208</v>
      </c>
      <c r="V28" s="1"/>
      <c r="X28" s="366">
        <f>R6</f>
        <v>4</v>
      </c>
      <c r="Y28" s="1"/>
    </row>
    <row r="29" spans="1:29" ht="15.75" x14ac:dyDescent="0.25">
      <c r="U29" s="365" t="s">
        <v>209</v>
      </c>
      <c r="V29" s="1"/>
      <c r="X29" s="367">
        <f>T6</f>
        <v>307.59999999999997</v>
      </c>
      <c r="Y29" s="1"/>
    </row>
    <row r="30" spans="1:29" ht="15.75" x14ac:dyDescent="0.25">
      <c r="U30" s="365" t="s">
        <v>210</v>
      </c>
      <c r="V30" s="1"/>
      <c r="X30" s="367">
        <f>V6</f>
        <v>9</v>
      </c>
      <c r="Y30" s="1"/>
    </row>
    <row r="31" spans="1:29" ht="15.75" x14ac:dyDescent="0.25">
      <c r="U31" s="365" t="s">
        <v>216</v>
      </c>
      <c r="X31" s="368">
        <f>P6</f>
        <v>125</v>
      </c>
      <c r="Y31" s="1"/>
    </row>
    <row r="32" spans="1:29" ht="15.75" x14ac:dyDescent="0.25">
      <c r="U32" s="365" t="s">
        <v>211</v>
      </c>
      <c r="V32" s="1"/>
      <c r="X32" s="367">
        <f>W6</f>
        <v>441.59999999999997</v>
      </c>
      <c r="Y32" s="1"/>
    </row>
    <row r="33" spans="21:25" ht="16.5" thickBot="1" x14ac:dyDescent="0.3">
      <c r="U33" s="369" t="s">
        <v>346</v>
      </c>
      <c r="V33" s="354"/>
      <c r="W33" s="539" t="s">
        <v>347</v>
      </c>
      <c r="X33" s="540"/>
      <c r="Y33" s="1"/>
    </row>
    <row r="34" spans="21:25" ht="15.75" thickTop="1" x14ac:dyDescent="0.25"/>
  </sheetData>
  <mergeCells count="2">
    <mergeCell ref="U26:X26"/>
    <mergeCell ref="W33:X33"/>
  </mergeCell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C52D-77C5-4CF8-B491-FC6DABCE498B}">
  <sheetPr>
    <tabColor rgb="FF92D050"/>
  </sheetPr>
  <dimension ref="A1:AC38"/>
  <sheetViews>
    <sheetView workbookViewId="0">
      <selection sqref="A1:AC37"/>
    </sheetView>
  </sheetViews>
  <sheetFormatPr defaultRowHeight="15" x14ac:dyDescent="0.25"/>
  <cols>
    <col min="4" max="8" width="9.140625" hidden="1" customWidth="1"/>
    <col min="19" max="19" width="0" hidden="1" customWidth="1"/>
    <col min="20" max="20" width="11.7109375" customWidth="1"/>
    <col min="21" max="21" width="10.42578125" customWidth="1"/>
    <col min="23" max="23" width="9.7109375" customWidth="1"/>
    <col min="24" max="24" width="13.85546875" customWidth="1"/>
    <col min="29" max="29" width="10.42578125" bestFit="1" customWidth="1"/>
  </cols>
  <sheetData>
    <row r="1" spans="1:26" ht="26.25" x14ac:dyDescent="0.25">
      <c r="A1" s="134" t="s">
        <v>412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358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1</v>
      </c>
      <c r="B3" s="65">
        <v>23</v>
      </c>
      <c r="C3" s="65">
        <v>25</v>
      </c>
      <c r="D3" s="66">
        <v>0.125</v>
      </c>
      <c r="E3" s="66">
        <v>0.1</v>
      </c>
      <c r="F3" s="66">
        <f>(A3+B3)*C3</f>
        <v>600</v>
      </c>
      <c r="G3" s="66">
        <f>(A3+B3)/E3</f>
        <v>240</v>
      </c>
      <c r="H3" s="66">
        <f t="shared" ref="H3" si="0">C3/10</f>
        <v>2.5</v>
      </c>
      <c r="I3" s="66">
        <v>6</v>
      </c>
      <c r="J3" s="67">
        <f t="shared" ref="J3" si="1">H3*G3/60</f>
        <v>10</v>
      </c>
      <c r="K3" s="67">
        <f>J3+I3</f>
        <v>16</v>
      </c>
      <c r="L3" s="68">
        <v>250</v>
      </c>
      <c r="M3" s="69">
        <f>L3/60</f>
        <v>4.166666666666667</v>
      </c>
      <c r="N3" s="70">
        <f>ROUNDUP(K3*M3,1)</f>
        <v>66.699999999999989</v>
      </c>
      <c r="O3" s="56"/>
      <c r="P3" s="30">
        <v>125</v>
      </c>
      <c r="Q3" s="71">
        <v>0.02</v>
      </c>
      <c r="R3" s="32">
        <v>4</v>
      </c>
      <c r="S3" s="35">
        <f>N3*R3</f>
        <v>266.79999999999995</v>
      </c>
      <c r="T3" s="33">
        <f>IF(S3&gt;Y3,S3,Y3)</f>
        <v>266.79999999999995</v>
      </c>
      <c r="U3" s="33">
        <f>T3+P3</f>
        <v>391.79999999999995</v>
      </c>
      <c r="V3" s="33">
        <f>ROUNDUP(U3*Q3,0)</f>
        <v>8</v>
      </c>
      <c r="W3" s="33">
        <f t="shared" ref="W3" si="2">U3+V3</f>
        <v>399.79999999999995</v>
      </c>
      <c r="X3" s="34"/>
      <c r="Y3" s="57">
        <v>250</v>
      </c>
      <c r="Z3" s="36">
        <f>ROUNDDOWN(Y3/N3,0)</f>
        <v>3</v>
      </c>
    </row>
    <row r="5" spans="1:26" ht="26.25" x14ac:dyDescent="0.25">
      <c r="A5" s="134" t="s">
        <v>312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82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88"/>
    </row>
    <row r="6" spans="1:26" ht="30" x14ac:dyDescent="0.25">
      <c r="A6" s="111" t="s">
        <v>23</v>
      </c>
      <c r="B6" s="111" t="s">
        <v>8</v>
      </c>
      <c r="C6" s="111" t="s">
        <v>7</v>
      </c>
      <c r="D6" s="111" t="s">
        <v>2</v>
      </c>
      <c r="E6" s="111" t="s">
        <v>1</v>
      </c>
      <c r="F6" s="111" t="s">
        <v>6</v>
      </c>
      <c r="G6" s="111" t="s">
        <v>3</v>
      </c>
      <c r="H6" s="111" t="s">
        <v>21</v>
      </c>
      <c r="I6" s="111" t="s">
        <v>9</v>
      </c>
      <c r="J6" s="111" t="s">
        <v>4</v>
      </c>
      <c r="K6" s="111" t="s">
        <v>10</v>
      </c>
      <c r="L6" s="111" t="s">
        <v>24</v>
      </c>
      <c r="M6" s="111" t="s">
        <v>25</v>
      </c>
      <c r="N6" s="112" t="s">
        <v>5</v>
      </c>
      <c r="O6" s="39"/>
      <c r="P6" s="113" t="s">
        <v>27</v>
      </c>
      <c r="Q6" s="113" t="s">
        <v>38</v>
      </c>
      <c r="R6" s="114" t="s">
        <v>35</v>
      </c>
      <c r="S6" s="114" t="s">
        <v>358</v>
      </c>
      <c r="T6" s="114" t="s">
        <v>34</v>
      </c>
      <c r="U6" s="114" t="s">
        <v>30</v>
      </c>
      <c r="V6" s="113" t="s">
        <v>36</v>
      </c>
      <c r="W6" s="115" t="s">
        <v>31</v>
      </c>
      <c r="X6" s="113"/>
      <c r="Y6" s="113" t="s">
        <v>32</v>
      </c>
      <c r="Z6" s="114" t="s">
        <v>33</v>
      </c>
    </row>
    <row r="7" spans="1:26" x14ac:dyDescent="0.25">
      <c r="A7" s="65">
        <v>0.75</v>
      </c>
      <c r="B7" s="65">
        <v>2</v>
      </c>
      <c r="C7" s="65">
        <v>16.5</v>
      </c>
      <c r="D7" s="66">
        <v>0.125</v>
      </c>
      <c r="E7" s="66">
        <v>6.5000000000000002E-2</v>
      </c>
      <c r="F7" s="66">
        <f>(A7+B7)*C7</f>
        <v>45.375</v>
      </c>
      <c r="G7" s="66">
        <f>(A7+B7)/E7</f>
        <v>42.307692307692307</v>
      </c>
      <c r="H7" s="66">
        <f t="shared" ref="H7" si="3">C7/10</f>
        <v>1.65</v>
      </c>
      <c r="I7" s="66">
        <v>2.5</v>
      </c>
      <c r="J7" s="67">
        <f t="shared" ref="J7" si="4">H7*G7/60</f>
        <v>1.1634615384615385</v>
      </c>
      <c r="K7" s="67">
        <f>J7+I7</f>
        <v>3.6634615384615383</v>
      </c>
      <c r="L7" s="68">
        <v>250</v>
      </c>
      <c r="M7" s="69">
        <f>L7/60</f>
        <v>4.166666666666667</v>
      </c>
      <c r="N7" s="70">
        <f>ROUNDUP(K7*M7,1)</f>
        <v>15.299999999999999</v>
      </c>
      <c r="O7" s="56"/>
      <c r="P7" s="30">
        <v>125</v>
      </c>
      <c r="Q7" s="71">
        <v>0.02</v>
      </c>
      <c r="R7" s="32">
        <v>4</v>
      </c>
      <c r="S7" s="35">
        <f>N7*R7</f>
        <v>61.199999999999996</v>
      </c>
      <c r="T7" s="33">
        <f>IF(S7&gt;Y7,S7,Y7)</f>
        <v>250</v>
      </c>
      <c r="U7" s="33">
        <f>T7+P7</f>
        <v>375</v>
      </c>
      <c r="V7" s="33">
        <f>ROUNDUP(U7*Q7,0)</f>
        <v>8</v>
      </c>
      <c r="W7" s="33">
        <f t="shared" ref="W7" si="5">U7+V7</f>
        <v>383</v>
      </c>
      <c r="X7" s="34"/>
      <c r="Y7" s="57">
        <v>250</v>
      </c>
      <c r="Z7" s="36">
        <f>ROUNDDOWN(Y7/N7,0)</f>
        <v>16</v>
      </c>
    </row>
    <row r="8" spans="1:26" ht="26.25" x14ac:dyDescent="0.25">
      <c r="B8" s="168" t="s">
        <v>12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0"/>
      <c r="P8" s="61"/>
      <c r="Q8" s="62"/>
      <c r="R8" s="60"/>
      <c r="S8" s="60"/>
      <c r="T8" s="63"/>
      <c r="U8" s="63"/>
      <c r="V8" s="63"/>
      <c r="W8" s="63"/>
      <c r="X8" s="60"/>
      <c r="Y8" s="60"/>
      <c r="Z8" s="64"/>
    </row>
    <row r="9" spans="1:26" x14ac:dyDescent="0.25">
      <c r="B9" s="4" t="s">
        <v>13</v>
      </c>
      <c r="C9" s="4" t="s">
        <v>7</v>
      </c>
      <c r="D9" s="2" t="s">
        <v>2</v>
      </c>
      <c r="E9" s="4" t="s">
        <v>1</v>
      </c>
      <c r="F9" s="5" t="s">
        <v>20</v>
      </c>
      <c r="G9" s="4" t="s">
        <v>14</v>
      </c>
      <c r="H9" s="4" t="s">
        <v>15</v>
      </c>
      <c r="I9" s="4" t="s">
        <v>17</v>
      </c>
      <c r="J9" s="4" t="s">
        <v>16</v>
      </c>
      <c r="K9" s="4" t="s">
        <v>18</v>
      </c>
      <c r="L9" s="2" t="s">
        <v>24</v>
      </c>
      <c r="M9" s="2" t="s">
        <v>25</v>
      </c>
      <c r="N9" s="6" t="s">
        <v>19</v>
      </c>
      <c r="O9" s="40"/>
      <c r="P9" s="42" t="s">
        <v>27</v>
      </c>
      <c r="Q9" s="43" t="s">
        <v>38</v>
      </c>
      <c r="R9" s="49" t="s">
        <v>35</v>
      </c>
      <c r="S9" s="114" t="s">
        <v>358</v>
      </c>
      <c r="T9" s="52" t="s">
        <v>34</v>
      </c>
      <c r="U9" s="44" t="s">
        <v>30</v>
      </c>
      <c r="V9" s="53" t="s">
        <v>36</v>
      </c>
      <c r="W9" s="46" t="s">
        <v>37</v>
      </c>
      <c r="X9" s="21"/>
      <c r="Y9" s="37" t="s">
        <v>32</v>
      </c>
      <c r="Z9" s="37" t="s">
        <v>33</v>
      </c>
    </row>
    <row r="10" spans="1:26" x14ac:dyDescent="0.25">
      <c r="B10" s="14">
        <v>2.75</v>
      </c>
      <c r="C10" s="14">
        <v>72</v>
      </c>
      <c r="D10" s="66" t="s">
        <v>0</v>
      </c>
      <c r="E10" s="16">
        <v>6.5000000000000002E-2</v>
      </c>
      <c r="F10" s="16">
        <f>B10*3.14</f>
        <v>8.6349999999999998</v>
      </c>
      <c r="G10" s="17">
        <f>F10/E10</f>
        <v>132.84615384615384</v>
      </c>
      <c r="H10" s="16">
        <f>C10/10</f>
        <v>7.2</v>
      </c>
      <c r="I10" s="16">
        <v>3</v>
      </c>
      <c r="J10" s="19">
        <f>H10*G10/60</f>
        <v>15.941538461538462</v>
      </c>
      <c r="K10" s="20">
        <f>J10+I10</f>
        <v>18.941538461538464</v>
      </c>
      <c r="L10" s="68">
        <v>250</v>
      </c>
      <c r="M10" s="69">
        <f>L10/60</f>
        <v>4.166666666666667</v>
      </c>
      <c r="N10" s="18">
        <f>ROUNDUP(K10*M10,1)</f>
        <v>79</v>
      </c>
      <c r="O10" s="56"/>
      <c r="P10" s="30">
        <v>125</v>
      </c>
      <c r="Q10" s="71">
        <v>0.02</v>
      </c>
      <c r="R10" s="32">
        <v>4</v>
      </c>
      <c r="S10" s="35">
        <f>N10*R10</f>
        <v>316</v>
      </c>
      <c r="T10" s="33">
        <f>IF(S10&gt;Y10,S10,Y10)</f>
        <v>316</v>
      </c>
      <c r="U10" s="33">
        <f>T10+P10</f>
        <v>441</v>
      </c>
      <c r="V10" s="33">
        <f>ROUNDUP(U10*Q10,0)</f>
        <v>9</v>
      </c>
      <c r="W10" s="33">
        <f t="shared" ref="W10" si="6">U10+V10</f>
        <v>450</v>
      </c>
      <c r="X10" s="56"/>
      <c r="Y10" s="58">
        <v>250</v>
      </c>
      <c r="Z10" s="47">
        <f>ROUNDDOWN(Y10/N10,0)</f>
        <v>3</v>
      </c>
    </row>
    <row r="11" spans="1:26" ht="18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4"/>
      <c r="P11" s="28"/>
      <c r="Q11" s="29"/>
      <c r="R11" s="21"/>
      <c r="S11" s="21"/>
      <c r="T11" s="27"/>
      <c r="U11" s="27"/>
      <c r="V11" s="27"/>
      <c r="W11" s="27"/>
      <c r="X11" s="25"/>
      <c r="Y11" s="21"/>
      <c r="Z11" s="21"/>
    </row>
    <row r="12" spans="1:26" x14ac:dyDescent="0.25">
      <c r="A12" s="1"/>
    </row>
    <row r="13" spans="1:26" ht="26.25" x14ac:dyDescent="0.25">
      <c r="A13" s="134" t="s">
        <v>147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82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88"/>
    </row>
    <row r="14" spans="1:26" ht="30" x14ac:dyDescent="0.25">
      <c r="A14" s="111" t="s">
        <v>23</v>
      </c>
      <c r="B14" s="111" t="s">
        <v>8</v>
      </c>
      <c r="C14" s="111" t="s">
        <v>7</v>
      </c>
      <c r="D14" s="111" t="s">
        <v>2</v>
      </c>
      <c r="E14" s="111" t="s">
        <v>1</v>
      </c>
      <c r="F14" s="111" t="s">
        <v>6</v>
      </c>
      <c r="G14" s="111" t="s">
        <v>3</v>
      </c>
      <c r="H14" s="111" t="s">
        <v>21</v>
      </c>
      <c r="I14" s="111" t="s">
        <v>9</v>
      </c>
      <c r="J14" s="111" t="s">
        <v>4</v>
      </c>
      <c r="K14" s="111" t="s">
        <v>10</v>
      </c>
      <c r="L14" s="111" t="s">
        <v>24</v>
      </c>
      <c r="M14" s="111" t="s">
        <v>25</v>
      </c>
      <c r="N14" s="112" t="s">
        <v>5</v>
      </c>
      <c r="O14" s="39"/>
      <c r="P14" s="113" t="s">
        <v>27</v>
      </c>
      <c r="Q14" s="113" t="s">
        <v>38</v>
      </c>
      <c r="R14" s="114" t="s">
        <v>35</v>
      </c>
      <c r="S14" s="114" t="s">
        <v>358</v>
      </c>
      <c r="T14" s="114" t="s">
        <v>34</v>
      </c>
      <c r="U14" s="114" t="s">
        <v>30</v>
      </c>
      <c r="V14" s="113" t="s">
        <v>36</v>
      </c>
      <c r="W14" s="115" t="s">
        <v>31</v>
      </c>
      <c r="X14" s="113"/>
      <c r="Y14" s="113" t="s">
        <v>32</v>
      </c>
      <c r="Z14" s="114" t="s">
        <v>33</v>
      </c>
    </row>
    <row r="15" spans="1:26" x14ac:dyDescent="0.25">
      <c r="A15" s="65">
        <v>0.5</v>
      </c>
      <c r="B15" s="65">
        <v>7.5</v>
      </c>
      <c r="C15" s="65">
        <v>8.5</v>
      </c>
      <c r="D15" s="66">
        <v>0.125</v>
      </c>
      <c r="E15" s="66">
        <v>0.06</v>
      </c>
      <c r="F15" s="66">
        <f>(A15+B15)*C15</f>
        <v>68</v>
      </c>
      <c r="G15" s="66">
        <f>(A15+B15)/E15</f>
        <v>133.33333333333334</v>
      </c>
      <c r="H15" s="66">
        <f t="shared" ref="H15" si="7">C15/10</f>
        <v>0.85</v>
      </c>
      <c r="I15" s="66">
        <v>3.5</v>
      </c>
      <c r="J15" s="67">
        <f t="shared" ref="J15" si="8">H15*G15/60</f>
        <v>1.8888888888888891</v>
      </c>
      <c r="K15" s="67">
        <f>J15+I15</f>
        <v>5.3888888888888893</v>
      </c>
      <c r="L15" s="68">
        <v>275</v>
      </c>
      <c r="M15" s="69">
        <f>L15/60</f>
        <v>4.583333333333333</v>
      </c>
      <c r="N15" s="70">
        <f>ROUNDUP(K15*M15,1)</f>
        <v>24.700000000000003</v>
      </c>
      <c r="O15" s="56"/>
      <c r="P15" s="30">
        <v>125</v>
      </c>
      <c r="Q15" s="71">
        <v>0.02</v>
      </c>
      <c r="R15" s="32">
        <v>8</v>
      </c>
      <c r="S15" s="35">
        <f>N15*R15</f>
        <v>197.60000000000002</v>
      </c>
      <c r="T15" s="33">
        <f>IF(S15&gt;Y15,S15,Y15)</f>
        <v>275</v>
      </c>
      <c r="U15" s="33">
        <f>T15+P15</f>
        <v>400</v>
      </c>
      <c r="V15" s="33">
        <f>ROUNDUP(U15*Q15,0)</f>
        <v>8</v>
      </c>
      <c r="W15" s="33">
        <f>U15+V15</f>
        <v>408</v>
      </c>
      <c r="X15" s="34"/>
      <c r="Y15" s="57">
        <v>275</v>
      </c>
      <c r="Z15" s="36">
        <f>ROUNDDOWN(Y15/N15,0)</f>
        <v>11</v>
      </c>
    </row>
    <row r="16" spans="1:26" ht="26.25" x14ac:dyDescent="0.25">
      <c r="A16" s="1"/>
      <c r="B16" s="168" t="s">
        <v>148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0"/>
      <c r="P16" s="61"/>
      <c r="Q16" s="62"/>
      <c r="R16" s="60"/>
      <c r="S16" s="60"/>
      <c r="T16" s="63"/>
      <c r="U16" s="63"/>
      <c r="V16" s="63"/>
      <c r="W16" s="63"/>
      <c r="X16" s="60"/>
      <c r="Y16" s="60"/>
      <c r="Z16" s="64"/>
    </row>
    <row r="17" spans="1:29" x14ac:dyDescent="0.25">
      <c r="A17" s="1"/>
      <c r="B17" s="4" t="s">
        <v>13</v>
      </c>
      <c r="C17" s="4" t="s">
        <v>7</v>
      </c>
      <c r="D17" s="2" t="s">
        <v>2</v>
      </c>
      <c r="E17" s="4" t="s">
        <v>1</v>
      </c>
      <c r="F17" s="5" t="s">
        <v>20</v>
      </c>
      <c r="G17" s="4" t="s">
        <v>14</v>
      </c>
      <c r="H17" s="4" t="s">
        <v>15</v>
      </c>
      <c r="I17" s="4" t="s">
        <v>17</v>
      </c>
      <c r="J17" s="4" t="s">
        <v>16</v>
      </c>
      <c r="K17" s="4" t="s">
        <v>18</v>
      </c>
      <c r="L17" s="2" t="s">
        <v>24</v>
      </c>
      <c r="M17" s="2" t="s">
        <v>25</v>
      </c>
      <c r="N17" s="6" t="s">
        <v>19</v>
      </c>
      <c r="O17" s="40"/>
      <c r="P17" s="42" t="s">
        <v>27</v>
      </c>
      <c r="Q17" s="43" t="s">
        <v>38</v>
      </c>
      <c r="R17" s="49" t="s">
        <v>35</v>
      </c>
      <c r="S17" s="114" t="s">
        <v>358</v>
      </c>
      <c r="T17" s="52" t="s">
        <v>34</v>
      </c>
      <c r="U17" s="44" t="s">
        <v>30</v>
      </c>
      <c r="V17" s="53" t="s">
        <v>36</v>
      </c>
      <c r="W17" s="46" t="s">
        <v>37</v>
      </c>
      <c r="X17" s="21"/>
      <c r="Y17" s="37" t="s">
        <v>32</v>
      </c>
      <c r="Z17" s="37" t="s">
        <v>33</v>
      </c>
    </row>
    <row r="18" spans="1:29" x14ac:dyDescent="0.25">
      <c r="A18" s="1"/>
      <c r="B18" s="14">
        <v>2</v>
      </c>
      <c r="C18" s="14">
        <v>2</v>
      </c>
      <c r="D18" s="66" t="s">
        <v>0</v>
      </c>
      <c r="E18" s="16">
        <v>0.06</v>
      </c>
      <c r="F18" s="16">
        <f>B18*3.14</f>
        <v>6.28</v>
      </c>
      <c r="G18" s="17">
        <f>F18/E18</f>
        <v>104.66666666666667</v>
      </c>
      <c r="H18" s="16">
        <f>C18/10</f>
        <v>0.2</v>
      </c>
      <c r="I18" s="16">
        <v>3.5</v>
      </c>
      <c r="J18" s="19">
        <f>H18*G18/60</f>
        <v>0.34888888888888897</v>
      </c>
      <c r="K18" s="20">
        <f>J18+I18</f>
        <v>3.8488888888888888</v>
      </c>
      <c r="L18" s="68">
        <v>275</v>
      </c>
      <c r="M18" s="69">
        <f>L18/60</f>
        <v>4.583333333333333</v>
      </c>
      <c r="N18" s="18">
        <f>ROUNDUP(K18*M18,1)</f>
        <v>17.700000000000003</v>
      </c>
      <c r="O18" s="56"/>
      <c r="P18" s="30">
        <v>125</v>
      </c>
      <c r="Q18" s="71">
        <v>0.02</v>
      </c>
      <c r="R18" s="32">
        <v>1</v>
      </c>
      <c r="S18" s="35">
        <f>N18*R18</f>
        <v>17.700000000000003</v>
      </c>
      <c r="T18" s="33">
        <f>IF(S18&gt;Y18,S18,Y18)</f>
        <v>275</v>
      </c>
      <c r="U18" s="33">
        <f>T18+P18</f>
        <v>400</v>
      </c>
      <c r="V18" s="33">
        <f>ROUNDUP(U18*Q18,0)</f>
        <v>8</v>
      </c>
      <c r="W18" s="33">
        <f t="shared" ref="W18" si="9">U18+V18</f>
        <v>408</v>
      </c>
      <c r="X18" s="56"/>
      <c r="Y18" s="58">
        <v>275</v>
      </c>
      <c r="Z18" s="47">
        <f>ROUNDDOWN(Y18/N18,0)</f>
        <v>15</v>
      </c>
    </row>
    <row r="21" spans="1:29" ht="24" thickBot="1" x14ac:dyDescent="0.4">
      <c r="A21" s="171"/>
      <c r="B21" s="172" t="s">
        <v>119</v>
      </c>
      <c r="C21" s="173"/>
      <c r="I21" s="171"/>
      <c r="J21" s="198"/>
      <c r="K21" s="198"/>
      <c r="L21" s="198"/>
      <c r="M21" s="198"/>
      <c r="N21" s="172" t="s">
        <v>149</v>
      </c>
      <c r="O21" s="198"/>
      <c r="P21" s="198"/>
      <c r="Q21" s="198"/>
      <c r="R21" s="173"/>
      <c r="U21" s="494" t="s">
        <v>348</v>
      </c>
      <c r="V21" s="436"/>
      <c r="W21" s="436"/>
      <c r="X21" s="436"/>
      <c r="Y21" s="1"/>
      <c r="Z21" s="460" t="s">
        <v>362</v>
      </c>
      <c r="AA21" s="461"/>
      <c r="AB21" s="461"/>
      <c r="AC21" s="461"/>
    </row>
    <row r="22" spans="1:29" ht="16.5" thickTop="1" x14ac:dyDescent="0.25">
      <c r="A22" s="174" t="s">
        <v>32</v>
      </c>
      <c r="C22" s="175">
        <v>250</v>
      </c>
      <c r="I22" s="174" t="s">
        <v>150</v>
      </c>
      <c r="R22" s="176"/>
      <c r="U22" s="362" t="s">
        <v>207</v>
      </c>
      <c r="V22" s="363"/>
      <c r="W22" s="352"/>
      <c r="X22" s="364">
        <f>N7</f>
        <v>15.299999999999999</v>
      </c>
      <c r="Y22" s="1"/>
      <c r="Z22" s="462" t="s">
        <v>207</v>
      </c>
      <c r="AA22" s="463"/>
      <c r="AB22" s="383"/>
      <c r="AC22" s="470">
        <f>N3</f>
        <v>66.699999999999989</v>
      </c>
    </row>
    <row r="23" spans="1:29" ht="15.75" x14ac:dyDescent="0.25">
      <c r="A23" s="174" t="s">
        <v>120</v>
      </c>
      <c r="C23" s="175">
        <v>125</v>
      </c>
      <c r="I23" s="174" t="s">
        <v>151</v>
      </c>
      <c r="R23" s="176"/>
      <c r="U23" s="365" t="s">
        <v>208</v>
      </c>
      <c r="V23" s="1"/>
      <c r="X23" s="366">
        <f>R7</f>
        <v>4</v>
      </c>
      <c r="Y23" s="1"/>
      <c r="Z23" s="464" t="s">
        <v>208</v>
      </c>
      <c r="AA23" s="1"/>
      <c r="AC23" s="471">
        <f>R3</f>
        <v>4</v>
      </c>
    </row>
    <row r="24" spans="1:29" ht="15.75" x14ac:dyDescent="0.25">
      <c r="A24" s="174" t="s">
        <v>36</v>
      </c>
      <c r="C24" s="176" t="s">
        <v>122</v>
      </c>
      <c r="I24" s="174"/>
      <c r="R24" s="176"/>
      <c r="U24" s="365" t="s">
        <v>209</v>
      </c>
      <c r="V24" s="1"/>
      <c r="X24" s="367">
        <f>T7</f>
        <v>250</v>
      </c>
      <c r="Y24" s="1"/>
      <c r="Z24" s="464" t="s">
        <v>209</v>
      </c>
      <c r="AA24" s="1"/>
      <c r="AC24" s="469">
        <f>T3</f>
        <v>266.79999999999995</v>
      </c>
    </row>
    <row r="25" spans="1:29" ht="15.75" x14ac:dyDescent="0.25">
      <c r="A25" s="174" t="s">
        <v>121</v>
      </c>
      <c r="C25" s="176" t="s">
        <v>123</v>
      </c>
      <c r="I25" s="174" t="s">
        <v>152</v>
      </c>
      <c r="R25" s="176"/>
      <c r="U25" s="365" t="s">
        <v>210</v>
      </c>
      <c r="V25" s="1"/>
      <c r="X25" s="367">
        <f>V7</f>
        <v>8</v>
      </c>
      <c r="Y25" s="1"/>
      <c r="Z25" s="464" t="s">
        <v>210</v>
      </c>
      <c r="AA25" s="1"/>
      <c r="AC25" s="469">
        <f>V3</f>
        <v>8</v>
      </c>
    </row>
    <row r="26" spans="1:29" ht="15.75" x14ac:dyDescent="0.25">
      <c r="A26" s="177" t="s">
        <v>124</v>
      </c>
      <c r="B26" s="178"/>
      <c r="C26" s="179">
        <v>100</v>
      </c>
      <c r="I26" s="174" t="s">
        <v>153</v>
      </c>
      <c r="R26" s="176"/>
      <c r="U26" s="365" t="s">
        <v>216</v>
      </c>
      <c r="X26" s="368">
        <f>P7</f>
        <v>125</v>
      </c>
      <c r="Y26" s="1"/>
      <c r="Z26" s="464" t="s">
        <v>216</v>
      </c>
      <c r="AC26" s="465">
        <f>P3</f>
        <v>125</v>
      </c>
    </row>
    <row r="27" spans="1:29" ht="15.75" x14ac:dyDescent="0.25">
      <c r="I27" s="174"/>
      <c r="R27" s="176"/>
      <c r="U27" s="365" t="s">
        <v>211</v>
      </c>
      <c r="V27" s="1"/>
      <c r="X27" s="367">
        <f>W7</f>
        <v>383</v>
      </c>
      <c r="Y27" s="1"/>
      <c r="Z27" s="464" t="s">
        <v>211</v>
      </c>
      <c r="AA27" s="1"/>
      <c r="AC27" s="469">
        <f>W3</f>
        <v>399.79999999999995</v>
      </c>
    </row>
    <row r="28" spans="1:29" ht="16.5" thickBot="1" x14ac:dyDescent="0.3">
      <c r="I28" s="174" t="s">
        <v>154</v>
      </c>
      <c r="R28" s="176"/>
      <c r="U28" s="369" t="s">
        <v>346</v>
      </c>
      <c r="V28" s="354"/>
      <c r="W28" s="437"/>
      <c r="X28" s="438" t="s">
        <v>347</v>
      </c>
      <c r="Y28" s="1"/>
      <c r="Z28" s="466" t="s">
        <v>346</v>
      </c>
      <c r="AA28" s="388"/>
      <c r="AB28" s="467"/>
      <c r="AC28" s="468" t="s">
        <v>347</v>
      </c>
    </row>
    <row r="29" spans="1:29" ht="15.75" thickTop="1" x14ac:dyDescent="0.25">
      <c r="I29" s="177" t="s">
        <v>155</v>
      </c>
      <c r="J29" s="178"/>
      <c r="K29" s="178"/>
      <c r="L29" s="178"/>
      <c r="M29" s="178"/>
      <c r="N29" s="178"/>
      <c r="O29" s="178"/>
      <c r="P29" s="178"/>
      <c r="Q29" s="178"/>
      <c r="R29" s="199"/>
      <c r="W29" s="1"/>
      <c r="X29" s="1"/>
      <c r="Y29" s="1"/>
    </row>
    <row r="30" spans="1:29" ht="24" thickBot="1" x14ac:dyDescent="0.4">
      <c r="U30" s="541" t="s">
        <v>284</v>
      </c>
      <c r="V30" s="541"/>
      <c r="W30" s="541"/>
      <c r="X30" s="541"/>
      <c r="Y30" s="1"/>
    </row>
    <row r="31" spans="1:29" ht="16.5" thickTop="1" x14ac:dyDescent="0.25">
      <c r="U31" s="362" t="s">
        <v>207</v>
      </c>
      <c r="V31" s="363"/>
      <c r="W31" s="352"/>
      <c r="X31" s="364">
        <f>N10</f>
        <v>79</v>
      </c>
      <c r="Y31" s="1"/>
    </row>
    <row r="32" spans="1:29" ht="15.75" x14ac:dyDescent="0.25">
      <c r="U32" s="365" t="s">
        <v>208</v>
      </c>
      <c r="V32" s="1"/>
      <c r="X32" s="366">
        <f>R10</f>
        <v>4</v>
      </c>
      <c r="Y32" s="1"/>
    </row>
    <row r="33" spans="21:25" ht="15.75" x14ac:dyDescent="0.25">
      <c r="U33" s="365" t="s">
        <v>209</v>
      </c>
      <c r="V33" s="1"/>
      <c r="X33" s="367">
        <f>T10</f>
        <v>316</v>
      </c>
      <c r="Y33" s="1"/>
    </row>
    <row r="34" spans="21:25" ht="15.75" x14ac:dyDescent="0.25">
      <c r="U34" s="365" t="s">
        <v>210</v>
      </c>
      <c r="V34" s="1"/>
      <c r="X34" s="367">
        <f>V10</f>
        <v>9</v>
      </c>
      <c r="Y34" s="1"/>
    </row>
    <row r="35" spans="21:25" ht="15.75" x14ac:dyDescent="0.25">
      <c r="U35" s="365" t="s">
        <v>216</v>
      </c>
      <c r="X35" s="368">
        <f>P10</f>
        <v>125</v>
      </c>
      <c r="Y35" s="1"/>
    </row>
    <row r="36" spans="21:25" ht="15.75" x14ac:dyDescent="0.25">
      <c r="U36" s="365" t="s">
        <v>211</v>
      </c>
      <c r="V36" s="1"/>
      <c r="X36" s="367">
        <f>W10</f>
        <v>450</v>
      </c>
      <c r="Y36" s="1"/>
    </row>
    <row r="37" spans="21:25" ht="16.5" thickBot="1" x14ac:dyDescent="0.3">
      <c r="U37" s="369" t="s">
        <v>346</v>
      </c>
      <c r="V37" s="354"/>
      <c r="W37" s="539" t="s">
        <v>347</v>
      </c>
      <c r="X37" s="540"/>
      <c r="Y37" s="1"/>
    </row>
    <row r="38" spans="21:25" ht="15.75" thickTop="1" x14ac:dyDescent="0.25"/>
  </sheetData>
  <mergeCells count="2">
    <mergeCell ref="U30:X30"/>
    <mergeCell ref="W37:X37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B3ED-8A4A-4445-A3C8-B2A3CDA897E8}">
  <sheetPr>
    <tabColor rgb="FF92D050"/>
  </sheetPr>
  <dimension ref="A1:AC38"/>
  <sheetViews>
    <sheetView workbookViewId="0">
      <selection activeCell="Z22" sqref="Z22:AC28"/>
    </sheetView>
  </sheetViews>
  <sheetFormatPr defaultRowHeight="15" x14ac:dyDescent="0.25"/>
  <cols>
    <col min="28" max="28" width="11.85546875" customWidth="1"/>
    <col min="29" max="29" width="16.42578125" customWidth="1"/>
  </cols>
  <sheetData>
    <row r="1" spans="1:26" ht="26.25" x14ac:dyDescent="0.25">
      <c r="A1" s="134" t="s">
        <v>412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358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1</v>
      </c>
      <c r="B3" s="65">
        <v>1</v>
      </c>
      <c r="C3" s="65">
        <v>1</v>
      </c>
      <c r="D3" s="66">
        <v>0.125</v>
      </c>
      <c r="E3" s="66">
        <v>0.1</v>
      </c>
      <c r="F3" s="66">
        <f>(A3+B3)*C3</f>
        <v>2</v>
      </c>
      <c r="G3" s="66">
        <f>(A3+B3)/E3</f>
        <v>20</v>
      </c>
      <c r="H3" s="66">
        <f t="shared" ref="H3" si="0">C3/10</f>
        <v>0.1</v>
      </c>
      <c r="I3" s="66">
        <v>6</v>
      </c>
      <c r="J3" s="67">
        <f t="shared" ref="J3" si="1">H3*G3/60</f>
        <v>3.3333333333333333E-2</v>
      </c>
      <c r="K3" s="67">
        <f>J3+I3</f>
        <v>6.0333333333333332</v>
      </c>
      <c r="L3" s="68">
        <v>250</v>
      </c>
      <c r="M3" s="69">
        <f>L3/60</f>
        <v>4.166666666666667</v>
      </c>
      <c r="N3" s="70">
        <f>ROUNDUP(K3*M3,1)</f>
        <v>25.200000000000003</v>
      </c>
      <c r="O3" s="56"/>
      <c r="P3" s="30">
        <v>125</v>
      </c>
      <c r="Q3" s="71">
        <v>0.02</v>
      </c>
      <c r="R3" s="32">
        <v>1</v>
      </c>
      <c r="S3" s="35">
        <f>N3*R3</f>
        <v>25.200000000000003</v>
      </c>
      <c r="T3" s="33">
        <f>IF(S3&gt;Y3,S3,Y3)</f>
        <v>250</v>
      </c>
      <c r="U3" s="33">
        <f>T3+P3</f>
        <v>375</v>
      </c>
      <c r="V3" s="33">
        <f>ROUNDUP(U3*Q3,0)</f>
        <v>8</v>
      </c>
      <c r="W3" s="33">
        <f t="shared" ref="W3" si="2">U3+V3</f>
        <v>383</v>
      </c>
      <c r="X3" s="34"/>
      <c r="Y3" s="57">
        <v>250</v>
      </c>
      <c r="Z3" s="36">
        <f>ROUNDDOWN(Y3/N3,0)</f>
        <v>9</v>
      </c>
    </row>
    <row r="5" spans="1:26" ht="26.25" x14ac:dyDescent="0.25">
      <c r="A5" s="134" t="s">
        <v>312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82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88"/>
    </row>
    <row r="6" spans="1:26" ht="30" x14ac:dyDescent="0.25">
      <c r="A6" s="111" t="s">
        <v>23</v>
      </c>
      <c r="B6" s="111" t="s">
        <v>8</v>
      </c>
      <c r="C6" s="111" t="s">
        <v>7</v>
      </c>
      <c r="D6" s="111" t="s">
        <v>2</v>
      </c>
      <c r="E6" s="111" t="s">
        <v>1</v>
      </c>
      <c r="F6" s="111" t="s">
        <v>6</v>
      </c>
      <c r="G6" s="111" t="s">
        <v>3</v>
      </c>
      <c r="H6" s="111" t="s">
        <v>21</v>
      </c>
      <c r="I6" s="111" t="s">
        <v>9</v>
      </c>
      <c r="J6" s="111" t="s">
        <v>4</v>
      </c>
      <c r="K6" s="111" t="s">
        <v>10</v>
      </c>
      <c r="L6" s="111" t="s">
        <v>24</v>
      </c>
      <c r="M6" s="111" t="s">
        <v>25</v>
      </c>
      <c r="N6" s="112" t="s">
        <v>5</v>
      </c>
      <c r="O6" s="39"/>
      <c r="P6" s="113" t="s">
        <v>27</v>
      </c>
      <c r="Q6" s="113" t="s">
        <v>38</v>
      </c>
      <c r="R6" s="114" t="s">
        <v>35</v>
      </c>
      <c r="S6" s="114" t="s">
        <v>358</v>
      </c>
      <c r="T6" s="114" t="s">
        <v>34</v>
      </c>
      <c r="U6" s="114" t="s">
        <v>30</v>
      </c>
      <c r="V6" s="113" t="s">
        <v>36</v>
      </c>
      <c r="W6" s="115" t="s">
        <v>31</v>
      </c>
      <c r="X6" s="113"/>
      <c r="Y6" s="113" t="s">
        <v>32</v>
      </c>
      <c r="Z6" s="114" t="s">
        <v>33</v>
      </c>
    </row>
    <row r="7" spans="1:26" x14ac:dyDescent="0.25">
      <c r="A7" s="65">
        <v>0.75</v>
      </c>
      <c r="B7" s="65">
        <v>2</v>
      </c>
      <c r="C7" s="65">
        <v>16.5</v>
      </c>
      <c r="D7" s="66">
        <v>0.125</v>
      </c>
      <c r="E7" s="66">
        <v>6.5000000000000002E-2</v>
      </c>
      <c r="F7" s="66">
        <f>(A7+B7)*C7</f>
        <v>45.375</v>
      </c>
      <c r="G7" s="66">
        <f>(A7+B7)/E7</f>
        <v>42.307692307692307</v>
      </c>
      <c r="H7" s="66">
        <f t="shared" ref="H7" si="3">C7/10</f>
        <v>1.65</v>
      </c>
      <c r="I7" s="66">
        <v>2.5</v>
      </c>
      <c r="J7" s="67">
        <f t="shared" ref="J7" si="4">H7*G7/60</f>
        <v>1.1634615384615385</v>
      </c>
      <c r="K7" s="67">
        <f>J7+I7</f>
        <v>3.6634615384615383</v>
      </c>
      <c r="L7" s="68">
        <v>250</v>
      </c>
      <c r="M7" s="69">
        <f>L7/60</f>
        <v>4.166666666666667</v>
      </c>
      <c r="N7" s="70">
        <f>ROUNDUP(K7*M7,1)</f>
        <v>15.299999999999999</v>
      </c>
      <c r="O7" s="56"/>
      <c r="P7" s="30">
        <v>125</v>
      </c>
      <c r="Q7" s="71">
        <v>0.02</v>
      </c>
      <c r="R7" s="32">
        <v>4</v>
      </c>
      <c r="S7" s="35">
        <f>N7*R7</f>
        <v>61.199999999999996</v>
      </c>
      <c r="T7" s="33">
        <f>IF(S7&gt;Y7,S7,Y7)</f>
        <v>250</v>
      </c>
      <c r="U7" s="33">
        <f>T7+P7</f>
        <v>375</v>
      </c>
      <c r="V7" s="33">
        <f>ROUNDUP(U7*Q7,0)</f>
        <v>8</v>
      </c>
      <c r="W7" s="33">
        <f t="shared" ref="W7" si="5">U7+V7</f>
        <v>383</v>
      </c>
      <c r="X7" s="34"/>
      <c r="Y7" s="57">
        <v>250</v>
      </c>
      <c r="Z7" s="36">
        <f>ROUNDDOWN(Y7/N7,0)</f>
        <v>16</v>
      </c>
    </row>
    <row r="8" spans="1:26" ht="26.25" x14ac:dyDescent="0.25">
      <c r="B8" s="168" t="s">
        <v>12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0"/>
      <c r="P8" s="61"/>
      <c r="Q8" s="62"/>
      <c r="R8" s="60"/>
      <c r="S8" s="60"/>
      <c r="T8" s="63"/>
      <c r="U8" s="63"/>
      <c r="V8" s="63"/>
      <c r="W8" s="63"/>
      <c r="X8" s="60"/>
      <c r="Y8" s="60"/>
      <c r="Z8" s="64"/>
    </row>
    <row r="9" spans="1:26" x14ac:dyDescent="0.25">
      <c r="B9" s="4" t="s">
        <v>13</v>
      </c>
      <c r="C9" s="4" t="s">
        <v>7</v>
      </c>
      <c r="D9" s="2" t="s">
        <v>2</v>
      </c>
      <c r="E9" s="4" t="s">
        <v>1</v>
      </c>
      <c r="F9" s="5" t="s">
        <v>20</v>
      </c>
      <c r="G9" s="4" t="s">
        <v>14</v>
      </c>
      <c r="H9" s="4" t="s">
        <v>15</v>
      </c>
      <c r="I9" s="4" t="s">
        <v>17</v>
      </c>
      <c r="J9" s="4" t="s">
        <v>16</v>
      </c>
      <c r="K9" s="4" t="s">
        <v>18</v>
      </c>
      <c r="L9" s="2" t="s">
        <v>24</v>
      </c>
      <c r="M9" s="2" t="s">
        <v>25</v>
      </c>
      <c r="N9" s="6" t="s">
        <v>19</v>
      </c>
      <c r="O9" s="40"/>
      <c r="P9" s="42" t="s">
        <v>27</v>
      </c>
      <c r="Q9" s="43" t="s">
        <v>38</v>
      </c>
      <c r="R9" s="49" t="s">
        <v>35</v>
      </c>
      <c r="S9" s="114" t="s">
        <v>358</v>
      </c>
      <c r="T9" s="52" t="s">
        <v>34</v>
      </c>
      <c r="U9" s="44" t="s">
        <v>30</v>
      </c>
      <c r="V9" s="53" t="s">
        <v>36</v>
      </c>
      <c r="W9" s="46" t="s">
        <v>37</v>
      </c>
      <c r="X9" s="21"/>
      <c r="Y9" s="37" t="s">
        <v>32</v>
      </c>
      <c r="Z9" s="37" t="s">
        <v>33</v>
      </c>
    </row>
    <row r="10" spans="1:26" x14ac:dyDescent="0.25">
      <c r="B10" s="14">
        <v>2.75</v>
      </c>
      <c r="C10" s="14">
        <v>72</v>
      </c>
      <c r="D10" s="66" t="s">
        <v>0</v>
      </c>
      <c r="E10" s="16">
        <v>6.5000000000000002E-2</v>
      </c>
      <c r="F10" s="16">
        <f>B10*3.14</f>
        <v>8.6349999999999998</v>
      </c>
      <c r="G10" s="17">
        <f>F10/E10</f>
        <v>132.84615384615384</v>
      </c>
      <c r="H10" s="16">
        <f>C10/10</f>
        <v>7.2</v>
      </c>
      <c r="I10" s="16">
        <v>3</v>
      </c>
      <c r="J10" s="19">
        <f>H10*G10/60</f>
        <v>15.941538461538462</v>
      </c>
      <c r="K10" s="20">
        <f>J10+I10</f>
        <v>18.941538461538464</v>
      </c>
      <c r="L10" s="68">
        <v>250</v>
      </c>
      <c r="M10" s="69">
        <f>L10/60</f>
        <v>4.166666666666667</v>
      </c>
      <c r="N10" s="18">
        <f>ROUNDUP(K10*M10,1)</f>
        <v>79</v>
      </c>
      <c r="O10" s="56"/>
      <c r="P10" s="30">
        <v>125</v>
      </c>
      <c r="Q10" s="71">
        <v>0.02</v>
      </c>
      <c r="R10" s="32">
        <v>4</v>
      </c>
      <c r="S10" s="35">
        <f>N10*R10</f>
        <v>316</v>
      </c>
      <c r="T10" s="33">
        <f>IF(S10&gt;Y10,S10,Y10)</f>
        <v>316</v>
      </c>
      <c r="U10" s="33">
        <f>T10+P10</f>
        <v>441</v>
      </c>
      <c r="V10" s="33">
        <f>ROUNDUP(U10*Q10,0)</f>
        <v>9</v>
      </c>
      <c r="W10" s="33">
        <f t="shared" ref="W10" si="6">U10+V10</f>
        <v>450</v>
      </c>
      <c r="X10" s="56"/>
      <c r="Y10" s="58">
        <v>250</v>
      </c>
      <c r="Z10" s="47">
        <f>ROUNDDOWN(Y10/N10,0)</f>
        <v>3</v>
      </c>
    </row>
    <row r="11" spans="1:26" ht="18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4"/>
      <c r="P11" s="28"/>
      <c r="Q11" s="29"/>
      <c r="R11" s="21"/>
      <c r="S11" s="21"/>
      <c r="T11" s="27"/>
      <c r="U11" s="27"/>
      <c r="V11" s="27"/>
      <c r="W11" s="27"/>
      <c r="X11" s="25"/>
      <c r="Y11" s="21"/>
      <c r="Z11" s="21"/>
    </row>
    <row r="12" spans="1:26" x14ac:dyDescent="0.25">
      <c r="A12" s="1"/>
    </row>
    <row r="13" spans="1:26" ht="26.25" x14ac:dyDescent="0.25">
      <c r="A13" s="134" t="s">
        <v>147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82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88"/>
    </row>
    <row r="14" spans="1:26" ht="30" x14ac:dyDescent="0.25">
      <c r="A14" s="111" t="s">
        <v>23</v>
      </c>
      <c r="B14" s="111" t="s">
        <v>8</v>
      </c>
      <c r="C14" s="111" t="s">
        <v>7</v>
      </c>
      <c r="D14" s="111" t="s">
        <v>2</v>
      </c>
      <c r="E14" s="111" t="s">
        <v>1</v>
      </c>
      <c r="F14" s="111" t="s">
        <v>6</v>
      </c>
      <c r="G14" s="111" t="s">
        <v>3</v>
      </c>
      <c r="H14" s="111" t="s">
        <v>21</v>
      </c>
      <c r="I14" s="111" t="s">
        <v>9</v>
      </c>
      <c r="J14" s="111" t="s">
        <v>4</v>
      </c>
      <c r="K14" s="111" t="s">
        <v>10</v>
      </c>
      <c r="L14" s="111" t="s">
        <v>24</v>
      </c>
      <c r="M14" s="111" t="s">
        <v>25</v>
      </c>
      <c r="N14" s="112" t="s">
        <v>5</v>
      </c>
      <c r="O14" s="39"/>
      <c r="P14" s="113" t="s">
        <v>27</v>
      </c>
      <c r="Q14" s="113" t="s">
        <v>38</v>
      </c>
      <c r="R14" s="114" t="s">
        <v>35</v>
      </c>
      <c r="S14" s="114" t="s">
        <v>358</v>
      </c>
      <c r="T14" s="114" t="s">
        <v>34</v>
      </c>
      <c r="U14" s="114" t="s">
        <v>30</v>
      </c>
      <c r="V14" s="113" t="s">
        <v>36</v>
      </c>
      <c r="W14" s="115" t="s">
        <v>31</v>
      </c>
      <c r="X14" s="113"/>
      <c r="Y14" s="113" t="s">
        <v>32</v>
      </c>
      <c r="Z14" s="114" t="s">
        <v>33</v>
      </c>
    </row>
    <row r="15" spans="1:26" x14ac:dyDescent="0.25">
      <c r="A15" s="65">
        <v>0.5</v>
      </c>
      <c r="B15" s="65">
        <v>7.5</v>
      </c>
      <c r="C15" s="65">
        <v>8.5</v>
      </c>
      <c r="D15" s="66">
        <v>0.125</v>
      </c>
      <c r="E15" s="66">
        <v>0.06</v>
      </c>
      <c r="F15" s="66">
        <f>(A15+B15)*C15</f>
        <v>68</v>
      </c>
      <c r="G15" s="66">
        <f>(A15+B15)/E15</f>
        <v>133.33333333333334</v>
      </c>
      <c r="H15" s="66">
        <f t="shared" ref="H15" si="7">C15/10</f>
        <v>0.85</v>
      </c>
      <c r="I15" s="66">
        <v>3.5</v>
      </c>
      <c r="J15" s="67">
        <f t="shared" ref="J15" si="8">H15*G15/60</f>
        <v>1.8888888888888891</v>
      </c>
      <c r="K15" s="67">
        <f>J15+I15</f>
        <v>5.3888888888888893</v>
      </c>
      <c r="L15" s="68">
        <v>275</v>
      </c>
      <c r="M15" s="69">
        <f>L15/60</f>
        <v>4.583333333333333</v>
      </c>
      <c r="N15" s="70">
        <f>ROUNDUP(K15*M15,1)</f>
        <v>24.700000000000003</v>
      </c>
      <c r="O15" s="56"/>
      <c r="P15" s="30">
        <v>125</v>
      </c>
      <c r="Q15" s="71">
        <v>0.02</v>
      </c>
      <c r="R15" s="32">
        <v>8</v>
      </c>
      <c r="S15" s="35">
        <f>N15*R15</f>
        <v>197.60000000000002</v>
      </c>
      <c r="T15" s="33">
        <f>IF(S15&gt;Y15,S15,Y15)</f>
        <v>275</v>
      </c>
      <c r="U15" s="33">
        <f>T15+P15</f>
        <v>400</v>
      </c>
      <c r="V15" s="33">
        <f>ROUNDUP(U15*Q15,0)</f>
        <v>8</v>
      </c>
      <c r="W15" s="33">
        <f>U15+V15</f>
        <v>408</v>
      </c>
      <c r="X15" s="34"/>
      <c r="Y15" s="57">
        <v>275</v>
      </c>
      <c r="Z15" s="36">
        <f>ROUNDDOWN(Y15/N15,0)</f>
        <v>11</v>
      </c>
    </row>
    <row r="16" spans="1:26" ht="26.25" x14ac:dyDescent="0.25">
      <c r="A16" s="1"/>
      <c r="B16" s="168" t="s">
        <v>148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0"/>
      <c r="P16" s="61"/>
      <c r="Q16" s="62"/>
      <c r="R16" s="60"/>
      <c r="S16" s="60"/>
      <c r="T16" s="63"/>
      <c r="U16" s="63"/>
      <c r="V16" s="63"/>
      <c r="W16" s="63"/>
      <c r="X16" s="60"/>
      <c r="Y16" s="60"/>
      <c r="Z16" s="64"/>
    </row>
    <row r="17" spans="1:29" x14ac:dyDescent="0.25">
      <c r="A17" s="1"/>
      <c r="B17" s="4" t="s">
        <v>13</v>
      </c>
      <c r="C17" s="4" t="s">
        <v>7</v>
      </c>
      <c r="D17" s="2" t="s">
        <v>2</v>
      </c>
      <c r="E17" s="4" t="s">
        <v>1</v>
      </c>
      <c r="F17" s="5" t="s">
        <v>20</v>
      </c>
      <c r="G17" s="4" t="s">
        <v>14</v>
      </c>
      <c r="H17" s="4" t="s">
        <v>15</v>
      </c>
      <c r="I17" s="4" t="s">
        <v>17</v>
      </c>
      <c r="J17" s="4" t="s">
        <v>16</v>
      </c>
      <c r="K17" s="4" t="s">
        <v>18</v>
      </c>
      <c r="L17" s="2" t="s">
        <v>24</v>
      </c>
      <c r="M17" s="2" t="s">
        <v>25</v>
      </c>
      <c r="N17" s="6" t="s">
        <v>19</v>
      </c>
      <c r="O17" s="40"/>
      <c r="P17" s="42" t="s">
        <v>27</v>
      </c>
      <c r="Q17" s="43" t="s">
        <v>38</v>
      </c>
      <c r="R17" s="49" t="s">
        <v>35</v>
      </c>
      <c r="S17" s="114" t="s">
        <v>358</v>
      </c>
      <c r="T17" s="52" t="s">
        <v>34</v>
      </c>
      <c r="U17" s="44" t="s">
        <v>30</v>
      </c>
      <c r="V17" s="53" t="s">
        <v>36</v>
      </c>
      <c r="W17" s="46" t="s">
        <v>37</v>
      </c>
      <c r="X17" s="21"/>
      <c r="Y17" s="37" t="s">
        <v>32</v>
      </c>
      <c r="Z17" s="37" t="s">
        <v>33</v>
      </c>
    </row>
    <row r="18" spans="1:29" x14ac:dyDescent="0.25">
      <c r="A18" s="1"/>
      <c r="B18" s="14">
        <v>2</v>
      </c>
      <c r="C18" s="14">
        <v>2</v>
      </c>
      <c r="D18" s="66" t="s">
        <v>0</v>
      </c>
      <c r="E18" s="16">
        <v>0.06</v>
      </c>
      <c r="F18" s="16">
        <f>B18*3.14</f>
        <v>6.28</v>
      </c>
      <c r="G18" s="17">
        <f>F18/E18</f>
        <v>104.66666666666667</v>
      </c>
      <c r="H18" s="16">
        <f>C18/10</f>
        <v>0.2</v>
      </c>
      <c r="I18" s="16">
        <v>3.5</v>
      </c>
      <c r="J18" s="19">
        <f>H18*G18/60</f>
        <v>0.34888888888888897</v>
      </c>
      <c r="K18" s="20">
        <f>J18+I18</f>
        <v>3.8488888888888888</v>
      </c>
      <c r="L18" s="68">
        <v>275</v>
      </c>
      <c r="M18" s="69">
        <f>L18/60</f>
        <v>4.583333333333333</v>
      </c>
      <c r="N18" s="18">
        <f>ROUNDUP(K18*M18,1)</f>
        <v>17.700000000000003</v>
      </c>
      <c r="O18" s="56"/>
      <c r="P18" s="30">
        <v>125</v>
      </c>
      <c r="Q18" s="71">
        <v>0.02</v>
      </c>
      <c r="R18" s="32">
        <v>1</v>
      </c>
      <c r="S18" s="35">
        <f>N18*R18</f>
        <v>17.700000000000003</v>
      </c>
      <c r="T18" s="33">
        <f>IF(S18&gt;Y18,S18,Y18)</f>
        <v>275</v>
      </c>
      <c r="U18" s="33">
        <f>T18+P18</f>
        <v>400</v>
      </c>
      <c r="V18" s="33">
        <f>ROUNDUP(U18*Q18,0)</f>
        <v>8</v>
      </c>
      <c r="W18" s="33">
        <f t="shared" ref="W18" si="9">U18+V18</f>
        <v>408</v>
      </c>
      <c r="X18" s="56"/>
      <c r="Y18" s="58">
        <v>275</v>
      </c>
      <c r="Z18" s="47">
        <f>ROUNDDOWN(Y18/N18,0)</f>
        <v>15</v>
      </c>
    </row>
    <row r="21" spans="1:29" ht="24" thickBot="1" x14ac:dyDescent="0.4">
      <c r="A21" s="171"/>
      <c r="B21" s="172" t="s">
        <v>119</v>
      </c>
      <c r="C21" s="173"/>
      <c r="I21" s="171"/>
      <c r="J21" s="198"/>
      <c r="K21" s="198"/>
      <c r="L21" s="198"/>
      <c r="M21" s="198"/>
      <c r="N21" s="172" t="s">
        <v>149</v>
      </c>
      <c r="O21" s="198"/>
      <c r="P21" s="198"/>
      <c r="Q21" s="198"/>
      <c r="R21" s="173"/>
      <c r="U21" s="494" t="s">
        <v>348</v>
      </c>
      <c r="V21" s="436"/>
      <c r="W21" s="436"/>
      <c r="X21" s="436"/>
      <c r="Y21" s="1"/>
      <c r="Z21" s="460" t="s">
        <v>362</v>
      </c>
      <c r="AA21" s="461"/>
      <c r="AB21" s="461"/>
      <c r="AC21" s="461"/>
    </row>
    <row r="22" spans="1:29" ht="16.5" thickTop="1" x14ac:dyDescent="0.25">
      <c r="A22" s="174" t="s">
        <v>32</v>
      </c>
      <c r="C22" s="175">
        <v>250</v>
      </c>
      <c r="I22" s="174" t="s">
        <v>150</v>
      </c>
      <c r="R22" s="176"/>
      <c r="U22" s="362" t="s">
        <v>207</v>
      </c>
      <c r="V22" s="363"/>
      <c r="W22" s="352"/>
      <c r="X22" s="364">
        <f>N7</f>
        <v>15.299999999999999</v>
      </c>
      <c r="Y22" s="1"/>
      <c r="Z22" s="462" t="s">
        <v>207</v>
      </c>
      <c r="AA22" s="463"/>
      <c r="AB22" s="383"/>
      <c r="AC22" s="470">
        <f>N3</f>
        <v>25.200000000000003</v>
      </c>
    </row>
    <row r="23" spans="1:29" ht="15.75" x14ac:dyDescent="0.25">
      <c r="A23" s="174" t="s">
        <v>120</v>
      </c>
      <c r="C23" s="175">
        <v>125</v>
      </c>
      <c r="I23" s="174" t="s">
        <v>151</v>
      </c>
      <c r="R23" s="176"/>
      <c r="U23" s="365" t="s">
        <v>208</v>
      </c>
      <c r="V23" s="1"/>
      <c r="X23" s="366">
        <f>R7</f>
        <v>4</v>
      </c>
      <c r="Y23" s="1"/>
      <c r="Z23" s="464" t="s">
        <v>208</v>
      </c>
      <c r="AA23" s="1"/>
      <c r="AC23" s="471">
        <f>R3</f>
        <v>1</v>
      </c>
    </row>
    <row r="24" spans="1:29" ht="15.75" x14ac:dyDescent="0.25">
      <c r="A24" s="174" t="s">
        <v>36</v>
      </c>
      <c r="C24" s="176" t="s">
        <v>122</v>
      </c>
      <c r="I24" s="174"/>
      <c r="R24" s="176"/>
      <c r="U24" s="365" t="s">
        <v>209</v>
      </c>
      <c r="V24" s="1"/>
      <c r="X24" s="367">
        <f>T7</f>
        <v>250</v>
      </c>
      <c r="Y24" s="1"/>
      <c r="Z24" s="464" t="s">
        <v>209</v>
      </c>
      <c r="AA24" s="1"/>
      <c r="AC24" s="469">
        <f>T3</f>
        <v>250</v>
      </c>
    </row>
    <row r="25" spans="1:29" ht="15.75" x14ac:dyDescent="0.25">
      <c r="A25" s="174" t="s">
        <v>121</v>
      </c>
      <c r="C25" s="176" t="s">
        <v>123</v>
      </c>
      <c r="I25" s="174" t="s">
        <v>152</v>
      </c>
      <c r="R25" s="176"/>
      <c r="U25" s="365" t="s">
        <v>210</v>
      </c>
      <c r="V25" s="1"/>
      <c r="X25" s="367">
        <f>V7</f>
        <v>8</v>
      </c>
      <c r="Y25" s="1"/>
      <c r="Z25" s="464" t="s">
        <v>210</v>
      </c>
      <c r="AA25" s="1"/>
      <c r="AC25" s="469">
        <f>V3</f>
        <v>8</v>
      </c>
    </row>
    <row r="26" spans="1:29" ht="15.75" x14ac:dyDescent="0.25">
      <c r="A26" s="177" t="s">
        <v>124</v>
      </c>
      <c r="B26" s="178"/>
      <c r="C26" s="179">
        <v>100</v>
      </c>
      <c r="I26" s="174" t="s">
        <v>153</v>
      </c>
      <c r="R26" s="176"/>
      <c r="U26" s="365" t="s">
        <v>216</v>
      </c>
      <c r="X26" s="368">
        <f>P7</f>
        <v>125</v>
      </c>
      <c r="Y26" s="1"/>
      <c r="Z26" s="464" t="s">
        <v>216</v>
      </c>
      <c r="AC26" s="465">
        <f>P3</f>
        <v>125</v>
      </c>
    </row>
    <row r="27" spans="1:29" ht="15.75" x14ac:dyDescent="0.25">
      <c r="I27" s="174"/>
      <c r="R27" s="176"/>
      <c r="U27" s="365" t="s">
        <v>211</v>
      </c>
      <c r="V27" s="1"/>
      <c r="X27" s="367">
        <f>W7</f>
        <v>383</v>
      </c>
      <c r="Y27" s="1"/>
      <c r="Z27" s="464" t="s">
        <v>211</v>
      </c>
      <c r="AA27" s="1"/>
      <c r="AC27" s="469">
        <f>W3</f>
        <v>383</v>
      </c>
    </row>
    <row r="28" spans="1:29" ht="16.5" thickBot="1" x14ac:dyDescent="0.3">
      <c r="I28" s="174" t="s">
        <v>154</v>
      </c>
      <c r="R28" s="176"/>
      <c r="U28" s="369" t="s">
        <v>346</v>
      </c>
      <c r="V28" s="354"/>
      <c r="W28" s="437"/>
      <c r="X28" s="438" t="s">
        <v>347</v>
      </c>
      <c r="Y28" s="1"/>
      <c r="Z28" s="466" t="s">
        <v>346</v>
      </c>
      <c r="AA28" s="388"/>
      <c r="AB28" s="467"/>
      <c r="AC28" s="468" t="s">
        <v>347</v>
      </c>
    </row>
    <row r="29" spans="1:29" ht="15.75" thickTop="1" x14ac:dyDescent="0.25">
      <c r="I29" s="177" t="s">
        <v>155</v>
      </c>
      <c r="J29" s="178"/>
      <c r="K29" s="178"/>
      <c r="L29" s="178"/>
      <c r="M29" s="178"/>
      <c r="N29" s="178"/>
      <c r="O29" s="178"/>
      <c r="P29" s="178"/>
      <c r="Q29" s="178"/>
      <c r="R29" s="199"/>
      <c r="W29" s="1"/>
      <c r="X29" s="1"/>
      <c r="Y29" s="1"/>
    </row>
    <row r="30" spans="1:29" ht="24" thickBot="1" x14ac:dyDescent="0.4">
      <c r="U30" s="541" t="s">
        <v>284</v>
      </c>
      <c r="V30" s="541"/>
      <c r="W30" s="541"/>
      <c r="X30" s="541"/>
      <c r="Y30" s="1"/>
    </row>
    <row r="31" spans="1:29" ht="16.5" thickTop="1" x14ac:dyDescent="0.25">
      <c r="U31" s="362" t="s">
        <v>207</v>
      </c>
      <c r="V31" s="363"/>
      <c r="W31" s="352"/>
      <c r="X31" s="364">
        <f>N10</f>
        <v>79</v>
      </c>
      <c r="Y31" s="1"/>
    </row>
    <row r="32" spans="1:29" ht="15.75" x14ac:dyDescent="0.25">
      <c r="U32" s="365" t="s">
        <v>208</v>
      </c>
      <c r="V32" s="1"/>
      <c r="X32" s="366">
        <f>R10</f>
        <v>4</v>
      </c>
      <c r="Y32" s="1"/>
    </row>
    <row r="33" spans="21:25" ht="15.75" x14ac:dyDescent="0.25">
      <c r="U33" s="365" t="s">
        <v>209</v>
      </c>
      <c r="V33" s="1"/>
      <c r="X33" s="367">
        <f>T10</f>
        <v>316</v>
      </c>
      <c r="Y33" s="1"/>
    </row>
    <row r="34" spans="21:25" ht="15.75" x14ac:dyDescent="0.25">
      <c r="U34" s="365" t="s">
        <v>210</v>
      </c>
      <c r="V34" s="1"/>
      <c r="X34" s="367">
        <f>V10</f>
        <v>9</v>
      </c>
      <c r="Y34" s="1"/>
    </row>
    <row r="35" spans="21:25" ht="15.75" x14ac:dyDescent="0.25">
      <c r="U35" s="365" t="s">
        <v>216</v>
      </c>
      <c r="X35" s="368">
        <f>P10</f>
        <v>125</v>
      </c>
      <c r="Y35" s="1"/>
    </row>
    <row r="36" spans="21:25" ht="15.75" x14ac:dyDescent="0.25">
      <c r="U36" s="365" t="s">
        <v>211</v>
      </c>
      <c r="V36" s="1"/>
      <c r="X36" s="367">
        <f>W10</f>
        <v>450</v>
      </c>
      <c r="Y36" s="1"/>
    </row>
    <row r="37" spans="21:25" ht="16.5" thickBot="1" x14ac:dyDescent="0.3">
      <c r="U37" s="369" t="s">
        <v>346</v>
      </c>
      <c r="V37" s="354"/>
      <c r="W37" s="539" t="s">
        <v>347</v>
      </c>
      <c r="X37" s="540"/>
      <c r="Y37" s="1"/>
    </row>
    <row r="38" spans="21:25" ht="15.75" thickTop="1" x14ac:dyDescent="0.25"/>
  </sheetData>
  <mergeCells count="2">
    <mergeCell ref="U30:X30"/>
    <mergeCell ref="W37:X37"/>
  </mergeCell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93B5-961F-4509-B39E-D9577EF4AEFC}">
  <sheetPr>
    <tabColor rgb="FF92D050"/>
  </sheetPr>
  <dimension ref="A1:AC38"/>
  <sheetViews>
    <sheetView workbookViewId="0">
      <selection sqref="A1:AC37"/>
    </sheetView>
  </sheetViews>
  <sheetFormatPr defaultRowHeight="15" x14ac:dyDescent="0.25"/>
  <cols>
    <col min="5" max="8" width="0" hidden="1" customWidth="1"/>
    <col min="22" max="22" width="14.42578125" customWidth="1"/>
    <col min="24" max="24" width="13.85546875" customWidth="1"/>
    <col min="29" max="29" width="17.28515625" customWidth="1"/>
  </cols>
  <sheetData>
    <row r="1" spans="1:26" ht="26.25" x14ac:dyDescent="0.25">
      <c r="A1" s="134" t="s">
        <v>412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358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1</v>
      </c>
      <c r="B3" s="65">
        <v>23</v>
      </c>
      <c r="C3" s="65">
        <v>25</v>
      </c>
      <c r="D3" s="66">
        <v>0.125</v>
      </c>
      <c r="E3" s="66">
        <v>0.1</v>
      </c>
      <c r="F3" s="66">
        <f>(A3+B3)*C3</f>
        <v>600</v>
      </c>
      <c r="G3" s="66">
        <f>(A3+B3)/E3</f>
        <v>240</v>
      </c>
      <c r="H3" s="66">
        <f t="shared" ref="H3" si="0">C3/10</f>
        <v>2.5</v>
      </c>
      <c r="I3" s="66">
        <v>6</v>
      </c>
      <c r="J3" s="67">
        <f t="shared" ref="J3" si="1">H3*G3/60</f>
        <v>10</v>
      </c>
      <c r="K3" s="67">
        <f>J3+I3</f>
        <v>16</v>
      </c>
      <c r="L3" s="68">
        <v>250</v>
      </c>
      <c r="M3" s="69">
        <f>L3/60</f>
        <v>4.166666666666667</v>
      </c>
      <c r="N3" s="70">
        <f>ROUNDUP(K3*M3,1)</f>
        <v>66.699999999999989</v>
      </c>
      <c r="O3" s="56"/>
      <c r="P3" s="30">
        <v>125</v>
      </c>
      <c r="Q3" s="71">
        <v>0.02</v>
      </c>
      <c r="R3" s="32">
        <v>4</v>
      </c>
      <c r="S3" s="35">
        <f>N3*R3</f>
        <v>266.79999999999995</v>
      </c>
      <c r="T3" s="33">
        <f>IF(S3&gt;Y3,S3,Y3)</f>
        <v>266.79999999999995</v>
      </c>
      <c r="U3" s="33">
        <f>T3+P3</f>
        <v>391.79999999999995</v>
      </c>
      <c r="V3" s="33">
        <f>ROUNDUP(U3*Q3,0)</f>
        <v>8</v>
      </c>
      <c r="W3" s="33">
        <f t="shared" ref="W3" si="2">U3+V3</f>
        <v>399.79999999999995</v>
      </c>
      <c r="X3" s="34"/>
      <c r="Y3" s="57">
        <v>250</v>
      </c>
      <c r="Z3" s="36">
        <f>ROUNDDOWN(Y3/N3,0)</f>
        <v>3</v>
      </c>
    </row>
    <row r="5" spans="1:26" ht="26.25" x14ac:dyDescent="0.25">
      <c r="A5" s="134" t="s">
        <v>312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82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88"/>
    </row>
    <row r="6" spans="1:26" ht="30" x14ac:dyDescent="0.25">
      <c r="A6" s="111" t="s">
        <v>23</v>
      </c>
      <c r="B6" s="111" t="s">
        <v>8</v>
      </c>
      <c r="C6" s="111" t="s">
        <v>7</v>
      </c>
      <c r="D6" s="111" t="s">
        <v>2</v>
      </c>
      <c r="E6" s="111" t="s">
        <v>1</v>
      </c>
      <c r="F6" s="111" t="s">
        <v>6</v>
      </c>
      <c r="G6" s="111" t="s">
        <v>3</v>
      </c>
      <c r="H6" s="111" t="s">
        <v>21</v>
      </c>
      <c r="I6" s="111" t="s">
        <v>9</v>
      </c>
      <c r="J6" s="111" t="s">
        <v>4</v>
      </c>
      <c r="K6" s="111" t="s">
        <v>10</v>
      </c>
      <c r="L6" s="111" t="s">
        <v>24</v>
      </c>
      <c r="M6" s="111" t="s">
        <v>25</v>
      </c>
      <c r="N6" s="112" t="s">
        <v>5</v>
      </c>
      <c r="O6" s="39"/>
      <c r="P6" s="113" t="s">
        <v>27</v>
      </c>
      <c r="Q6" s="113" t="s">
        <v>38</v>
      </c>
      <c r="R6" s="114" t="s">
        <v>35</v>
      </c>
      <c r="S6" s="114" t="s">
        <v>358</v>
      </c>
      <c r="T6" s="114" t="s">
        <v>34</v>
      </c>
      <c r="U6" s="114" t="s">
        <v>30</v>
      </c>
      <c r="V6" s="113" t="s">
        <v>36</v>
      </c>
      <c r="W6" s="115" t="s">
        <v>31</v>
      </c>
      <c r="X6" s="113"/>
      <c r="Y6" s="113" t="s">
        <v>32</v>
      </c>
      <c r="Z6" s="114" t="s">
        <v>33</v>
      </c>
    </row>
    <row r="7" spans="1:26" x14ac:dyDescent="0.25">
      <c r="A7" s="65">
        <v>0.75</v>
      </c>
      <c r="B7" s="65">
        <v>1.5</v>
      </c>
      <c r="C7" s="65">
        <v>1.625</v>
      </c>
      <c r="D7" s="66">
        <v>0.125</v>
      </c>
      <c r="E7" s="66">
        <v>6.5000000000000002E-2</v>
      </c>
      <c r="F7" s="66">
        <f>(A7+B7)*C7</f>
        <v>3.65625</v>
      </c>
      <c r="G7" s="66">
        <f>(A7+B7)/E7</f>
        <v>34.615384615384613</v>
      </c>
      <c r="H7" s="66">
        <f t="shared" ref="H7" si="3">C7/10</f>
        <v>0.16250000000000001</v>
      </c>
      <c r="I7" s="66">
        <v>2.5</v>
      </c>
      <c r="J7" s="67">
        <f t="shared" ref="J7" si="4">H7*G7/60</f>
        <v>9.375E-2</v>
      </c>
      <c r="K7" s="67">
        <f>J7+I7</f>
        <v>2.59375</v>
      </c>
      <c r="L7" s="68">
        <v>250</v>
      </c>
      <c r="M7" s="69">
        <f>L7/60</f>
        <v>4.166666666666667</v>
      </c>
      <c r="N7" s="70">
        <f>ROUNDUP(K7*M7,1)</f>
        <v>10.9</v>
      </c>
      <c r="O7" s="56"/>
      <c r="P7" s="30">
        <v>125</v>
      </c>
      <c r="Q7" s="71">
        <v>0.02</v>
      </c>
      <c r="R7" s="32">
        <v>17</v>
      </c>
      <c r="S7" s="35">
        <f>N7*R7</f>
        <v>185.3</v>
      </c>
      <c r="T7" s="33">
        <f>IF(S7&gt;Y7,S7,Y7)</f>
        <v>250</v>
      </c>
      <c r="U7" s="33">
        <f>T7+P7</f>
        <v>375</v>
      </c>
      <c r="V7" s="33">
        <f>ROUNDUP(U7*Q7,0)</f>
        <v>8</v>
      </c>
      <c r="W7" s="33">
        <f t="shared" ref="W7" si="5">U7+V7</f>
        <v>383</v>
      </c>
      <c r="X7" s="34"/>
      <c r="Y7" s="57">
        <v>250</v>
      </c>
      <c r="Z7" s="36">
        <f>ROUNDDOWN(Y7/N7,0)</f>
        <v>22</v>
      </c>
    </row>
    <row r="8" spans="1:26" ht="26.25" x14ac:dyDescent="0.25">
      <c r="B8" s="168" t="s">
        <v>12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0"/>
      <c r="P8" s="61"/>
      <c r="Q8" s="62"/>
      <c r="R8" s="60"/>
      <c r="S8" s="60"/>
      <c r="T8" s="63"/>
      <c r="U8" s="63"/>
      <c r="V8" s="63"/>
      <c r="W8" s="63"/>
      <c r="X8" s="60"/>
      <c r="Y8" s="60"/>
      <c r="Z8" s="64"/>
    </row>
    <row r="9" spans="1:26" x14ac:dyDescent="0.25">
      <c r="B9" s="4" t="s">
        <v>13</v>
      </c>
      <c r="C9" s="4" t="s">
        <v>7</v>
      </c>
      <c r="D9" s="2" t="s">
        <v>2</v>
      </c>
      <c r="E9" s="4" t="s">
        <v>1</v>
      </c>
      <c r="F9" s="5" t="s">
        <v>20</v>
      </c>
      <c r="G9" s="4" t="s">
        <v>14</v>
      </c>
      <c r="H9" s="4" t="s">
        <v>15</v>
      </c>
      <c r="I9" s="4" t="s">
        <v>17</v>
      </c>
      <c r="J9" s="4" t="s">
        <v>16</v>
      </c>
      <c r="K9" s="4" t="s">
        <v>18</v>
      </c>
      <c r="L9" s="2" t="s">
        <v>24</v>
      </c>
      <c r="M9" s="2" t="s">
        <v>25</v>
      </c>
      <c r="N9" s="6" t="s">
        <v>19</v>
      </c>
      <c r="O9" s="40"/>
      <c r="P9" s="42" t="s">
        <v>27</v>
      </c>
      <c r="Q9" s="43" t="s">
        <v>38</v>
      </c>
      <c r="R9" s="49" t="s">
        <v>35</v>
      </c>
      <c r="S9" s="114" t="s">
        <v>358</v>
      </c>
      <c r="T9" s="52" t="s">
        <v>34</v>
      </c>
      <c r="U9" s="44" t="s">
        <v>30</v>
      </c>
      <c r="V9" s="53" t="s">
        <v>36</v>
      </c>
      <c r="W9" s="46" t="s">
        <v>37</v>
      </c>
      <c r="X9" s="21"/>
      <c r="Y9" s="37" t="s">
        <v>32</v>
      </c>
      <c r="Z9" s="37" t="s">
        <v>33</v>
      </c>
    </row>
    <row r="10" spans="1:26" x14ac:dyDescent="0.25">
      <c r="B10" s="14">
        <v>6</v>
      </c>
      <c r="C10" s="14">
        <v>7</v>
      </c>
      <c r="D10" s="66" t="s">
        <v>0</v>
      </c>
      <c r="E10" s="16">
        <v>6.5000000000000002E-2</v>
      </c>
      <c r="F10" s="16">
        <f>B10*3.14</f>
        <v>18.84</v>
      </c>
      <c r="G10" s="17">
        <f>F10/E10</f>
        <v>289.84615384615381</v>
      </c>
      <c r="H10" s="16">
        <f>C10/10</f>
        <v>0.7</v>
      </c>
      <c r="I10" s="16">
        <v>3</v>
      </c>
      <c r="J10" s="19">
        <f>H10*G10/60</f>
        <v>3.3815384615384612</v>
      </c>
      <c r="K10" s="20">
        <f>J10+I10</f>
        <v>6.3815384615384616</v>
      </c>
      <c r="L10" s="68">
        <v>250</v>
      </c>
      <c r="M10" s="69">
        <f>L10/60</f>
        <v>4.166666666666667</v>
      </c>
      <c r="N10" s="18">
        <f>ROUNDUP(K10*M10,1)</f>
        <v>26.6</v>
      </c>
      <c r="O10" s="56"/>
      <c r="P10" s="30">
        <v>125</v>
      </c>
      <c r="Q10" s="71">
        <v>0.02</v>
      </c>
      <c r="R10" s="32">
        <v>16</v>
      </c>
      <c r="S10" s="35">
        <f>N10*R10</f>
        <v>425.6</v>
      </c>
      <c r="T10" s="33">
        <f>IF(S10&gt;Y10,S10,Y10)</f>
        <v>425.6</v>
      </c>
      <c r="U10" s="33">
        <f>T10+P10</f>
        <v>550.6</v>
      </c>
      <c r="V10" s="33">
        <f>ROUNDUP(U10*Q10,0)</f>
        <v>12</v>
      </c>
      <c r="W10" s="33">
        <f t="shared" ref="W10" si="6">U10+V10</f>
        <v>562.6</v>
      </c>
      <c r="X10" s="56"/>
      <c r="Y10" s="58">
        <v>250</v>
      </c>
      <c r="Z10" s="47">
        <f>ROUNDDOWN(Y10/N10,0)</f>
        <v>9</v>
      </c>
    </row>
    <row r="11" spans="1:26" ht="18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4"/>
      <c r="P11" s="28"/>
      <c r="Q11" s="29"/>
      <c r="R11" s="21"/>
      <c r="S11" s="21"/>
      <c r="T11" s="27"/>
      <c r="U11" s="27"/>
      <c r="V11" s="27"/>
      <c r="W11" s="27"/>
      <c r="X11" s="25"/>
      <c r="Y11" s="21"/>
      <c r="Z11" s="21"/>
    </row>
    <row r="12" spans="1:26" x14ac:dyDescent="0.25">
      <c r="A12" s="1"/>
    </row>
    <row r="13" spans="1:26" ht="26.25" x14ac:dyDescent="0.25">
      <c r="A13" s="134" t="s">
        <v>147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82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88"/>
    </row>
    <row r="14" spans="1:26" ht="30" x14ac:dyDescent="0.25">
      <c r="A14" s="111" t="s">
        <v>23</v>
      </c>
      <c r="B14" s="111" t="s">
        <v>8</v>
      </c>
      <c r="C14" s="111" t="s">
        <v>7</v>
      </c>
      <c r="D14" s="111" t="s">
        <v>2</v>
      </c>
      <c r="E14" s="111" t="s">
        <v>1</v>
      </c>
      <c r="F14" s="111" t="s">
        <v>6</v>
      </c>
      <c r="G14" s="111" t="s">
        <v>3</v>
      </c>
      <c r="H14" s="111" t="s">
        <v>21</v>
      </c>
      <c r="I14" s="111" t="s">
        <v>9</v>
      </c>
      <c r="J14" s="111" t="s">
        <v>4</v>
      </c>
      <c r="K14" s="111" t="s">
        <v>10</v>
      </c>
      <c r="L14" s="111" t="s">
        <v>24</v>
      </c>
      <c r="M14" s="111" t="s">
        <v>25</v>
      </c>
      <c r="N14" s="112" t="s">
        <v>5</v>
      </c>
      <c r="O14" s="39"/>
      <c r="P14" s="113" t="s">
        <v>27</v>
      </c>
      <c r="Q14" s="113" t="s">
        <v>38</v>
      </c>
      <c r="R14" s="114" t="s">
        <v>35</v>
      </c>
      <c r="S14" s="114" t="s">
        <v>358</v>
      </c>
      <c r="T14" s="114" t="s">
        <v>34</v>
      </c>
      <c r="U14" s="114" t="s">
        <v>30</v>
      </c>
      <c r="V14" s="113" t="s">
        <v>36</v>
      </c>
      <c r="W14" s="115" t="s">
        <v>31</v>
      </c>
      <c r="X14" s="113"/>
      <c r="Y14" s="113" t="s">
        <v>32</v>
      </c>
      <c r="Z14" s="114" t="s">
        <v>33</v>
      </c>
    </row>
    <row r="15" spans="1:26" x14ac:dyDescent="0.25">
      <c r="A15" s="65">
        <v>0.5</v>
      </c>
      <c r="B15" s="65">
        <v>7.5</v>
      </c>
      <c r="C15" s="65">
        <v>8.5</v>
      </c>
      <c r="D15" s="66">
        <v>0.125</v>
      </c>
      <c r="E15" s="66">
        <v>0.06</v>
      </c>
      <c r="F15" s="66">
        <f>(A15+B15)*C15</f>
        <v>68</v>
      </c>
      <c r="G15" s="66">
        <f>(A15+B15)/E15</f>
        <v>133.33333333333334</v>
      </c>
      <c r="H15" s="66">
        <f t="shared" ref="H15" si="7">C15/10</f>
        <v>0.85</v>
      </c>
      <c r="I15" s="66">
        <v>3.5</v>
      </c>
      <c r="J15" s="67">
        <f t="shared" ref="J15" si="8">H15*G15/60</f>
        <v>1.8888888888888891</v>
      </c>
      <c r="K15" s="67">
        <f>J15+I15</f>
        <v>5.3888888888888893</v>
      </c>
      <c r="L15" s="68">
        <v>275</v>
      </c>
      <c r="M15" s="69">
        <f>L15/60</f>
        <v>4.583333333333333</v>
      </c>
      <c r="N15" s="70">
        <f>ROUNDUP(K15*M15,1)</f>
        <v>24.700000000000003</v>
      </c>
      <c r="O15" s="56"/>
      <c r="P15" s="30">
        <v>125</v>
      </c>
      <c r="Q15" s="71">
        <v>0.02</v>
      </c>
      <c r="R15" s="32">
        <v>8</v>
      </c>
      <c r="S15" s="35">
        <f>N15*R15</f>
        <v>197.60000000000002</v>
      </c>
      <c r="T15" s="33">
        <f>IF(S15&gt;Y15,S15,Y15)</f>
        <v>275</v>
      </c>
      <c r="U15" s="33">
        <f>T15+P15</f>
        <v>400</v>
      </c>
      <c r="V15" s="33">
        <f>ROUNDUP(U15*Q15,0)</f>
        <v>8</v>
      </c>
      <c r="W15" s="33">
        <f>U15+V15</f>
        <v>408</v>
      </c>
      <c r="X15" s="34"/>
      <c r="Y15" s="57">
        <v>275</v>
      </c>
      <c r="Z15" s="36">
        <f>ROUNDDOWN(Y15/N15,0)</f>
        <v>11</v>
      </c>
    </row>
    <row r="16" spans="1:26" ht="26.25" x14ac:dyDescent="0.25">
      <c r="A16" s="1"/>
      <c r="B16" s="168" t="s">
        <v>148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0"/>
      <c r="P16" s="61"/>
      <c r="Q16" s="62"/>
      <c r="R16" s="60"/>
      <c r="S16" s="60"/>
      <c r="T16" s="63"/>
      <c r="U16" s="63"/>
      <c r="V16" s="63"/>
      <c r="W16" s="63"/>
      <c r="X16" s="60"/>
      <c r="Y16" s="60"/>
      <c r="Z16" s="64"/>
    </row>
    <row r="17" spans="1:29" x14ac:dyDescent="0.25">
      <c r="A17" s="1"/>
      <c r="B17" s="4" t="s">
        <v>13</v>
      </c>
      <c r="C17" s="4" t="s">
        <v>7</v>
      </c>
      <c r="D17" s="2" t="s">
        <v>2</v>
      </c>
      <c r="E17" s="4" t="s">
        <v>1</v>
      </c>
      <c r="F17" s="5" t="s">
        <v>20</v>
      </c>
      <c r="G17" s="4" t="s">
        <v>14</v>
      </c>
      <c r="H17" s="4" t="s">
        <v>15</v>
      </c>
      <c r="I17" s="4" t="s">
        <v>17</v>
      </c>
      <c r="J17" s="4" t="s">
        <v>16</v>
      </c>
      <c r="K17" s="4" t="s">
        <v>18</v>
      </c>
      <c r="L17" s="2" t="s">
        <v>24</v>
      </c>
      <c r="M17" s="2" t="s">
        <v>25</v>
      </c>
      <c r="N17" s="6" t="s">
        <v>19</v>
      </c>
      <c r="O17" s="40"/>
      <c r="P17" s="42" t="s">
        <v>27</v>
      </c>
      <c r="Q17" s="43" t="s">
        <v>38</v>
      </c>
      <c r="R17" s="49" t="s">
        <v>35</v>
      </c>
      <c r="S17" s="114" t="s">
        <v>358</v>
      </c>
      <c r="T17" s="52" t="s">
        <v>34</v>
      </c>
      <c r="U17" s="44" t="s">
        <v>30</v>
      </c>
      <c r="V17" s="53" t="s">
        <v>36</v>
      </c>
      <c r="W17" s="46" t="s">
        <v>37</v>
      </c>
      <c r="X17" s="21"/>
      <c r="Y17" s="37" t="s">
        <v>32</v>
      </c>
      <c r="Z17" s="37" t="s">
        <v>33</v>
      </c>
    </row>
    <row r="18" spans="1:29" x14ac:dyDescent="0.25">
      <c r="A18" s="1"/>
      <c r="B18" s="14">
        <v>2</v>
      </c>
      <c r="C18" s="14">
        <v>2</v>
      </c>
      <c r="D18" s="66" t="s">
        <v>0</v>
      </c>
      <c r="E18" s="16">
        <v>0.06</v>
      </c>
      <c r="F18" s="16">
        <f>B18*3.14</f>
        <v>6.28</v>
      </c>
      <c r="G18" s="17">
        <f>F18/E18</f>
        <v>104.66666666666667</v>
      </c>
      <c r="H18" s="16">
        <f>C18/10</f>
        <v>0.2</v>
      </c>
      <c r="I18" s="16">
        <v>3.5</v>
      </c>
      <c r="J18" s="19">
        <f>H18*G18/60</f>
        <v>0.34888888888888897</v>
      </c>
      <c r="K18" s="20">
        <f>J18+I18</f>
        <v>3.8488888888888888</v>
      </c>
      <c r="L18" s="68">
        <v>275</v>
      </c>
      <c r="M18" s="69">
        <f>L18/60</f>
        <v>4.583333333333333</v>
      </c>
      <c r="N18" s="18">
        <f>ROUNDUP(K18*M18,1)</f>
        <v>17.700000000000003</v>
      </c>
      <c r="O18" s="56"/>
      <c r="P18" s="30">
        <v>125</v>
      </c>
      <c r="Q18" s="71">
        <v>0.02</v>
      </c>
      <c r="R18" s="32">
        <v>1</v>
      </c>
      <c r="S18" s="35">
        <f>N18*R18</f>
        <v>17.700000000000003</v>
      </c>
      <c r="T18" s="33">
        <f>IF(S18&gt;Y18,S18,Y18)</f>
        <v>275</v>
      </c>
      <c r="U18" s="33">
        <f>T18+P18</f>
        <v>400</v>
      </c>
      <c r="V18" s="33">
        <f>ROUNDUP(U18*Q18,0)</f>
        <v>8</v>
      </c>
      <c r="W18" s="33">
        <f t="shared" ref="W18" si="9">U18+V18</f>
        <v>408</v>
      </c>
      <c r="X18" s="56"/>
      <c r="Y18" s="58">
        <v>275</v>
      </c>
      <c r="Z18" s="47">
        <f>ROUNDDOWN(Y18/N18,0)</f>
        <v>15</v>
      </c>
    </row>
    <row r="21" spans="1:29" ht="24" thickBot="1" x14ac:dyDescent="0.4">
      <c r="A21" s="171"/>
      <c r="B21" s="172" t="s">
        <v>119</v>
      </c>
      <c r="C21" s="173"/>
      <c r="I21" s="171"/>
      <c r="J21" s="198"/>
      <c r="K21" s="198"/>
      <c r="L21" s="198"/>
      <c r="M21" s="198"/>
      <c r="N21" s="172" t="s">
        <v>149</v>
      </c>
      <c r="O21" s="198"/>
      <c r="P21" s="198"/>
      <c r="Q21" s="198"/>
      <c r="R21" s="173"/>
      <c r="U21" s="494" t="s">
        <v>348</v>
      </c>
      <c r="V21" s="436"/>
      <c r="W21" s="436"/>
      <c r="X21" s="436"/>
      <c r="Y21" s="1"/>
      <c r="Z21" s="460" t="s">
        <v>362</v>
      </c>
      <c r="AA21" s="461"/>
      <c r="AB21" s="461"/>
      <c r="AC21" s="461"/>
    </row>
    <row r="22" spans="1:29" ht="16.5" thickTop="1" x14ac:dyDescent="0.25">
      <c r="A22" s="174" t="s">
        <v>32</v>
      </c>
      <c r="C22" s="175">
        <v>250</v>
      </c>
      <c r="I22" s="174" t="s">
        <v>150</v>
      </c>
      <c r="R22" s="176"/>
      <c r="U22" s="362" t="s">
        <v>207</v>
      </c>
      <c r="V22" s="363"/>
      <c r="W22" s="352"/>
      <c r="X22" s="364">
        <f>N7</f>
        <v>10.9</v>
      </c>
      <c r="Y22" s="1"/>
      <c r="Z22" s="462" t="s">
        <v>207</v>
      </c>
      <c r="AA22" s="463"/>
      <c r="AB22" s="383"/>
      <c r="AC22" s="470">
        <f>N3</f>
        <v>66.699999999999989</v>
      </c>
    </row>
    <row r="23" spans="1:29" ht="15.75" x14ac:dyDescent="0.25">
      <c r="A23" s="174" t="s">
        <v>120</v>
      </c>
      <c r="C23" s="175">
        <v>125</v>
      </c>
      <c r="I23" s="174" t="s">
        <v>151</v>
      </c>
      <c r="R23" s="176"/>
      <c r="U23" s="365" t="s">
        <v>208</v>
      </c>
      <c r="V23" s="1"/>
      <c r="X23" s="366">
        <f>R7</f>
        <v>17</v>
      </c>
      <c r="Y23" s="1"/>
      <c r="Z23" s="464" t="s">
        <v>208</v>
      </c>
      <c r="AA23" s="1"/>
      <c r="AC23" s="471">
        <f>R3</f>
        <v>4</v>
      </c>
    </row>
    <row r="24" spans="1:29" ht="15.75" x14ac:dyDescent="0.25">
      <c r="A24" s="174" t="s">
        <v>36</v>
      </c>
      <c r="C24" s="176" t="s">
        <v>122</v>
      </c>
      <c r="I24" s="174"/>
      <c r="R24" s="176"/>
      <c r="U24" s="365" t="s">
        <v>209</v>
      </c>
      <c r="V24" s="1"/>
      <c r="X24" s="367">
        <f>T7</f>
        <v>250</v>
      </c>
      <c r="Y24" s="1"/>
      <c r="Z24" s="464" t="s">
        <v>209</v>
      </c>
      <c r="AA24" s="1"/>
      <c r="AC24" s="469">
        <f>T3</f>
        <v>266.79999999999995</v>
      </c>
    </row>
    <row r="25" spans="1:29" ht="15.75" x14ac:dyDescent="0.25">
      <c r="A25" s="174" t="s">
        <v>121</v>
      </c>
      <c r="C25" s="176" t="s">
        <v>123</v>
      </c>
      <c r="I25" s="174" t="s">
        <v>152</v>
      </c>
      <c r="R25" s="176"/>
      <c r="U25" s="365" t="s">
        <v>210</v>
      </c>
      <c r="V25" s="1"/>
      <c r="X25" s="367">
        <f>V7</f>
        <v>8</v>
      </c>
      <c r="Y25" s="1"/>
      <c r="Z25" s="464" t="s">
        <v>210</v>
      </c>
      <c r="AA25" s="1"/>
      <c r="AC25" s="469">
        <f>V3</f>
        <v>8</v>
      </c>
    </row>
    <row r="26" spans="1:29" ht="15.75" x14ac:dyDescent="0.25">
      <c r="A26" s="177" t="s">
        <v>124</v>
      </c>
      <c r="B26" s="178"/>
      <c r="C26" s="179">
        <v>100</v>
      </c>
      <c r="I26" s="174" t="s">
        <v>153</v>
      </c>
      <c r="R26" s="176"/>
      <c r="U26" s="365" t="s">
        <v>216</v>
      </c>
      <c r="X26" s="368">
        <f>P7</f>
        <v>125</v>
      </c>
      <c r="Y26" s="1"/>
      <c r="Z26" s="464" t="s">
        <v>216</v>
      </c>
      <c r="AC26" s="465">
        <f>P3</f>
        <v>125</v>
      </c>
    </row>
    <row r="27" spans="1:29" ht="15.75" x14ac:dyDescent="0.25">
      <c r="I27" s="174"/>
      <c r="R27" s="176"/>
      <c r="U27" s="365" t="s">
        <v>211</v>
      </c>
      <c r="V27" s="1"/>
      <c r="X27" s="367">
        <f>W7</f>
        <v>383</v>
      </c>
      <c r="Y27" s="1"/>
      <c r="Z27" s="464" t="s">
        <v>211</v>
      </c>
      <c r="AA27" s="1"/>
      <c r="AC27" s="469">
        <f>W3</f>
        <v>399.79999999999995</v>
      </c>
    </row>
    <row r="28" spans="1:29" ht="16.5" thickBot="1" x14ac:dyDescent="0.3">
      <c r="I28" s="174" t="s">
        <v>154</v>
      </c>
      <c r="R28" s="176"/>
      <c r="U28" s="369" t="s">
        <v>346</v>
      </c>
      <c r="V28" s="354"/>
      <c r="W28" s="437"/>
      <c r="X28" s="438" t="s">
        <v>347</v>
      </c>
      <c r="Y28" s="1"/>
      <c r="Z28" s="466" t="s">
        <v>346</v>
      </c>
      <c r="AA28" s="388"/>
      <c r="AB28" s="467"/>
      <c r="AC28" s="468" t="s">
        <v>347</v>
      </c>
    </row>
    <row r="29" spans="1:29" ht="15.75" thickTop="1" x14ac:dyDescent="0.25">
      <c r="I29" s="177" t="s">
        <v>155</v>
      </c>
      <c r="J29" s="178"/>
      <c r="K29" s="178"/>
      <c r="L29" s="178"/>
      <c r="M29" s="178"/>
      <c r="N29" s="178"/>
      <c r="O29" s="178"/>
      <c r="P29" s="178"/>
      <c r="Q29" s="178"/>
      <c r="R29" s="199"/>
      <c r="W29" s="1"/>
      <c r="X29" s="1"/>
      <c r="Y29" s="1"/>
    </row>
    <row r="30" spans="1:29" ht="24" thickBot="1" x14ac:dyDescent="0.4">
      <c r="U30" s="541" t="s">
        <v>284</v>
      </c>
      <c r="V30" s="541"/>
      <c r="W30" s="541"/>
      <c r="X30" s="541"/>
      <c r="Y30" s="1"/>
    </row>
    <row r="31" spans="1:29" ht="16.5" thickTop="1" x14ac:dyDescent="0.25">
      <c r="U31" s="362" t="s">
        <v>207</v>
      </c>
      <c r="V31" s="363"/>
      <c r="W31" s="352"/>
      <c r="X31" s="364">
        <f>N10</f>
        <v>26.6</v>
      </c>
      <c r="Y31" s="1"/>
    </row>
    <row r="32" spans="1:29" ht="15.75" x14ac:dyDescent="0.25">
      <c r="U32" s="365" t="s">
        <v>208</v>
      </c>
      <c r="V32" s="1"/>
      <c r="X32" s="366">
        <f>R10</f>
        <v>16</v>
      </c>
      <c r="Y32" s="1"/>
    </row>
    <row r="33" spans="21:25" ht="15.75" x14ac:dyDescent="0.25">
      <c r="U33" s="365" t="s">
        <v>209</v>
      </c>
      <c r="V33" s="1"/>
      <c r="X33" s="367">
        <f>T10</f>
        <v>425.6</v>
      </c>
      <c r="Y33" s="1"/>
    </row>
    <row r="34" spans="21:25" ht="15.75" x14ac:dyDescent="0.25">
      <c r="U34" s="365" t="s">
        <v>210</v>
      </c>
      <c r="V34" s="1"/>
      <c r="X34" s="367">
        <f>V10</f>
        <v>12</v>
      </c>
      <c r="Y34" s="1"/>
    </row>
    <row r="35" spans="21:25" ht="15.75" x14ac:dyDescent="0.25">
      <c r="U35" s="365" t="s">
        <v>216</v>
      </c>
      <c r="X35" s="368">
        <f>P10</f>
        <v>125</v>
      </c>
      <c r="Y35" s="1"/>
    </row>
    <row r="36" spans="21:25" ht="15.75" x14ac:dyDescent="0.25">
      <c r="U36" s="365" t="s">
        <v>211</v>
      </c>
      <c r="V36" s="1"/>
      <c r="X36" s="367">
        <f>W10</f>
        <v>562.6</v>
      </c>
      <c r="Y36" s="1"/>
    </row>
    <row r="37" spans="21:25" ht="16.5" thickBot="1" x14ac:dyDescent="0.3">
      <c r="U37" s="369" t="s">
        <v>346</v>
      </c>
      <c r="V37" s="354"/>
      <c r="W37" s="539" t="s">
        <v>347</v>
      </c>
      <c r="X37" s="540"/>
      <c r="Y37" s="1"/>
    </row>
    <row r="38" spans="21:25" ht="15.75" thickTop="1" x14ac:dyDescent="0.25"/>
  </sheetData>
  <mergeCells count="2">
    <mergeCell ref="U30:X30"/>
    <mergeCell ref="W37:X37"/>
  </mergeCell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995F-304E-4EBC-9521-2628642B9FA9}">
  <sheetPr>
    <tabColor rgb="FF92D050"/>
  </sheetPr>
  <dimension ref="A1:Y25"/>
  <sheetViews>
    <sheetView workbookViewId="0"/>
  </sheetViews>
  <sheetFormatPr defaultRowHeight="15" x14ac:dyDescent="0.25"/>
  <cols>
    <col min="19" max="19" width="11.140625" customWidth="1"/>
    <col min="20" max="20" width="13.28515625" customWidth="1"/>
  </cols>
  <sheetData>
    <row r="1" spans="1:25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88"/>
    </row>
    <row r="2" spans="1:25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34</v>
      </c>
      <c r="T2" s="114" t="s">
        <v>30</v>
      </c>
      <c r="U2" s="113" t="s">
        <v>36</v>
      </c>
      <c r="V2" s="115" t="s">
        <v>31</v>
      </c>
      <c r="W2" s="113"/>
      <c r="X2" s="113" t="s">
        <v>32</v>
      </c>
      <c r="Y2" s="114" t="s">
        <v>33</v>
      </c>
    </row>
    <row r="3" spans="1:25" x14ac:dyDescent="0.25">
      <c r="A3" s="65">
        <v>1.25</v>
      </c>
      <c r="B3" s="65">
        <v>10.25</v>
      </c>
      <c r="C3" s="65">
        <v>13.5</v>
      </c>
      <c r="D3" s="66">
        <v>0.125</v>
      </c>
      <c r="E3" s="66">
        <v>4.4999999999999998E-2</v>
      </c>
      <c r="F3" s="66">
        <f>(A3+B3)*C3</f>
        <v>155.25</v>
      </c>
      <c r="G3" s="66">
        <f>(A3+B3)/E3</f>
        <v>255.55555555555557</v>
      </c>
      <c r="H3" s="66">
        <f t="shared" ref="H3" si="0">C3/10</f>
        <v>1.35</v>
      </c>
      <c r="I3" s="66">
        <v>4</v>
      </c>
      <c r="J3" s="67">
        <f t="shared" ref="J3" si="1">H3*G3/60</f>
        <v>5.7500000000000009</v>
      </c>
      <c r="K3" s="67">
        <f>J3+I3</f>
        <v>9.75</v>
      </c>
      <c r="L3" s="68">
        <v>225</v>
      </c>
      <c r="M3" s="69">
        <f>L3/60</f>
        <v>3.75</v>
      </c>
      <c r="N3" s="70">
        <f>ROUNDUP(K3*M3,1)</f>
        <v>36.6</v>
      </c>
      <c r="O3" s="56"/>
      <c r="P3" s="30">
        <v>200</v>
      </c>
      <c r="Q3" s="71">
        <v>0.02</v>
      </c>
      <c r="R3" s="32">
        <v>28</v>
      </c>
      <c r="S3" s="33">
        <f>N3*R3</f>
        <v>1024.8</v>
      </c>
      <c r="T3" s="33">
        <f>(N3*R3)+P3</f>
        <v>1224.8</v>
      </c>
      <c r="U3" s="33">
        <f>ROUNDUP(T3*Q3,0)</f>
        <v>25</v>
      </c>
      <c r="V3" s="33">
        <f>T3+U3</f>
        <v>1249.8</v>
      </c>
      <c r="W3" s="34"/>
      <c r="X3" s="57">
        <v>225</v>
      </c>
      <c r="Y3" s="36">
        <f>ROUNDDOWN(X3/N3,0)</f>
        <v>6</v>
      </c>
    </row>
    <row r="4" spans="1:25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3"/>
      <c r="T4" s="63"/>
      <c r="U4" s="63"/>
      <c r="V4" s="63"/>
      <c r="W4" s="60"/>
      <c r="X4" s="60"/>
      <c r="Y4" s="64"/>
    </row>
    <row r="5" spans="1:25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52" t="s">
        <v>34</v>
      </c>
      <c r="T5" s="44" t="s">
        <v>30</v>
      </c>
      <c r="U5" s="53" t="s">
        <v>36</v>
      </c>
      <c r="V5" s="46" t="s">
        <v>37</v>
      </c>
      <c r="W5" s="21"/>
      <c r="X5" s="37" t="s">
        <v>32</v>
      </c>
      <c r="Y5" s="37" t="s">
        <v>33</v>
      </c>
    </row>
    <row r="6" spans="1:25" x14ac:dyDescent="0.25">
      <c r="B6" s="14">
        <v>7.5</v>
      </c>
      <c r="C6" s="14">
        <v>105</v>
      </c>
      <c r="D6" s="66" t="s">
        <v>0</v>
      </c>
      <c r="E6" s="16">
        <v>6.5000000000000002E-2</v>
      </c>
      <c r="F6" s="16">
        <f>B6*3.14</f>
        <v>23.55</v>
      </c>
      <c r="G6" s="17">
        <f>F6/E6</f>
        <v>362.30769230769232</v>
      </c>
      <c r="H6" s="16">
        <f>C6/10</f>
        <v>10.5</v>
      </c>
      <c r="I6" s="16">
        <v>4</v>
      </c>
      <c r="J6" s="19">
        <f>H6*G6/60</f>
        <v>63.40384615384616</v>
      </c>
      <c r="K6" s="20">
        <f>J6+I6</f>
        <v>67.40384615384616</v>
      </c>
      <c r="L6" s="68">
        <v>225</v>
      </c>
      <c r="M6" s="69">
        <f>L6/60</f>
        <v>3.75</v>
      </c>
      <c r="N6" s="18">
        <f>ROUNDUP(K6*M6,1)</f>
        <v>252.79999999999998</v>
      </c>
      <c r="O6" s="56"/>
      <c r="P6" s="30">
        <v>125</v>
      </c>
      <c r="Q6" s="71">
        <v>0.02</v>
      </c>
      <c r="R6" s="32">
        <v>6</v>
      </c>
      <c r="S6" s="55">
        <f>N6*R6</f>
        <v>1516.8</v>
      </c>
      <c r="T6" s="55">
        <f>(N6*R6)+P6</f>
        <v>1641.8</v>
      </c>
      <c r="U6" s="33">
        <f>ROUNDUP(T6*Q6,0)</f>
        <v>33</v>
      </c>
      <c r="V6" s="33">
        <f t="shared" ref="V6" si="2">T6+U6</f>
        <v>1674.8</v>
      </c>
      <c r="W6" s="56"/>
      <c r="X6" s="58">
        <v>225</v>
      </c>
      <c r="Y6" s="47">
        <f>ROUNDDOWN(X6/N6,0)</f>
        <v>0</v>
      </c>
    </row>
    <row r="7" spans="1:25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8"/>
      <c r="Q7" s="29"/>
      <c r="R7" s="21"/>
      <c r="S7" s="27"/>
      <c r="T7" s="27"/>
      <c r="U7" s="27"/>
      <c r="V7" s="27"/>
      <c r="W7" s="25"/>
      <c r="X7" s="21"/>
      <c r="Y7" s="21"/>
    </row>
    <row r="8" spans="1:25" x14ac:dyDescent="0.25">
      <c r="A8" s="1"/>
    </row>
    <row r="9" spans="1:25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181"/>
      <c r="Q9" s="181"/>
      <c r="R9" s="181"/>
      <c r="S9" s="181"/>
      <c r="T9" s="181"/>
      <c r="U9" s="181"/>
      <c r="V9" s="181"/>
      <c r="W9" s="181"/>
      <c r="X9" s="181"/>
      <c r="Y9" s="88"/>
    </row>
    <row r="10" spans="1:25" ht="30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39"/>
      <c r="P10" s="113" t="s">
        <v>27</v>
      </c>
      <c r="Q10" s="113" t="s">
        <v>38</v>
      </c>
      <c r="R10" s="114" t="s">
        <v>35</v>
      </c>
      <c r="S10" s="114" t="s">
        <v>34</v>
      </c>
      <c r="T10" s="114" t="s">
        <v>30</v>
      </c>
      <c r="U10" s="113" t="s">
        <v>36</v>
      </c>
      <c r="V10" s="115" t="s">
        <v>31</v>
      </c>
      <c r="W10" s="113"/>
      <c r="X10" s="113" t="s">
        <v>32</v>
      </c>
      <c r="Y10" s="114" t="s">
        <v>33</v>
      </c>
    </row>
    <row r="11" spans="1:25" x14ac:dyDescent="0.25">
      <c r="A11" s="65">
        <v>1.75</v>
      </c>
      <c r="B11" s="65">
        <v>12.25</v>
      </c>
      <c r="C11" s="65">
        <v>12.25</v>
      </c>
      <c r="D11" s="66">
        <v>0.125</v>
      </c>
      <c r="E11" s="66">
        <v>4.4999999999999998E-2</v>
      </c>
      <c r="F11" s="66">
        <f>(A11+B11)*C11</f>
        <v>171.5</v>
      </c>
      <c r="G11" s="66">
        <f>(A11+B11)/E11</f>
        <v>311.11111111111114</v>
      </c>
      <c r="H11" s="66">
        <f t="shared" ref="H11" si="3">C11/10</f>
        <v>1.2250000000000001</v>
      </c>
      <c r="I11" s="66">
        <v>4</v>
      </c>
      <c r="J11" s="67">
        <f t="shared" ref="J11" si="4">H11*G11/60</f>
        <v>6.351851851851853</v>
      </c>
      <c r="K11" s="67">
        <f>J11+I11</f>
        <v>10.351851851851853</v>
      </c>
      <c r="L11" s="68">
        <v>250</v>
      </c>
      <c r="M11" s="69">
        <f>L11/60</f>
        <v>4.166666666666667</v>
      </c>
      <c r="N11" s="70">
        <f>ROUNDUP(K11*M11,1)</f>
        <v>43.2</v>
      </c>
      <c r="O11" s="56"/>
      <c r="P11" s="30">
        <v>125</v>
      </c>
      <c r="Q11" s="71">
        <v>0.02</v>
      </c>
      <c r="R11" s="32">
        <v>12</v>
      </c>
      <c r="S11" s="33">
        <f>N11*R11</f>
        <v>518.40000000000009</v>
      </c>
      <c r="T11" s="33">
        <f>(N11*R11)+P11</f>
        <v>643.40000000000009</v>
      </c>
      <c r="U11" s="33">
        <f>ROUNDUP(T11*Q11,0)</f>
        <v>13</v>
      </c>
      <c r="V11" s="33">
        <f>T11+U11</f>
        <v>656.40000000000009</v>
      </c>
      <c r="W11" s="34"/>
      <c r="X11" s="57">
        <v>250</v>
      </c>
      <c r="Y11" s="36">
        <f>ROUNDDOWN(X11/N11,0)</f>
        <v>5</v>
      </c>
    </row>
    <row r="12" spans="1:25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0"/>
      <c r="S12" s="63"/>
      <c r="T12" s="63"/>
      <c r="U12" s="63"/>
      <c r="V12" s="63"/>
      <c r="W12" s="60"/>
      <c r="X12" s="60"/>
      <c r="Y12" s="64"/>
    </row>
    <row r="13" spans="1:25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40"/>
      <c r="P13" s="42" t="s">
        <v>27</v>
      </c>
      <c r="Q13" s="43" t="s">
        <v>38</v>
      </c>
      <c r="R13" s="49" t="s">
        <v>35</v>
      </c>
      <c r="S13" s="52" t="s">
        <v>34</v>
      </c>
      <c r="T13" s="44" t="s">
        <v>30</v>
      </c>
      <c r="U13" s="53" t="s">
        <v>36</v>
      </c>
      <c r="V13" s="46" t="s">
        <v>37</v>
      </c>
      <c r="W13" s="21"/>
      <c r="X13" s="37" t="s">
        <v>32</v>
      </c>
      <c r="Y13" s="37" t="s">
        <v>33</v>
      </c>
    </row>
    <row r="14" spans="1:25" x14ac:dyDescent="0.25">
      <c r="A14" s="1"/>
      <c r="B14" s="14">
        <v>2.625</v>
      </c>
      <c r="C14" s="14">
        <v>2.15</v>
      </c>
      <c r="D14" s="66" t="s">
        <v>0</v>
      </c>
      <c r="E14" s="16">
        <v>6.5000000000000002E-2</v>
      </c>
      <c r="F14" s="16">
        <f>B14*3.14</f>
        <v>8.2424999999999997</v>
      </c>
      <c r="G14" s="17">
        <f>F14/E14</f>
        <v>126.80769230769229</v>
      </c>
      <c r="H14" s="16">
        <f>C14/10</f>
        <v>0.215</v>
      </c>
      <c r="I14" s="16">
        <v>4</v>
      </c>
      <c r="J14" s="19">
        <f>H14*G14/60</f>
        <v>0.45439423076923074</v>
      </c>
      <c r="K14" s="20">
        <f>J14+I14</f>
        <v>4.454394230769231</v>
      </c>
      <c r="L14" s="68">
        <v>250</v>
      </c>
      <c r="M14" s="69">
        <f>L14/60</f>
        <v>4.166666666666667</v>
      </c>
      <c r="N14" s="18">
        <f>ROUNDUP(K14*M14,1)</f>
        <v>18.600000000000001</v>
      </c>
      <c r="O14" s="56"/>
      <c r="P14" s="30">
        <v>125</v>
      </c>
      <c r="Q14" s="71">
        <v>0.02</v>
      </c>
      <c r="R14" s="32">
        <v>65</v>
      </c>
      <c r="S14" s="55">
        <f>N14*R14</f>
        <v>1209</v>
      </c>
      <c r="T14" s="55">
        <f>(N14*R14)+P14</f>
        <v>1334</v>
      </c>
      <c r="U14" s="33">
        <f>ROUNDUP(T14*Q14,0)</f>
        <v>27</v>
      </c>
      <c r="V14" s="33">
        <f t="shared" ref="V14" si="5">T14+U14</f>
        <v>1361</v>
      </c>
      <c r="W14" s="56"/>
      <c r="X14" s="58">
        <v>250</v>
      </c>
      <c r="Y14" s="47">
        <f>ROUNDDOWN(X14/N14,0)</f>
        <v>13</v>
      </c>
    </row>
    <row r="17" spans="1:22" ht="21" x14ac:dyDescent="0.35">
      <c r="A17" s="171"/>
      <c r="B17" s="172" t="s">
        <v>119</v>
      </c>
      <c r="C17" s="173"/>
      <c r="I17" s="171"/>
      <c r="J17" s="198"/>
      <c r="K17" s="198"/>
      <c r="L17" s="198"/>
      <c r="M17" s="198"/>
      <c r="N17" s="172" t="s">
        <v>149</v>
      </c>
      <c r="O17" s="198"/>
      <c r="P17" s="198"/>
      <c r="Q17" s="198"/>
      <c r="R17" s="173"/>
    </row>
    <row r="18" spans="1:22" x14ac:dyDescent="0.25">
      <c r="A18" s="174" t="s">
        <v>32</v>
      </c>
      <c r="C18" s="175">
        <v>225</v>
      </c>
      <c r="I18" s="174" t="s">
        <v>150</v>
      </c>
      <c r="R18" s="176"/>
    </row>
    <row r="19" spans="1:22" ht="15.75" x14ac:dyDescent="0.25">
      <c r="A19" s="174" t="s">
        <v>120</v>
      </c>
      <c r="C19" s="175">
        <v>125</v>
      </c>
      <c r="I19" s="174" t="s">
        <v>151</v>
      </c>
      <c r="R19" s="176"/>
      <c r="V19" s="169"/>
    </row>
    <row r="20" spans="1:22" ht="15.75" x14ac:dyDescent="0.25">
      <c r="A20" s="174" t="s">
        <v>36</v>
      </c>
      <c r="C20" s="200" t="s">
        <v>122</v>
      </c>
      <c r="I20" s="174"/>
      <c r="R20" s="176"/>
      <c r="V20" s="170"/>
    </row>
    <row r="21" spans="1:22" ht="15.75" x14ac:dyDescent="0.25">
      <c r="A21" s="174" t="s">
        <v>121</v>
      </c>
      <c r="C21" s="200" t="s">
        <v>123</v>
      </c>
      <c r="I21" s="174" t="s">
        <v>152</v>
      </c>
      <c r="R21" s="176"/>
      <c r="V21" s="170"/>
    </row>
    <row r="22" spans="1:22" ht="15.75" x14ac:dyDescent="0.25">
      <c r="A22" s="177" t="s">
        <v>124</v>
      </c>
      <c r="B22" s="178"/>
      <c r="C22" s="201" t="s">
        <v>156</v>
      </c>
      <c r="I22" s="174" t="s">
        <v>153</v>
      </c>
      <c r="R22" s="176"/>
      <c r="V22" s="170"/>
    </row>
    <row r="23" spans="1:22" ht="15.75" x14ac:dyDescent="0.25">
      <c r="I23" s="174"/>
      <c r="R23" s="176"/>
      <c r="V23" s="170"/>
    </row>
    <row r="24" spans="1:22" x14ac:dyDescent="0.25">
      <c r="I24" s="174" t="s">
        <v>154</v>
      </c>
      <c r="R24" s="176"/>
    </row>
    <row r="25" spans="1:22" x14ac:dyDescent="0.25">
      <c r="I25" s="177" t="s">
        <v>155</v>
      </c>
      <c r="J25" s="178"/>
      <c r="K25" s="178"/>
      <c r="L25" s="178"/>
      <c r="M25" s="178"/>
      <c r="N25" s="178"/>
      <c r="O25" s="178"/>
      <c r="P25" s="178"/>
      <c r="Q25" s="178"/>
      <c r="R25" s="199"/>
    </row>
  </sheetData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E12A-18F6-4833-81CE-02155B0C0902}">
  <sheetPr>
    <tabColor rgb="FF00B0F0"/>
  </sheetPr>
  <dimension ref="A1:AA49"/>
  <sheetViews>
    <sheetView workbookViewId="0">
      <selection activeCell="C13" sqref="C13"/>
    </sheetView>
  </sheetViews>
  <sheetFormatPr defaultRowHeight="15" x14ac:dyDescent="0.25"/>
  <sheetData>
    <row r="1" spans="1:27" ht="21" x14ac:dyDescent="0.25">
      <c r="A1" s="218" t="s">
        <v>164</v>
      </c>
      <c r="B1" s="217"/>
      <c r="C1" s="217"/>
      <c r="D1" s="217"/>
      <c r="E1" s="217"/>
      <c r="F1" s="217"/>
      <c r="G1" s="217"/>
      <c r="H1" s="217"/>
      <c r="I1" s="217"/>
      <c r="J1" s="10"/>
      <c r="K1" s="10"/>
      <c r="L1" s="10"/>
      <c r="M1" s="10"/>
      <c r="N1" s="10"/>
      <c r="O1" s="193"/>
      <c r="P1" s="193"/>
      <c r="Q1" s="21"/>
      <c r="R1" s="21"/>
      <c r="S1" s="21"/>
      <c r="T1" s="22"/>
      <c r="U1" s="22"/>
      <c r="V1" s="22"/>
      <c r="W1" s="22"/>
      <c r="X1" s="75"/>
      <c r="Y1" s="22"/>
      <c r="Z1" s="22"/>
      <c r="AA1" s="22"/>
    </row>
    <row r="2" spans="1:27" ht="60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195" t="s">
        <v>145</v>
      </c>
      <c r="O2" s="326" t="s">
        <v>144</v>
      </c>
      <c r="P2" s="196" t="s">
        <v>146</v>
      </c>
      <c r="Q2" s="194"/>
      <c r="R2" s="38" t="s">
        <v>29</v>
      </c>
      <c r="S2" s="41" t="s">
        <v>204</v>
      </c>
      <c r="T2" s="37" t="s">
        <v>34</v>
      </c>
      <c r="U2" s="37" t="s">
        <v>27</v>
      </c>
      <c r="V2" s="38" t="s">
        <v>39</v>
      </c>
      <c r="W2" s="38" t="s">
        <v>30</v>
      </c>
      <c r="X2" s="74" t="s">
        <v>36</v>
      </c>
      <c r="Y2" s="38" t="s">
        <v>31</v>
      </c>
      <c r="Z2" s="37" t="s">
        <v>32</v>
      </c>
      <c r="AA2" s="41" t="s">
        <v>33</v>
      </c>
    </row>
    <row r="3" spans="1:27" x14ac:dyDescent="0.25">
      <c r="A3" s="65">
        <v>3.25</v>
      </c>
      <c r="B3" s="65">
        <v>36</v>
      </c>
      <c r="C3" s="65">
        <v>36</v>
      </c>
      <c r="D3" s="66" t="s">
        <v>0</v>
      </c>
      <c r="E3" s="66">
        <v>7.4999999999999997E-2</v>
      </c>
      <c r="F3" s="7">
        <f>(A3+B3)*C3</f>
        <v>1413</v>
      </c>
      <c r="G3" s="7">
        <f>(A3+B3)/E3</f>
        <v>523.33333333333337</v>
      </c>
      <c r="H3" s="7">
        <f t="shared" ref="H3" si="0">C3/10</f>
        <v>3.6</v>
      </c>
      <c r="I3" s="66">
        <v>5</v>
      </c>
      <c r="J3" s="67">
        <f t="shared" ref="J3" si="1">H3*G3/60</f>
        <v>31.400000000000002</v>
      </c>
      <c r="K3" s="67">
        <f>J3+I3</f>
        <v>36.400000000000006</v>
      </c>
      <c r="L3" s="68">
        <v>225</v>
      </c>
      <c r="M3" s="69">
        <f>L3/60</f>
        <v>3.75</v>
      </c>
      <c r="N3" s="70">
        <f>ROUNDUP(K3*M3,1)</f>
        <v>136.5</v>
      </c>
      <c r="O3" s="327">
        <f>ROUNDUP(G37, 1)</f>
        <v>125.6</v>
      </c>
      <c r="P3" s="216">
        <f>IF(N3&gt;O3, N3, O3)</f>
        <v>136.5</v>
      </c>
      <c r="Q3" s="23" t="s">
        <v>166</v>
      </c>
      <c r="R3" s="32">
        <v>8</v>
      </c>
      <c r="S3" s="325">
        <f>P3*R3</f>
        <v>1092</v>
      </c>
      <c r="T3" s="33">
        <f>IF(S3&gt;Z3, S3, Z3)</f>
        <v>1092</v>
      </c>
      <c r="U3" s="30">
        <v>125</v>
      </c>
      <c r="V3" s="79">
        <v>0.02</v>
      </c>
      <c r="W3" s="33">
        <f>T3+U3</f>
        <v>1217</v>
      </c>
      <c r="X3" s="77">
        <f>ROUNDUP(W3*V3,0)</f>
        <v>25</v>
      </c>
      <c r="Y3" s="33">
        <f>W3+X3</f>
        <v>1242</v>
      </c>
      <c r="Z3" s="57">
        <v>225</v>
      </c>
      <c r="AA3" s="78">
        <f>ROUNDDOWN(Z3/N3,0)</f>
        <v>1</v>
      </c>
    </row>
    <row r="4" spans="1:27" ht="18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Q4" s="24"/>
      <c r="R4" s="21"/>
      <c r="S4" s="21"/>
      <c r="T4" s="27"/>
      <c r="U4" s="28"/>
      <c r="V4" s="72"/>
      <c r="W4" s="27"/>
      <c r="X4" s="76"/>
      <c r="Y4" s="27"/>
      <c r="Z4" s="25"/>
      <c r="AA4" s="26"/>
    </row>
    <row r="5" spans="1:27" ht="21" x14ac:dyDescent="0.25">
      <c r="A5" s="218" t="s">
        <v>165</v>
      </c>
      <c r="B5" s="217"/>
      <c r="C5" s="219"/>
      <c r="D5" s="217"/>
      <c r="E5" s="217"/>
      <c r="F5" s="217"/>
      <c r="G5" s="217"/>
      <c r="H5" s="217"/>
      <c r="I5" s="217"/>
      <c r="J5" s="10"/>
      <c r="K5" s="10"/>
      <c r="L5" s="10"/>
      <c r="M5" s="10"/>
      <c r="N5" s="10"/>
      <c r="O5" s="193"/>
      <c r="P5" s="193"/>
      <c r="Q5" s="21"/>
      <c r="R5" s="21"/>
      <c r="S5" s="21"/>
      <c r="T5" s="22"/>
      <c r="U5" s="22"/>
      <c r="V5" s="22"/>
      <c r="W5" s="22"/>
      <c r="X5" s="75"/>
      <c r="Y5" s="22"/>
      <c r="Z5" s="22"/>
      <c r="AA5" s="22"/>
    </row>
    <row r="6" spans="1:27" ht="60" x14ac:dyDescent="0.25">
      <c r="A6" s="2" t="s">
        <v>23</v>
      </c>
      <c r="B6" s="2" t="s">
        <v>8</v>
      </c>
      <c r="C6" s="2" t="s">
        <v>7</v>
      </c>
      <c r="D6" s="2" t="s">
        <v>2</v>
      </c>
      <c r="E6" s="2" t="s">
        <v>1</v>
      </c>
      <c r="F6" s="2" t="s">
        <v>6</v>
      </c>
      <c r="G6" s="2" t="s">
        <v>3</v>
      </c>
      <c r="H6" s="2" t="s">
        <v>21</v>
      </c>
      <c r="I6" s="2" t="s">
        <v>9</v>
      </c>
      <c r="J6" s="2" t="s">
        <v>4</v>
      </c>
      <c r="K6" s="2" t="s">
        <v>10</v>
      </c>
      <c r="L6" s="2" t="s">
        <v>24</v>
      </c>
      <c r="M6" s="2" t="s">
        <v>25</v>
      </c>
      <c r="N6" s="195" t="s">
        <v>145</v>
      </c>
      <c r="O6" s="326" t="s">
        <v>144</v>
      </c>
      <c r="P6" s="196" t="s">
        <v>146</v>
      </c>
      <c r="Q6" s="194"/>
      <c r="R6" s="38" t="s">
        <v>29</v>
      </c>
      <c r="S6" s="38" t="s">
        <v>204</v>
      </c>
      <c r="T6" s="37" t="s">
        <v>34</v>
      </c>
      <c r="U6" s="37" t="s">
        <v>27</v>
      </c>
      <c r="V6" s="38" t="s">
        <v>39</v>
      </c>
      <c r="W6" s="38" t="s">
        <v>30</v>
      </c>
      <c r="X6" s="74" t="s">
        <v>36</v>
      </c>
      <c r="Y6" s="38" t="s">
        <v>31</v>
      </c>
      <c r="Z6" s="37" t="s">
        <v>32</v>
      </c>
      <c r="AA6" s="41" t="s">
        <v>33</v>
      </c>
    </row>
    <row r="7" spans="1:27" x14ac:dyDescent="0.25">
      <c r="A7" s="65">
        <v>3</v>
      </c>
      <c r="B7" s="65">
        <v>37</v>
      </c>
      <c r="C7" s="65">
        <v>120</v>
      </c>
      <c r="D7" s="66" t="s">
        <v>0</v>
      </c>
      <c r="E7" s="66">
        <v>5.5E-2</v>
      </c>
      <c r="F7" s="7">
        <f>(A7+B7)*C7</f>
        <v>4800</v>
      </c>
      <c r="G7" s="7">
        <f>(A7+B7)/E7</f>
        <v>727.27272727272725</v>
      </c>
      <c r="H7" s="7">
        <f t="shared" ref="H7" si="2">C7/10</f>
        <v>12</v>
      </c>
      <c r="I7" s="66">
        <v>5</v>
      </c>
      <c r="J7" s="67">
        <f t="shared" ref="J7" si="3">H7*G7/60</f>
        <v>145.45454545454547</v>
      </c>
      <c r="K7" s="67">
        <f>J7+I7</f>
        <v>150.45454545454547</v>
      </c>
      <c r="L7" s="68">
        <v>225</v>
      </c>
      <c r="M7" s="69">
        <f>L7/60</f>
        <v>3.75</v>
      </c>
      <c r="N7" s="70">
        <f>ROUNDUP(K7*M7,1)</f>
        <v>564.30000000000007</v>
      </c>
      <c r="O7" s="327">
        <f>ROUNDUP(G38, 1)</f>
        <v>476.40000000000003</v>
      </c>
      <c r="P7" s="216">
        <f>IF(N7&gt;O7, N7, O7)</f>
        <v>564.30000000000007</v>
      </c>
      <c r="Q7" s="23" t="s">
        <v>167</v>
      </c>
      <c r="R7" s="32">
        <v>12</v>
      </c>
      <c r="S7" s="325">
        <f>P7*R7</f>
        <v>6771.6</v>
      </c>
      <c r="T7" s="33">
        <f>IF(S7&gt;Z7, S7, Z7)</f>
        <v>6771.6</v>
      </c>
      <c r="U7" s="30">
        <v>125</v>
      </c>
      <c r="V7" s="79">
        <v>0.02</v>
      </c>
      <c r="W7" s="33">
        <f>T7+U7</f>
        <v>6896.6</v>
      </c>
      <c r="X7" s="77">
        <f>ROUNDUP(W7*V7,0)</f>
        <v>138</v>
      </c>
      <c r="Y7" s="33">
        <f>W7+X7</f>
        <v>7034.6</v>
      </c>
      <c r="Z7" s="57">
        <v>225</v>
      </c>
      <c r="AA7" s="78">
        <f>ROUNDDOWN(Z7/N7,0)</f>
        <v>0</v>
      </c>
    </row>
    <row r="10" spans="1:27" ht="21" x14ac:dyDescent="0.25">
      <c r="A10" s="292" t="s">
        <v>189</v>
      </c>
      <c r="B10" s="217"/>
      <c r="C10" s="217"/>
      <c r="D10" s="217"/>
      <c r="E10" s="217"/>
      <c r="F10" s="217"/>
      <c r="G10" s="217"/>
      <c r="H10" s="217"/>
      <c r="I10" s="10"/>
      <c r="J10" s="10"/>
      <c r="K10" s="10"/>
      <c r="L10" s="10"/>
      <c r="M10" s="10"/>
      <c r="N10" s="10"/>
      <c r="O10" s="193"/>
      <c r="P10" s="193"/>
      <c r="Q10" s="21"/>
      <c r="R10" s="21"/>
      <c r="S10" s="21"/>
      <c r="T10" s="22"/>
      <c r="U10" s="22"/>
      <c r="V10" s="22"/>
      <c r="W10" s="22"/>
      <c r="X10" s="75"/>
      <c r="Y10" s="22"/>
      <c r="Z10" s="22"/>
      <c r="AA10" s="22"/>
    </row>
    <row r="11" spans="1:27" ht="60" x14ac:dyDescent="0.25">
      <c r="A11" s="2" t="s">
        <v>23</v>
      </c>
      <c r="B11" s="2" t="s">
        <v>8</v>
      </c>
      <c r="C11" s="2" t="s">
        <v>7</v>
      </c>
      <c r="D11" s="2" t="s">
        <v>2</v>
      </c>
      <c r="E11" s="2" t="s">
        <v>1</v>
      </c>
      <c r="F11" s="2" t="s">
        <v>6</v>
      </c>
      <c r="G11" s="2" t="s">
        <v>3</v>
      </c>
      <c r="H11" s="2" t="s">
        <v>21</v>
      </c>
      <c r="I11" s="2" t="s">
        <v>9</v>
      </c>
      <c r="J11" s="2" t="s">
        <v>4</v>
      </c>
      <c r="K11" s="2" t="s">
        <v>10</v>
      </c>
      <c r="L11" s="2" t="s">
        <v>24</v>
      </c>
      <c r="M11" s="2" t="s">
        <v>25</v>
      </c>
      <c r="N11" s="195" t="s">
        <v>145</v>
      </c>
      <c r="O11" s="326" t="s">
        <v>144</v>
      </c>
      <c r="P11" s="196" t="s">
        <v>146</v>
      </c>
      <c r="Q11" s="194"/>
      <c r="R11" s="38" t="s">
        <v>29</v>
      </c>
      <c r="S11" s="38" t="s">
        <v>204</v>
      </c>
      <c r="T11" s="37" t="s">
        <v>34</v>
      </c>
      <c r="U11" s="37" t="s">
        <v>27</v>
      </c>
      <c r="V11" s="38" t="s">
        <v>39</v>
      </c>
      <c r="W11" s="38" t="s">
        <v>30</v>
      </c>
      <c r="X11" s="74" t="s">
        <v>36</v>
      </c>
      <c r="Y11" s="38" t="s">
        <v>31</v>
      </c>
      <c r="Z11" s="37" t="s">
        <v>32</v>
      </c>
      <c r="AA11" s="41" t="s">
        <v>33</v>
      </c>
    </row>
    <row r="12" spans="1:27" x14ac:dyDescent="0.25">
      <c r="A12" s="65">
        <v>2.65</v>
      </c>
      <c r="B12" s="65">
        <v>4</v>
      </c>
      <c r="C12" s="65">
        <v>6.5</v>
      </c>
      <c r="D12" s="66" t="s">
        <v>0</v>
      </c>
      <c r="E12" s="66">
        <v>7.4999999999999997E-2</v>
      </c>
      <c r="F12" s="7">
        <f>(A12+B12)*C12</f>
        <v>43.225000000000001</v>
      </c>
      <c r="G12" s="7">
        <f>(A12+B12)/E12</f>
        <v>88.666666666666671</v>
      </c>
      <c r="H12" s="7">
        <f t="shared" ref="H12" si="4">C12/10</f>
        <v>0.65</v>
      </c>
      <c r="I12" s="66">
        <v>6</v>
      </c>
      <c r="J12" s="67">
        <f t="shared" ref="J12" si="5">H12*G12/60</f>
        <v>0.96055555555555572</v>
      </c>
      <c r="K12" s="67">
        <f>J12+I12</f>
        <v>6.9605555555555556</v>
      </c>
      <c r="L12" s="68">
        <v>225</v>
      </c>
      <c r="M12" s="69">
        <f>L12/60</f>
        <v>3.75</v>
      </c>
      <c r="N12" s="70">
        <f>ROUNDUP(K12*M12,1)</f>
        <v>26.200000000000003</v>
      </c>
      <c r="O12" s="327">
        <f>ROUNDUP(X37, 1)</f>
        <v>2.3000000000000003</v>
      </c>
      <c r="P12" s="216">
        <f>IF(N12&gt;O12, N12, O12)</f>
        <v>26.200000000000003</v>
      </c>
      <c r="Q12" s="23" t="s">
        <v>166</v>
      </c>
      <c r="R12" s="32">
        <v>16</v>
      </c>
      <c r="S12" s="325">
        <f>P12*R12</f>
        <v>419.20000000000005</v>
      </c>
      <c r="T12" s="33">
        <f>IF(S12&gt;Z12, S12, Z12)</f>
        <v>419.20000000000005</v>
      </c>
      <c r="U12" s="30">
        <v>125</v>
      </c>
      <c r="V12" s="79">
        <v>0.02</v>
      </c>
      <c r="W12" s="33">
        <f>T12+U12</f>
        <v>544.20000000000005</v>
      </c>
      <c r="X12" s="77">
        <f>ROUNDUP(W12*V12,0)</f>
        <v>11</v>
      </c>
      <c r="Y12" s="33">
        <f>W12+X12</f>
        <v>555.20000000000005</v>
      </c>
      <c r="Z12" s="57">
        <v>225</v>
      </c>
      <c r="AA12" s="78">
        <f>ROUNDDOWN(Z12/N12,0)</f>
        <v>8</v>
      </c>
    </row>
    <row r="13" spans="1:27" ht="18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24"/>
      <c r="R13" s="21"/>
      <c r="S13" s="21"/>
      <c r="T13" s="27"/>
      <c r="U13" s="28"/>
      <c r="V13" s="72"/>
      <c r="W13" s="27"/>
      <c r="X13" s="76"/>
      <c r="Y13" s="27"/>
      <c r="Z13" s="25"/>
      <c r="AA13" s="26"/>
    </row>
    <row r="14" spans="1:27" ht="21" x14ac:dyDescent="0.25">
      <c r="A14" s="292" t="s">
        <v>190</v>
      </c>
      <c r="B14" s="217"/>
      <c r="C14" s="217"/>
      <c r="D14" s="217"/>
      <c r="E14" s="217"/>
      <c r="F14" s="217"/>
      <c r="G14" s="217"/>
      <c r="H14" s="217"/>
      <c r="I14" s="10"/>
      <c r="J14" s="10"/>
      <c r="K14" s="10"/>
      <c r="L14" s="10"/>
      <c r="M14" s="10"/>
      <c r="N14" s="10"/>
      <c r="O14" s="193"/>
      <c r="P14" s="193"/>
      <c r="Q14" s="21"/>
      <c r="R14" s="21"/>
      <c r="S14" s="21"/>
      <c r="T14" s="22"/>
      <c r="U14" s="22"/>
      <c r="V14" s="22"/>
      <c r="W14" s="22"/>
      <c r="X14" s="75"/>
      <c r="Y14" s="22"/>
      <c r="Z14" s="22"/>
      <c r="AA14" s="22"/>
    </row>
    <row r="15" spans="1:27" ht="60" x14ac:dyDescent="0.25">
      <c r="A15" s="2" t="s">
        <v>23</v>
      </c>
      <c r="B15" s="2" t="s">
        <v>8</v>
      </c>
      <c r="C15" s="2" t="s">
        <v>7</v>
      </c>
      <c r="D15" s="2" t="s">
        <v>2</v>
      </c>
      <c r="E15" s="2" t="s">
        <v>1</v>
      </c>
      <c r="F15" s="2" t="s">
        <v>6</v>
      </c>
      <c r="G15" s="2" t="s">
        <v>3</v>
      </c>
      <c r="H15" s="2" t="s">
        <v>21</v>
      </c>
      <c r="I15" s="2" t="s">
        <v>9</v>
      </c>
      <c r="J15" s="2" t="s">
        <v>4</v>
      </c>
      <c r="K15" s="2" t="s">
        <v>10</v>
      </c>
      <c r="L15" s="2" t="s">
        <v>24</v>
      </c>
      <c r="M15" s="2" t="s">
        <v>25</v>
      </c>
      <c r="N15" s="195" t="s">
        <v>145</v>
      </c>
      <c r="O15" s="326" t="s">
        <v>144</v>
      </c>
      <c r="P15" s="196" t="s">
        <v>146</v>
      </c>
      <c r="Q15" s="194"/>
      <c r="R15" s="38" t="s">
        <v>29</v>
      </c>
      <c r="S15" s="38" t="s">
        <v>204</v>
      </c>
      <c r="T15" s="37" t="s">
        <v>34</v>
      </c>
      <c r="U15" s="37" t="s">
        <v>27</v>
      </c>
      <c r="V15" s="38" t="s">
        <v>39</v>
      </c>
      <c r="W15" s="38" t="s">
        <v>30</v>
      </c>
      <c r="X15" s="74" t="s">
        <v>36</v>
      </c>
      <c r="Y15" s="38" t="s">
        <v>31</v>
      </c>
      <c r="Z15" s="37" t="s">
        <v>32</v>
      </c>
      <c r="AA15" s="41" t="s">
        <v>33</v>
      </c>
    </row>
    <row r="16" spans="1:27" x14ac:dyDescent="0.25">
      <c r="A16" s="65">
        <v>1.5</v>
      </c>
      <c r="B16" s="65">
        <v>16</v>
      </c>
      <c r="C16" s="65">
        <v>48</v>
      </c>
      <c r="D16" s="66" t="s">
        <v>0</v>
      </c>
      <c r="E16" s="66">
        <v>5.5E-2</v>
      </c>
      <c r="F16" s="7">
        <f>(A16+B16)*C16</f>
        <v>840</v>
      </c>
      <c r="G16" s="7">
        <f>(A16+B16)/E16</f>
        <v>318.18181818181819</v>
      </c>
      <c r="H16" s="7">
        <f t="shared" ref="H16" si="6">C16/10</f>
        <v>4.8</v>
      </c>
      <c r="I16" s="66">
        <v>4</v>
      </c>
      <c r="J16" s="67">
        <f t="shared" ref="J16" si="7">H16*G16/60</f>
        <v>25.454545454545453</v>
      </c>
      <c r="K16" s="67">
        <f>J16+I16</f>
        <v>29.454545454545453</v>
      </c>
      <c r="L16" s="68">
        <v>225</v>
      </c>
      <c r="M16" s="69">
        <f>L16/60</f>
        <v>3.75</v>
      </c>
      <c r="N16" s="70">
        <f>ROUNDUP(K16*M16,1)</f>
        <v>110.5</v>
      </c>
      <c r="O16" s="327">
        <f>ROUNDUP(X38, 1)</f>
        <v>45.5</v>
      </c>
      <c r="P16" s="216">
        <f>IF(N16&gt;O16, N16, O16)</f>
        <v>110.5</v>
      </c>
      <c r="Q16" s="23" t="s">
        <v>167</v>
      </c>
      <c r="R16" s="32">
        <v>1</v>
      </c>
      <c r="S16" s="325">
        <f>P16*R16</f>
        <v>110.5</v>
      </c>
      <c r="T16" s="33">
        <f>IF(S16&gt;Z16, S16, Z16)</f>
        <v>225</v>
      </c>
      <c r="U16" s="30">
        <v>125</v>
      </c>
      <c r="V16" s="79">
        <v>0.02</v>
      </c>
      <c r="W16" s="33">
        <f>T16+U16</f>
        <v>350</v>
      </c>
      <c r="X16" s="77">
        <f>ROUNDUP(W16*V16,0)</f>
        <v>7</v>
      </c>
      <c r="Y16" s="33">
        <f>W16+X16</f>
        <v>357</v>
      </c>
      <c r="Z16" s="57">
        <v>225</v>
      </c>
      <c r="AA16" s="78">
        <f>ROUNDDOWN(Z16/N16,0)</f>
        <v>2</v>
      </c>
    </row>
    <row r="24" spans="1:26" ht="21" x14ac:dyDescent="0.25">
      <c r="A24" s="15" t="s">
        <v>12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0"/>
      <c r="Q24" s="60"/>
      <c r="R24" s="63"/>
      <c r="S24" s="63"/>
      <c r="T24" s="61"/>
      <c r="U24" s="209"/>
      <c r="V24" s="63"/>
      <c r="W24" s="210"/>
      <c r="X24" s="63"/>
      <c r="Y24" s="60"/>
      <c r="Z24" s="211"/>
    </row>
    <row r="25" spans="1:26" ht="45" x14ac:dyDescent="0.25">
      <c r="A25" s="4" t="s">
        <v>13</v>
      </c>
      <c r="B25" s="4" t="s">
        <v>7</v>
      </c>
      <c r="C25" s="2" t="s">
        <v>2</v>
      </c>
      <c r="D25" s="4" t="s">
        <v>1</v>
      </c>
      <c r="E25" s="5" t="s">
        <v>20</v>
      </c>
      <c r="F25" s="4" t="s">
        <v>14</v>
      </c>
      <c r="G25" s="4" t="s">
        <v>15</v>
      </c>
      <c r="H25" s="4" t="s">
        <v>17</v>
      </c>
      <c r="I25" s="4" t="s">
        <v>16</v>
      </c>
      <c r="J25" s="4" t="s">
        <v>18</v>
      </c>
      <c r="K25" s="2" t="s">
        <v>24</v>
      </c>
      <c r="L25" s="2" t="s">
        <v>25</v>
      </c>
      <c r="M25" s="6" t="s">
        <v>19</v>
      </c>
      <c r="N25" s="6"/>
      <c r="O25" s="6"/>
      <c r="P25" s="37"/>
      <c r="Q25" s="38" t="s">
        <v>29</v>
      </c>
      <c r="R25" s="44" t="s">
        <v>34</v>
      </c>
      <c r="S25" s="44"/>
      <c r="T25" s="42" t="s">
        <v>27</v>
      </c>
      <c r="U25" s="73" t="s">
        <v>39</v>
      </c>
      <c r="V25" s="44" t="s">
        <v>30</v>
      </c>
      <c r="W25" s="45" t="s">
        <v>36</v>
      </c>
      <c r="X25" s="44" t="s">
        <v>31</v>
      </c>
      <c r="Y25" s="37" t="s">
        <v>32</v>
      </c>
      <c r="Z25" s="41" t="s">
        <v>33</v>
      </c>
    </row>
    <row r="26" spans="1:26" x14ac:dyDescent="0.25">
      <c r="A26" s="14">
        <v>2.875</v>
      </c>
      <c r="B26" s="14">
        <v>19.8</v>
      </c>
      <c r="C26" s="66" t="s">
        <v>0</v>
      </c>
      <c r="D26" s="16">
        <v>6.5000000000000002E-2</v>
      </c>
      <c r="E26" s="16">
        <f>A26*3.14</f>
        <v>9.0274999999999999</v>
      </c>
      <c r="F26" s="17">
        <f>E26/D26</f>
        <v>138.88461538461539</v>
      </c>
      <c r="G26" s="16">
        <f>B26/10</f>
        <v>1.98</v>
      </c>
      <c r="H26" s="16">
        <v>3</v>
      </c>
      <c r="I26" s="19">
        <f>G26*F26/60</f>
        <v>4.5831923076923085</v>
      </c>
      <c r="J26" s="20">
        <f>I26+H26</f>
        <v>7.5831923076923085</v>
      </c>
      <c r="K26" s="68">
        <v>225</v>
      </c>
      <c r="L26" s="69">
        <f>K26/60</f>
        <v>3.75</v>
      </c>
      <c r="M26" s="18">
        <f>ROUNDUP(J26*L26,1)</f>
        <v>28.5</v>
      </c>
      <c r="N26" s="212"/>
      <c r="O26" s="212"/>
      <c r="P26" s="56" t="s">
        <v>143</v>
      </c>
      <c r="Q26" s="32">
        <v>12</v>
      </c>
      <c r="R26" s="33">
        <f>M26*Q26</f>
        <v>342</v>
      </c>
      <c r="S26" s="33"/>
      <c r="T26" s="30">
        <v>125</v>
      </c>
      <c r="U26" s="79">
        <v>0.02</v>
      </c>
      <c r="V26" s="33">
        <f>R26+T26</f>
        <v>467</v>
      </c>
      <c r="W26" s="77">
        <f>ROUNDUP(V26*U26,0)</f>
        <v>10</v>
      </c>
      <c r="X26" s="33">
        <f t="shared" ref="X26" si="8">V26+W26</f>
        <v>477</v>
      </c>
      <c r="Y26" s="57">
        <v>225</v>
      </c>
      <c r="Z26" s="78">
        <f>ROUNDDOWN(Y26/M26,0)</f>
        <v>7</v>
      </c>
    </row>
    <row r="27" spans="1:26" x14ac:dyDescent="0.25">
      <c r="A27" s="171"/>
      <c r="B27" s="198"/>
      <c r="C27" s="198"/>
      <c r="D27" s="198"/>
      <c r="E27" s="198"/>
      <c r="F27" s="198"/>
      <c r="G27" s="173"/>
    </row>
    <row r="28" spans="1:26" x14ac:dyDescent="0.25">
      <c r="A28" s="174"/>
      <c r="G28" s="176"/>
      <c r="Q28" s="171"/>
      <c r="R28" s="198"/>
      <c r="S28" s="198"/>
      <c r="T28" s="198"/>
      <c r="U28" s="198"/>
      <c r="V28" s="198"/>
      <c r="W28" s="198"/>
      <c r="X28" s="173"/>
      <c r="Z28" t="s">
        <v>184</v>
      </c>
    </row>
    <row r="29" spans="1:26" x14ac:dyDescent="0.25">
      <c r="A29" s="174"/>
      <c r="G29" s="176"/>
      <c r="J29" s="171"/>
      <c r="K29" s="198"/>
      <c r="L29" s="215" t="s">
        <v>163</v>
      </c>
      <c r="M29" s="198"/>
      <c r="N29" s="198"/>
      <c r="O29" s="173"/>
      <c r="Q29" s="174"/>
      <c r="X29" s="176"/>
      <c r="Z29" s="260">
        <v>10000</v>
      </c>
    </row>
    <row r="30" spans="1:26" x14ac:dyDescent="0.25">
      <c r="A30" s="174" t="s">
        <v>92</v>
      </c>
      <c r="B30">
        <f>12^3</f>
        <v>1728</v>
      </c>
      <c r="C30" t="s">
        <v>93</v>
      </c>
      <c r="G30" s="176"/>
      <c r="J30" s="174"/>
      <c r="M30" t="s">
        <v>94</v>
      </c>
      <c r="N30">
        <v>62.427959999999999</v>
      </c>
      <c r="O30" s="176"/>
      <c r="Q30" s="174" t="s">
        <v>92</v>
      </c>
      <c r="R30">
        <f>12^3</f>
        <v>1728</v>
      </c>
      <c r="T30" t="s">
        <v>93</v>
      </c>
      <c r="X30" s="176"/>
      <c r="Z30">
        <v>6000</v>
      </c>
    </row>
    <row r="31" spans="1:26" x14ac:dyDescent="0.25">
      <c r="A31" s="174"/>
      <c r="C31" t="s">
        <v>95</v>
      </c>
      <c r="E31" s="161">
        <v>515</v>
      </c>
      <c r="G31" s="176"/>
      <c r="J31" s="174" t="s">
        <v>96</v>
      </c>
      <c r="K31" t="s">
        <v>97</v>
      </c>
      <c r="L31" t="s">
        <v>98</v>
      </c>
      <c r="M31" t="s">
        <v>99</v>
      </c>
      <c r="O31" s="176"/>
      <c r="Q31" s="174"/>
      <c r="T31" t="s">
        <v>95</v>
      </c>
      <c r="V31" s="161">
        <v>568</v>
      </c>
      <c r="X31" s="176"/>
      <c r="Z31">
        <v>4000</v>
      </c>
    </row>
    <row r="32" spans="1:26" x14ac:dyDescent="0.25">
      <c r="A32" s="174"/>
      <c r="C32" t="s">
        <v>161</v>
      </c>
      <c r="E32" s="162">
        <v>0.1</v>
      </c>
      <c r="G32" s="176"/>
      <c r="J32" s="174" t="s">
        <v>101</v>
      </c>
      <c r="K32">
        <v>7075</v>
      </c>
      <c r="L32">
        <v>2.81</v>
      </c>
      <c r="M32">
        <f>L32*$N$30</f>
        <v>175.42256760000001</v>
      </c>
      <c r="O32" s="176"/>
      <c r="Q32" s="174"/>
      <c r="T32" t="s">
        <v>161</v>
      </c>
      <c r="V32" s="162">
        <v>0.1</v>
      </c>
      <c r="X32" s="176"/>
    </row>
    <row r="33" spans="1:24" x14ac:dyDescent="0.25">
      <c r="A33" s="174"/>
      <c r="C33" t="s">
        <v>162</v>
      </c>
      <c r="E33" s="258">
        <v>0.12</v>
      </c>
      <c r="G33" s="176"/>
      <c r="J33" s="174" t="s">
        <v>101</v>
      </c>
      <c r="K33">
        <v>2219</v>
      </c>
      <c r="L33">
        <v>2.84</v>
      </c>
      <c r="M33">
        <f>L33*$N$30</f>
        <v>177.29540639999999</v>
      </c>
      <c r="O33" s="176"/>
      <c r="Q33" s="174"/>
      <c r="T33" t="s">
        <v>162</v>
      </c>
      <c r="V33" s="259">
        <v>0.12</v>
      </c>
      <c r="X33" s="176"/>
    </row>
    <row r="34" spans="1:24" x14ac:dyDescent="0.25">
      <c r="A34" s="174"/>
      <c r="G34" s="176"/>
      <c r="J34" s="174" t="s">
        <v>101</v>
      </c>
      <c r="K34">
        <v>6061</v>
      </c>
      <c r="L34">
        <v>2.7</v>
      </c>
      <c r="M34">
        <f>L34*$N$30</f>
        <v>168.55549200000002</v>
      </c>
      <c r="O34" s="176"/>
      <c r="Q34" s="174"/>
      <c r="X34" s="176"/>
    </row>
    <row r="35" spans="1:24" x14ac:dyDescent="0.25">
      <c r="A35" s="174"/>
      <c r="G35" s="176"/>
      <c r="J35" s="174" t="s">
        <v>101</v>
      </c>
      <c r="K35">
        <v>7050</v>
      </c>
      <c r="L35">
        <v>2.83</v>
      </c>
      <c r="M35">
        <f>L35*$N$30</f>
        <v>176.6711268</v>
      </c>
      <c r="O35" s="176"/>
      <c r="Q35" s="174"/>
      <c r="X35" s="176"/>
    </row>
    <row r="36" spans="1:24" x14ac:dyDescent="0.25">
      <c r="A36" s="213" t="s">
        <v>102</v>
      </c>
      <c r="B36" s="163" t="s">
        <v>103</v>
      </c>
      <c r="C36" s="163" t="s">
        <v>104</v>
      </c>
      <c r="D36" s="163" t="s">
        <v>105</v>
      </c>
      <c r="E36" s="163" t="s">
        <v>106</v>
      </c>
      <c r="F36" s="163" t="s">
        <v>107</v>
      </c>
      <c r="G36" s="214" t="s">
        <v>108</v>
      </c>
      <c r="H36" s="163"/>
      <c r="I36" s="163"/>
      <c r="J36" s="213" t="s">
        <v>109</v>
      </c>
      <c r="K36" s="163"/>
      <c r="L36" s="163"/>
      <c r="M36" s="163">
        <v>494.21</v>
      </c>
      <c r="N36" s="163" t="s">
        <v>110</v>
      </c>
      <c r="O36" s="214"/>
      <c r="P36" s="163"/>
      <c r="Q36" s="213" t="s">
        <v>102</v>
      </c>
      <c r="R36" s="163" t="s">
        <v>103</v>
      </c>
      <c r="S36" s="163"/>
      <c r="T36" s="163" t="s">
        <v>104</v>
      </c>
      <c r="U36" s="163" t="s">
        <v>105</v>
      </c>
      <c r="V36" s="163" t="s">
        <v>106</v>
      </c>
      <c r="W36" s="163" t="s">
        <v>107</v>
      </c>
      <c r="X36" s="214" t="s">
        <v>108</v>
      </c>
    </row>
    <row r="37" spans="1:24" x14ac:dyDescent="0.25">
      <c r="A37" s="222">
        <f>A3</f>
        <v>3.25</v>
      </c>
      <c r="B37" s="164">
        <f>B3</f>
        <v>36</v>
      </c>
      <c r="C37" s="164">
        <f>C3</f>
        <v>36</v>
      </c>
      <c r="D37">
        <f>A37*B37*C37</f>
        <v>4212</v>
      </c>
      <c r="E37">
        <f>D37/$B$30</f>
        <v>2.4375</v>
      </c>
      <c r="F37">
        <f>E37*$E$31</f>
        <v>1255.3125</v>
      </c>
      <c r="G37" s="223">
        <f>F37*$E$32</f>
        <v>125.53125</v>
      </c>
      <c r="J37" s="174" t="s">
        <v>111</v>
      </c>
      <c r="M37">
        <v>283.39</v>
      </c>
      <c r="N37" t="s">
        <v>112</v>
      </c>
      <c r="O37" s="176"/>
      <c r="Q37" s="222">
        <f>A12</f>
        <v>2.65</v>
      </c>
      <c r="R37" s="164">
        <f>B12</f>
        <v>4</v>
      </c>
      <c r="S37" s="164"/>
      <c r="T37" s="164">
        <f>C12</f>
        <v>6.5</v>
      </c>
      <c r="U37">
        <f>Q37*R37*T37</f>
        <v>68.899999999999991</v>
      </c>
      <c r="V37">
        <f>U37/$B$30</f>
        <v>3.9872685185185178E-2</v>
      </c>
      <c r="W37">
        <f>V37*$V$31</f>
        <v>22.647685185185182</v>
      </c>
      <c r="X37" s="223">
        <f>W37*$V$32</f>
        <v>2.2647685185185185</v>
      </c>
    </row>
    <row r="38" spans="1:24" x14ac:dyDescent="0.25">
      <c r="A38" s="224">
        <f>+A7</f>
        <v>3</v>
      </c>
      <c r="B38" s="165">
        <f>B7</f>
        <v>37</v>
      </c>
      <c r="C38" s="165">
        <f>C7</f>
        <v>120</v>
      </c>
      <c r="D38">
        <f t="shared" ref="D38:D41" si="9">A38*B38*C38</f>
        <v>13320</v>
      </c>
      <c r="E38">
        <f>D38/$B$30</f>
        <v>7.708333333333333</v>
      </c>
      <c r="F38">
        <f>E38*$E$31</f>
        <v>3969.7916666666665</v>
      </c>
      <c r="G38" s="225">
        <f>F38*$E$33</f>
        <v>476.37499999999994</v>
      </c>
      <c r="J38" s="174" t="s">
        <v>113</v>
      </c>
      <c r="M38">
        <v>490</v>
      </c>
      <c r="O38" s="176"/>
      <c r="Q38" s="224">
        <f>A16</f>
        <v>1.5</v>
      </c>
      <c r="R38" s="165">
        <f>B16</f>
        <v>16</v>
      </c>
      <c r="S38" s="165"/>
      <c r="T38" s="165">
        <f>C16</f>
        <v>48</v>
      </c>
      <c r="U38">
        <f t="shared" ref="U38:U41" si="10">Q38*R38*T38</f>
        <v>1152</v>
      </c>
      <c r="V38">
        <f>U38/$B$30</f>
        <v>0.66666666666666663</v>
      </c>
      <c r="W38">
        <f>V38*$V$31</f>
        <v>378.66666666666663</v>
      </c>
      <c r="X38" s="225">
        <f>W38*$V$33</f>
        <v>45.439999999999991</v>
      </c>
    </row>
    <row r="39" spans="1:24" x14ac:dyDescent="0.25">
      <c r="A39" s="226">
        <v>5.625</v>
      </c>
      <c r="B39" s="166">
        <v>5.75</v>
      </c>
      <c r="C39" s="166">
        <v>9</v>
      </c>
      <c r="D39">
        <f t="shared" si="9"/>
        <v>291.09375</v>
      </c>
      <c r="E39">
        <f>D39/$B$30</f>
        <v>0.16845703125</v>
      </c>
      <c r="F39">
        <f>E39*$E$31</f>
        <v>86.75537109375</v>
      </c>
      <c r="G39" s="227">
        <f>F39*$E$32</f>
        <v>8.675537109375</v>
      </c>
      <c r="J39" s="174" t="s">
        <v>114</v>
      </c>
      <c r="M39">
        <v>1204.4100000000001</v>
      </c>
      <c r="O39" s="176"/>
      <c r="Q39" s="226">
        <v>5.625</v>
      </c>
      <c r="R39" s="166">
        <v>5.75</v>
      </c>
      <c r="S39" s="166"/>
      <c r="T39" s="166">
        <v>9</v>
      </c>
      <c r="U39">
        <f t="shared" si="10"/>
        <v>291.09375</v>
      </c>
      <c r="V39">
        <f>U39/$B$30</f>
        <v>0.16845703125</v>
      </c>
      <c r="W39">
        <f>V39*$E$31</f>
        <v>86.75537109375</v>
      </c>
      <c r="X39" s="227">
        <f>W39*$E$32</f>
        <v>8.675537109375</v>
      </c>
    </row>
    <row r="40" spans="1:24" x14ac:dyDescent="0.25">
      <c r="A40" s="228">
        <v>11.75</v>
      </c>
      <c r="B40" s="167">
        <v>5.75</v>
      </c>
      <c r="C40" s="167">
        <v>55.875</v>
      </c>
      <c r="D40">
        <f t="shared" si="9"/>
        <v>3775.0546875</v>
      </c>
      <c r="E40">
        <f>D40/$B$30</f>
        <v>2.1846381293402777</v>
      </c>
      <c r="F40">
        <f>E40*$E$31</f>
        <v>1125.0886366102429</v>
      </c>
      <c r="G40" s="229">
        <f>F40*$E$32</f>
        <v>112.50886366102429</v>
      </c>
      <c r="J40" s="174" t="s">
        <v>115</v>
      </c>
      <c r="M40">
        <v>568.5</v>
      </c>
      <c r="O40" s="176"/>
      <c r="Q40" s="228">
        <v>11.75</v>
      </c>
      <c r="R40" s="167">
        <v>5.75</v>
      </c>
      <c r="S40" s="167"/>
      <c r="T40" s="167">
        <v>55.875</v>
      </c>
      <c r="U40">
        <f t="shared" si="10"/>
        <v>3775.0546875</v>
      </c>
      <c r="V40">
        <f>U40/$B$30</f>
        <v>2.1846381293402777</v>
      </c>
      <c r="W40">
        <f>V40*$E$31</f>
        <v>1125.0886366102429</v>
      </c>
      <c r="X40" s="229">
        <f>W40*$E$32</f>
        <v>112.50886366102429</v>
      </c>
    </row>
    <row r="41" spans="1:24" x14ac:dyDescent="0.25">
      <c r="A41" s="230">
        <v>10</v>
      </c>
      <c r="B41" s="231">
        <v>10</v>
      </c>
      <c r="C41" s="231">
        <v>10</v>
      </c>
      <c r="D41" s="178">
        <f t="shared" si="9"/>
        <v>1000</v>
      </c>
      <c r="E41" s="178">
        <f>D41/$B$30</f>
        <v>0.57870370370370372</v>
      </c>
      <c r="F41" s="178">
        <f>E41*$E$31</f>
        <v>298.03240740740739</v>
      </c>
      <c r="G41" s="179">
        <f>F41*$E$32</f>
        <v>29.80324074074074</v>
      </c>
      <c r="J41" s="177"/>
      <c r="K41" s="178"/>
      <c r="L41" s="178"/>
      <c r="M41" s="178"/>
      <c r="N41" s="178"/>
      <c r="O41" s="199"/>
      <c r="Q41" s="230">
        <v>10</v>
      </c>
      <c r="R41" s="231">
        <v>10</v>
      </c>
      <c r="S41" s="231"/>
      <c r="T41" s="231">
        <v>10</v>
      </c>
      <c r="U41" s="178">
        <f t="shared" si="10"/>
        <v>1000</v>
      </c>
      <c r="V41" s="178">
        <f>U41/$B$30</f>
        <v>0.57870370370370372</v>
      </c>
      <c r="W41" s="178">
        <f>V41*$E$31</f>
        <v>298.03240740740739</v>
      </c>
      <c r="X41" s="179">
        <f>W41*$E$32</f>
        <v>29.80324074074074</v>
      </c>
    </row>
    <row r="44" spans="1:24" ht="75" x14ac:dyDescent="0.25">
      <c r="A44" s="95" t="s">
        <v>178</v>
      </c>
      <c r="B44" s="246" t="s">
        <v>176</v>
      </c>
      <c r="C44" s="95" t="s">
        <v>173</v>
      </c>
      <c r="D44" s="95" t="s">
        <v>170</v>
      </c>
      <c r="E44" s="95" t="s">
        <v>171</v>
      </c>
      <c r="F44" s="246" t="s">
        <v>175</v>
      </c>
      <c r="G44" s="95" t="s">
        <v>172</v>
      </c>
      <c r="H44" s="95" t="s">
        <v>174</v>
      </c>
      <c r="I44" s="246" t="s">
        <v>177</v>
      </c>
      <c r="K44" s="184" t="s">
        <v>185</v>
      </c>
      <c r="L44" s="184" t="s">
        <v>186</v>
      </c>
      <c r="O44" s="250" t="s">
        <v>184</v>
      </c>
    </row>
    <row r="45" spans="1:24" x14ac:dyDescent="0.25">
      <c r="A45" s="232" t="s">
        <v>179</v>
      </c>
      <c r="B45" s="251">
        <v>13</v>
      </c>
      <c r="C45" s="161">
        <v>60</v>
      </c>
      <c r="D45" s="251">
        <f>B45/2</f>
        <v>6.5</v>
      </c>
      <c r="E45" s="161">
        <v>3.1415926535900001</v>
      </c>
      <c r="F45" s="161">
        <f>E45*(D45^2)</f>
        <v>132.73228961417749</v>
      </c>
      <c r="G45" s="161">
        <f>F45*C45</f>
        <v>7963.9373768506493</v>
      </c>
      <c r="H45" s="161">
        <v>0.28299999999999997</v>
      </c>
      <c r="I45" s="233">
        <f>G45*H45</f>
        <v>2253.7942776487334</v>
      </c>
      <c r="K45" s="257">
        <v>0.14000000000000001</v>
      </c>
      <c r="L45" s="256">
        <f>ROUND(K45*I45, 2)</f>
        <v>315.52999999999997</v>
      </c>
      <c r="O45" s="95">
        <v>6000</v>
      </c>
    </row>
    <row r="46" spans="1:24" x14ac:dyDescent="0.25">
      <c r="A46" s="234" t="s">
        <v>180</v>
      </c>
      <c r="B46" s="252">
        <v>10.5</v>
      </c>
      <c r="C46" s="235">
        <v>144</v>
      </c>
      <c r="D46" s="252">
        <f>B46/2</f>
        <v>5.25</v>
      </c>
      <c r="E46" s="235">
        <v>3.1415926535900001</v>
      </c>
      <c r="F46" s="235">
        <f t="shared" ref="F46:F49" si="11">E46*(D46^2)</f>
        <v>86.590147514574383</v>
      </c>
      <c r="G46" s="235">
        <f>F46*C46</f>
        <v>12468.981242098711</v>
      </c>
      <c r="H46" s="235">
        <v>0.28999999999999998</v>
      </c>
      <c r="I46" s="236">
        <f>G46*H46</f>
        <v>3616.0045602086261</v>
      </c>
      <c r="K46" s="257">
        <v>0.14000000000000001</v>
      </c>
      <c r="L46" s="256">
        <f t="shared" ref="L46:L49" si="12">ROUND(K46*I46, 2)</f>
        <v>506.24</v>
      </c>
    </row>
    <row r="47" spans="1:24" x14ac:dyDescent="0.25">
      <c r="A47" s="237" t="s">
        <v>181</v>
      </c>
      <c r="B47" s="253">
        <v>13</v>
      </c>
      <c r="C47" s="238">
        <v>148</v>
      </c>
      <c r="D47" s="253">
        <f>B47/2</f>
        <v>6.5</v>
      </c>
      <c r="E47" s="238">
        <v>3.1415926535900001</v>
      </c>
      <c r="F47" s="238">
        <f t="shared" si="11"/>
        <v>132.73228961417749</v>
      </c>
      <c r="G47" s="238">
        <f>F47*C47</f>
        <v>19644.378862898269</v>
      </c>
      <c r="H47" s="238">
        <v>0.1</v>
      </c>
      <c r="I47" s="239">
        <f>G47*H47</f>
        <v>1964.437886289827</v>
      </c>
      <c r="K47" s="257">
        <v>0.15</v>
      </c>
      <c r="L47" s="256">
        <f t="shared" si="12"/>
        <v>294.67</v>
      </c>
    </row>
    <row r="48" spans="1:24" x14ac:dyDescent="0.25">
      <c r="A48" s="240" t="s">
        <v>182</v>
      </c>
      <c r="B48" s="254">
        <v>13</v>
      </c>
      <c r="C48" s="241">
        <v>148</v>
      </c>
      <c r="D48" s="254">
        <f>B48/2</f>
        <v>6.5</v>
      </c>
      <c r="E48" s="241">
        <v>3.1415926535900001</v>
      </c>
      <c r="F48" s="241">
        <f t="shared" si="11"/>
        <v>132.73228961417749</v>
      </c>
      <c r="G48" s="241">
        <f>F48*C48</f>
        <v>19644.378862898269</v>
      </c>
      <c r="H48" s="241">
        <v>0.16</v>
      </c>
      <c r="I48" s="242">
        <f>G48*H48</f>
        <v>3143.1006180637232</v>
      </c>
      <c r="K48" s="257">
        <v>0.2</v>
      </c>
      <c r="L48" s="256">
        <f t="shared" si="12"/>
        <v>628.62</v>
      </c>
    </row>
    <row r="49" spans="1:12" x14ac:dyDescent="0.25">
      <c r="A49" s="243" t="s">
        <v>187</v>
      </c>
      <c r="B49" s="255">
        <v>6.02</v>
      </c>
      <c r="C49" s="244">
        <v>165.875</v>
      </c>
      <c r="D49" s="255">
        <f>B49/2</f>
        <v>3.01</v>
      </c>
      <c r="E49" s="244">
        <v>3.1415926535900001</v>
      </c>
      <c r="F49" s="244">
        <f t="shared" si="11"/>
        <v>28.463143600790755</v>
      </c>
      <c r="G49" s="244">
        <f>F49*C49</f>
        <v>4721.3239447811666</v>
      </c>
      <c r="H49" s="244">
        <v>0.29649999999999999</v>
      </c>
      <c r="I49" s="245">
        <f>G49*H49</f>
        <v>1399.8725496276159</v>
      </c>
      <c r="K49" s="257">
        <v>0.16</v>
      </c>
      <c r="L49" s="256">
        <f t="shared" si="12"/>
        <v>223.98</v>
      </c>
    </row>
  </sheetData>
  <conditionalFormatting sqref="I45:I49">
    <cfRule type="cellIs" dxfId="52" priority="1" operator="greaterThan">
      <formula>$Q$24</formula>
    </cfRule>
  </conditionalFormatting>
  <conditionalFormatting sqref="I49">
    <cfRule type="cellIs" dxfId="51" priority="7" operator="greaterThan">
      <formula>6296.819819</formula>
    </cfRule>
    <cfRule type="cellIs" dxfId="50" priority="8" operator="greaterThan">
      <formula>$Q$24</formula>
    </cfRule>
  </conditionalFormatting>
  <conditionalFormatting sqref="L49">
    <cfRule type="cellIs" dxfId="49" priority="2" operator="greaterThan">
      <formula>960</formula>
    </cfRule>
    <cfRule type="cellIs" priority="3" operator="greaterThan">
      <formula>960</formula>
    </cfRule>
    <cfRule type="expression" priority="4">
      <formula>$K$28</formula>
    </cfRule>
    <cfRule type="aboveAverage" priority="5" aboveAverage="0"/>
    <cfRule type="expression" priority="6">
      <formula>"IF K28 IS RED"</formula>
    </cfRule>
  </conditionalFormatting>
  <conditionalFormatting sqref="P3">
    <cfRule type="expression" dxfId="48" priority="9">
      <formula>$F$37&gt;$Z$29</formula>
    </cfRule>
    <cfRule type="expression" priority="13">
      <formula>$W$37&gt;$Z$29</formula>
    </cfRule>
  </conditionalFormatting>
  <conditionalFormatting sqref="P7">
    <cfRule type="expression" dxfId="47" priority="10">
      <formula>$F$38&gt;$Z$29</formula>
    </cfRule>
  </conditionalFormatting>
  <conditionalFormatting sqref="P12">
    <cfRule type="expression" dxfId="46" priority="12">
      <formula>$W$37&gt;$Z$29</formula>
    </cfRule>
  </conditionalFormatting>
  <conditionalFormatting sqref="P16">
    <cfRule type="expression" dxfId="45" priority="11">
      <formula>$W$38&gt;$Z$29</formula>
    </cfRule>
  </conditionalFormatting>
  <pageMargins left="0.7" right="0.7" top="0.75" bottom="0.75" header="0.3" footer="0.3"/>
  <drawing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DBFB-EB7E-498F-9171-8730DA67C40D}">
  <sheetPr>
    <tabColor rgb="FF00B0F0"/>
  </sheetPr>
  <dimension ref="A1:AC37"/>
  <sheetViews>
    <sheetView topLeftCell="A2" workbookViewId="0">
      <selection activeCell="P31" sqref="P31"/>
    </sheetView>
  </sheetViews>
  <sheetFormatPr defaultRowHeight="15" x14ac:dyDescent="0.25"/>
  <cols>
    <col min="4" max="13" width="9.140625" hidden="1" customWidth="1"/>
    <col min="17" max="17" width="0" hidden="1" customWidth="1"/>
    <col min="19" max="19" width="0" hidden="1" customWidth="1"/>
    <col min="23" max="23" width="21.5703125" customWidth="1"/>
    <col min="24" max="24" width="4.5703125" customWidth="1"/>
    <col min="25" max="25" width="17.28515625" customWidth="1"/>
    <col min="27" max="27" width="29.5703125" customWidth="1"/>
    <col min="28" max="28" width="4.28515625" customWidth="1"/>
    <col min="29" max="29" width="17.14062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0.25</v>
      </c>
      <c r="B3" s="65">
        <v>16</v>
      </c>
      <c r="C3" s="65">
        <v>16.25</v>
      </c>
      <c r="D3" s="66">
        <v>0.125</v>
      </c>
      <c r="E3" s="66">
        <v>0.125</v>
      </c>
      <c r="F3" s="66">
        <f>(A3+B3)*C3</f>
        <v>264.0625</v>
      </c>
      <c r="G3" s="66">
        <f>(A3+B3)/E3</f>
        <v>130</v>
      </c>
      <c r="H3" s="66">
        <f t="shared" ref="H3" si="0">C3/10</f>
        <v>1.625</v>
      </c>
      <c r="I3" s="66">
        <v>3.5</v>
      </c>
      <c r="J3" s="67">
        <f t="shared" ref="J3" si="1">H3*G3/60</f>
        <v>3.5208333333333335</v>
      </c>
      <c r="K3" s="67">
        <f>J3+I3</f>
        <v>7.0208333333333339</v>
      </c>
      <c r="L3" s="68">
        <v>250</v>
      </c>
      <c r="M3" s="69">
        <f>L3/60</f>
        <v>4.166666666666667</v>
      </c>
      <c r="N3" s="70">
        <f>ROUNDUP(K3*M3,1)</f>
        <v>29.3</v>
      </c>
      <c r="O3" s="56"/>
      <c r="P3" s="30">
        <v>0</v>
      </c>
      <c r="Q3" s="71">
        <v>0.02</v>
      </c>
      <c r="R3" s="32">
        <v>5</v>
      </c>
      <c r="S3" s="35">
        <f>N3*R3</f>
        <v>146.5</v>
      </c>
      <c r="T3" s="33">
        <f>IF(S3&gt;Y3,S3,Y3)</f>
        <v>250</v>
      </c>
      <c r="U3" s="33">
        <f>T3+P3</f>
        <v>250</v>
      </c>
      <c r="V3" s="33">
        <f>ROUNDUP(U3*Q3,0)</f>
        <v>5</v>
      </c>
      <c r="W3" s="33">
        <f>U3+V3</f>
        <v>255</v>
      </c>
      <c r="X3" s="34"/>
      <c r="Y3" s="57">
        <v>250</v>
      </c>
      <c r="Z3" s="36">
        <f>ROUNDDOWN(Y3/N3,0)</f>
        <v>8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2.375</v>
      </c>
      <c r="B6" s="65">
        <v>35</v>
      </c>
      <c r="C6" s="65">
        <v>35</v>
      </c>
      <c r="D6" s="66">
        <v>0.125</v>
      </c>
      <c r="E6" s="66">
        <v>4.4999999999999998E-2</v>
      </c>
      <c r="F6" s="66">
        <f>(A6+B6)*C6</f>
        <v>1308.125</v>
      </c>
      <c r="G6" s="66">
        <f>(A6+B6)/E6</f>
        <v>830.55555555555554</v>
      </c>
      <c r="H6" s="66">
        <f t="shared" ref="H6" si="2">C6/10</f>
        <v>3.5</v>
      </c>
      <c r="I6" s="66">
        <v>3.5</v>
      </c>
      <c r="J6" s="67">
        <f t="shared" ref="J6" si="3">H6*G6/60</f>
        <v>48.449074074074069</v>
      </c>
      <c r="K6" s="67">
        <f>J6+I6</f>
        <v>51.949074074074069</v>
      </c>
      <c r="L6" s="68">
        <v>250</v>
      </c>
      <c r="M6" s="69">
        <f>L6/60</f>
        <v>4.166666666666667</v>
      </c>
      <c r="N6" s="70">
        <f>ROUNDUP(K6*M6,1)</f>
        <v>216.5</v>
      </c>
      <c r="O6" s="56"/>
      <c r="P6" s="30">
        <v>125</v>
      </c>
      <c r="Q6" s="71">
        <v>0.02</v>
      </c>
      <c r="R6" s="32">
        <v>5</v>
      </c>
      <c r="S6" s="35">
        <f>N6*R6</f>
        <v>1082.5</v>
      </c>
      <c r="T6" s="33">
        <f>IF(S6&gt;Y6,S6,Y6)</f>
        <v>1082.5</v>
      </c>
      <c r="U6" s="33">
        <f>T6+P6</f>
        <v>1207.5</v>
      </c>
      <c r="V6" s="33">
        <f>ROUNDUP(U6*Q6,0)</f>
        <v>25</v>
      </c>
      <c r="W6" s="33">
        <f>U6+V6</f>
        <v>1232.5</v>
      </c>
      <c r="X6" s="34"/>
      <c r="Y6" s="57">
        <v>250</v>
      </c>
      <c r="Z6" s="36">
        <f>ROUNDDOWN(Y6/N6,0)</f>
        <v>1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3</v>
      </c>
      <c r="C9" s="14">
        <v>1.25</v>
      </c>
      <c r="D9" s="66" t="s">
        <v>0</v>
      </c>
      <c r="E9" s="16">
        <v>4.4999999999999998E-2</v>
      </c>
      <c r="F9" s="16">
        <f>B9*3.14</f>
        <v>9.42</v>
      </c>
      <c r="G9" s="17">
        <f>F9/E9</f>
        <v>209.33333333333334</v>
      </c>
      <c r="H9" s="16">
        <f>C9/10</f>
        <v>0.125</v>
      </c>
      <c r="I9" s="16">
        <v>3</v>
      </c>
      <c r="J9" s="19">
        <f>H9*G9/60</f>
        <v>0.43611111111111112</v>
      </c>
      <c r="K9" s="20">
        <f>J9+I9</f>
        <v>3.4361111111111109</v>
      </c>
      <c r="L9" s="68">
        <v>250</v>
      </c>
      <c r="M9" s="69">
        <f>L9/60</f>
        <v>4.166666666666667</v>
      </c>
      <c r="N9" s="18">
        <f>ROUNDUP(K9*M9,1)</f>
        <v>14.4</v>
      </c>
      <c r="O9" s="56"/>
      <c r="P9" s="30">
        <v>125</v>
      </c>
      <c r="Q9" s="71">
        <v>0.02</v>
      </c>
      <c r="R9" s="32">
        <v>227</v>
      </c>
      <c r="S9" s="35">
        <f>N9*R9</f>
        <v>3268.8</v>
      </c>
      <c r="T9" s="33">
        <f>IF(S9&gt;Y9,S9,Y9)</f>
        <v>3268.8</v>
      </c>
      <c r="U9" s="33">
        <f>T9+P9</f>
        <v>3393.8</v>
      </c>
      <c r="V9" s="33">
        <f>ROUNDUP(U9*Q9,0)</f>
        <v>68</v>
      </c>
      <c r="W9" s="33">
        <f t="shared" ref="W9" si="4">U9+V9</f>
        <v>3461.8</v>
      </c>
      <c r="X9" s="56"/>
      <c r="Y9" s="58">
        <v>250</v>
      </c>
      <c r="Z9" s="47">
        <f>ROUNDDOWN(Y9/N9,0)</f>
        <v>17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3.5</v>
      </c>
      <c r="J14" s="67">
        <f t="shared" ref="J14" si="6">H14*G14/60</f>
        <v>0.1111111111111111</v>
      </c>
      <c r="K14" s="67">
        <f>J14+I14</f>
        <v>3.6111111111111112</v>
      </c>
      <c r="L14" s="68">
        <v>275</v>
      </c>
      <c r="M14" s="69">
        <f>L14/60</f>
        <v>4.583333333333333</v>
      </c>
      <c r="N14" s="70">
        <f>ROUNDUP(K14*M14,1)</f>
        <v>16.600000000000001</v>
      </c>
      <c r="O14" s="56"/>
      <c r="P14" s="30">
        <v>125</v>
      </c>
      <c r="Q14" s="71">
        <v>0.02</v>
      </c>
      <c r="R14" s="32">
        <v>50</v>
      </c>
      <c r="S14" s="35">
        <f>N14*R14</f>
        <v>830.00000000000011</v>
      </c>
      <c r="T14" s="33">
        <f>IF(S14&gt;Y14,S14,Y14)</f>
        <v>830.00000000000011</v>
      </c>
      <c r="U14" s="33">
        <f>T14+P14</f>
        <v>955.00000000000011</v>
      </c>
      <c r="V14" s="33">
        <f>ROUNDUP(U14*Q14,0)</f>
        <v>20</v>
      </c>
      <c r="W14" s="33">
        <f>U14+V14</f>
        <v>975.00000000000011</v>
      </c>
      <c r="X14" s="34"/>
      <c r="Y14" s="57">
        <v>275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29" x14ac:dyDescent="0.25">
      <c r="A17" s="1"/>
      <c r="B17" s="14">
        <v>9.5</v>
      </c>
      <c r="C17" s="14">
        <v>2</v>
      </c>
      <c r="D17" s="66" t="s">
        <v>0</v>
      </c>
      <c r="E17" s="16">
        <v>4.4999999999999998E-2</v>
      </c>
      <c r="F17" s="16">
        <f>B17*3.14</f>
        <v>29.830000000000002</v>
      </c>
      <c r="G17" s="17">
        <f>F17/E17</f>
        <v>662.88888888888891</v>
      </c>
      <c r="H17" s="16">
        <f>C17/10</f>
        <v>0.2</v>
      </c>
      <c r="I17" s="16">
        <v>4</v>
      </c>
      <c r="J17" s="19">
        <f>H17*G17/60</f>
        <v>2.2096296296296298</v>
      </c>
      <c r="K17" s="20">
        <f>J17+I17</f>
        <v>6.2096296296296298</v>
      </c>
      <c r="L17" s="68">
        <v>275</v>
      </c>
      <c r="M17" s="69">
        <f>L17/60</f>
        <v>4.583333333333333</v>
      </c>
      <c r="N17" s="18">
        <f>ROUNDUP(K17*M17,1)</f>
        <v>28.5</v>
      </c>
      <c r="O17" s="56"/>
      <c r="P17" s="30">
        <v>125</v>
      </c>
      <c r="Q17" s="71">
        <v>0.02</v>
      </c>
      <c r="R17" s="32">
        <v>1</v>
      </c>
      <c r="S17" s="35">
        <f>N17*R17</f>
        <v>28.5</v>
      </c>
      <c r="T17" s="33">
        <f>IF(S17&gt;Y17,S17,Y17)</f>
        <v>275</v>
      </c>
      <c r="U17" s="33">
        <f>T17+P17</f>
        <v>400</v>
      </c>
      <c r="V17" s="33">
        <f>ROUNDUP(U17*Q17,0)</f>
        <v>8</v>
      </c>
      <c r="W17" s="33">
        <f t="shared" ref="W17" si="7">U17+V17</f>
        <v>408</v>
      </c>
      <c r="X17" s="56"/>
      <c r="Y17" s="58">
        <v>275</v>
      </c>
      <c r="Z17" s="47">
        <f>ROUNDDOWN(Y17/N17,0)</f>
        <v>9</v>
      </c>
    </row>
    <row r="19" spans="1:29" ht="15.75" thickBot="1" x14ac:dyDescent="0.3"/>
    <row r="20" spans="1:29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436" t="s">
        <v>348</v>
      </c>
      <c r="W20" s="436"/>
      <c r="X20" s="436"/>
      <c r="Y20" s="436"/>
      <c r="Z20" s="1"/>
      <c r="AA20" s="460" t="s">
        <v>362</v>
      </c>
      <c r="AB20" s="461"/>
      <c r="AC20" s="461"/>
    </row>
    <row r="21" spans="1:29" ht="16.5" thickTop="1" x14ac:dyDescent="0.25">
      <c r="A21" s="373" t="s">
        <v>32</v>
      </c>
      <c r="C21" s="376">
        <v>275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216.5</v>
      </c>
      <c r="Z21" s="1"/>
      <c r="AA21" s="462" t="s">
        <v>207</v>
      </c>
      <c r="AB21" s="463"/>
      <c r="AC21" s="470">
        <f>N3</f>
        <v>29.3</v>
      </c>
    </row>
    <row r="22" spans="1:29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5</v>
      </c>
      <c r="Z22" s="1"/>
      <c r="AA22" s="464" t="s">
        <v>208</v>
      </c>
      <c r="AB22" s="1"/>
      <c r="AC22" s="471">
        <f>R3</f>
        <v>5</v>
      </c>
    </row>
    <row r="23" spans="1:29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1082.5</v>
      </c>
      <c r="Z23" s="1"/>
      <c r="AA23" s="464" t="s">
        <v>209</v>
      </c>
      <c r="AB23" s="1"/>
      <c r="AC23" s="469">
        <f>T3</f>
        <v>250</v>
      </c>
    </row>
    <row r="24" spans="1:29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25</v>
      </c>
      <c r="Z24" s="1"/>
      <c r="AA24" s="464" t="s">
        <v>210</v>
      </c>
      <c r="AB24" s="1"/>
      <c r="AC24" s="469">
        <f>V3</f>
        <v>5</v>
      </c>
    </row>
    <row r="25" spans="1:29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  <c r="AA25" s="464" t="s">
        <v>216</v>
      </c>
      <c r="AC25" s="465">
        <f>-P3</f>
        <v>0</v>
      </c>
    </row>
    <row r="26" spans="1:29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1232.5</v>
      </c>
      <c r="Z26" s="1"/>
      <c r="AA26" s="464" t="s">
        <v>211</v>
      </c>
      <c r="AB26" s="1"/>
      <c r="AC26" s="469">
        <f>W3</f>
        <v>255</v>
      </c>
    </row>
    <row r="27" spans="1:29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8" t="s">
        <v>347</v>
      </c>
    </row>
    <row r="28" spans="1:29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29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29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14.4</v>
      </c>
      <c r="Z30" s="1"/>
    </row>
    <row r="31" spans="1:29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227</v>
      </c>
      <c r="Z31" s="1"/>
    </row>
    <row r="32" spans="1:29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3268.8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68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3461.8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2">
    <mergeCell ref="V29:Y29"/>
    <mergeCell ref="X36:Y36"/>
  </mergeCells>
  <pageMargins left="0.7" right="0.7" top="0.75" bottom="0.75" header="0.3" footer="0.3"/>
  <pageSetup orientation="portrait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9733-1F96-485D-868E-81DF2074CB1A}">
  <sheetPr>
    <tabColor rgb="FF92D050"/>
  </sheetPr>
  <dimension ref="A1:AD37"/>
  <sheetViews>
    <sheetView zoomScale="90" zoomScaleNormal="90" workbookViewId="0">
      <selection activeCell="V30" sqref="V30:Y36"/>
    </sheetView>
  </sheetViews>
  <sheetFormatPr defaultRowHeight="15" x14ac:dyDescent="0.25"/>
  <cols>
    <col min="4" max="13" width="0" hidden="1" customWidth="1"/>
    <col min="23" max="23" width="11.7109375" customWidth="1"/>
    <col min="24" max="24" width="12.85546875" customWidth="1"/>
    <col min="25" max="25" width="21.42578125" customWidth="1"/>
    <col min="30" max="30" width="11.2851562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0.25</v>
      </c>
      <c r="B3" s="65">
        <v>35</v>
      </c>
      <c r="C3" s="65">
        <v>35</v>
      </c>
      <c r="D3" s="66">
        <v>0.125</v>
      </c>
      <c r="E3" s="66">
        <v>0.125</v>
      </c>
      <c r="F3" s="66">
        <f>(A3+B3)*C3</f>
        <v>1233.75</v>
      </c>
      <c r="G3" s="66">
        <f>(A3+B3)/E3</f>
        <v>282</v>
      </c>
      <c r="H3" s="66">
        <f t="shared" ref="H3" si="0">C3/10</f>
        <v>3.5</v>
      </c>
      <c r="I3" s="66">
        <v>3.5</v>
      </c>
      <c r="J3" s="67">
        <f t="shared" ref="J3" si="1">H3*G3/60</f>
        <v>16.45</v>
      </c>
      <c r="K3" s="67">
        <f>J3+I3</f>
        <v>19.95</v>
      </c>
      <c r="L3" s="68">
        <v>250</v>
      </c>
      <c r="M3" s="69">
        <f>L3/60</f>
        <v>4.166666666666667</v>
      </c>
      <c r="N3" s="70">
        <f>ROUNDUP(K3*M3,1)</f>
        <v>83.199999999999989</v>
      </c>
      <c r="O3" s="56"/>
      <c r="P3" s="30">
        <v>0</v>
      </c>
      <c r="Q3" s="71">
        <v>0.02</v>
      </c>
      <c r="R3" s="32">
        <v>5</v>
      </c>
      <c r="S3" s="35">
        <f>N3*R3</f>
        <v>415.99999999999994</v>
      </c>
      <c r="T3" s="33">
        <f>IF(S3&gt;Y3,S3,Y3)</f>
        <v>415.99999999999994</v>
      </c>
      <c r="U3" s="33">
        <f>T3+P3</f>
        <v>415.99999999999994</v>
      </c>
      <c r="V3" s="33">
        <f>ROUNDUP(U3*Q3,0)</f>
        <v>9</v>
      </c>
      <c r="W3" s="33">
        <f>U3+V3</f>
        <v>424.99999999999994</v>
      </c>
      <c r="X3" s="34"/>
      <c r="Y3" s="57">
        <v>250</v>
      </c>
      <c r="Z3" s="36">
        <f>ROUNDDOWN(Y3/N3,0)</f>
        <v>3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3.5</v>
      </c>
      <c r="B6" s="65">
        <v>35</v>
      </c>
      <c r="C6" s="65">
        <v>35</v>
      </c>
      <c r="D6" s="66">
        <v>0.125</v>
      </c>
      <c r="E6" s="66">
        <v>4.4999999999999998E-2</v>
      </c>
      <c r="F6" s="66">
        <f>(A6+B6)*C6</f>
        <v>1347.5</v>
      </c>
      <c r="G6" s="66">
        <f>(A6+B6)/E6</f>
        <v>855.55555555555554</v>
      </c>
      <c r="H6" s="66">
        <f t="shared" ref="H6" si="2">C6/10</f>
        <v>3.5</v>
      </c>
      <c r="I6" s="66">
        <v>3.5</v>
      </c>
      <c r="J6" s="67">
        <f t="shared" ref="J6" si="3">H6*G6/60</f>
        <v>49.907407407407405</v>
      </c>
      <c r="K6" s="67">
        <f>J6+I6</f>
        <v>53.407407407407405</v>
      </c>
      <c r="L6" s="68">
        <v>250</v>
      </c>
      <c r="M6" s="69">
        <f>L6/60</f>
        <v>4.166666666666667</v>
      </c>
      <c r="N6" s="70">
        <f>ROUNDUP(K6*M6,1)</f>
        <v>222.6</v>
      </c>
      <c r="O6" s="56"/>
      <c r="P6" s="30">
        <v>125</v>
      </c>
      <c r="Q6" s="71">
        <v>0.02</v>
      </c>
      <c r="R6" s="32">
        <v>5</v>
      </c>
      <c r="S6" s="35">
        <f>N6*R6</f>
        <v>1113</v>
      </c>
      <c r="T6" s="33">
        <f>IF(S6&gt;Y6,S6,Y6)</f>
        <v>1113</v>
      </c>
      <c r="U6" s="33">
        <f>T6+P6</f>
        <v>1238</v>
      </c>
      <c r="V6" s="33">
        <f>ROUNDUP(U6*Q6,0)</f>
        <v>25</v>
      </c>
      <c r="W6" s="33">
        <f>U6+V6</f>
        <v>1263</v>
      </c>
      <c r="X6" s="34"/>
      <c r="Y6" s="57">
        <v>250</v>
      </c>
      <c r="Z6" s="36">
        <f>ROUNDDOWN(Y6/N6,0)</f>
        <v>1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1</v>
      </c>
      <c r="C9" s="14">
        <v>14</v>
      </c>
      <c r="D9" s="66" t="s">
        <v>0</v>
      </c>
      <c r="E9" s="16">
        <v>4.4999999999999998E-2</v>
      </c>
      <c r="F9" s="16">
        <f>B9*3.14</f>
        <v>3.14</v>
      </c>
      <c r="G9" s="17">
        <f>F9/E9</f>
        <v>69.777777777777786</v>
      </c>
      <c r="H9" s="16">
        <f>C9/10</f>
        <v>1.4</v>
      </c>
      <c r="I9" s="16">
        <v>2</v>
      </c>
      <c r="J9" s="19">
        <f>H9*G9/60</f>
        <v>1.6281481481481483</v>
      </c>
      <c r="K9" s="20">
        <f>J9+I9</f>
        <v>3.6281481481481483</v>
      </c>
      <c r="L9" s="68">
        <v>250</v>
      </c>
      <c r="M9" s="69">
        <f>L9/60</f>
        <v>4.166666666666667</v>
      </c>
      <c r="N9" s="18">
        <f>ROUNDUP(K9*M9,1)</f>
        <v>15.2</v>
      </c>
      <c r="O9" s="56"/>
      <c r="P9" s="30">
        <v>125</v>
      </c>
      <c r="Q9" s="71">
        <v>0.02</v>
      </c>
      <c r="R9" s="32">
        <v>135</v>
      </c>
      <c r="S9" s="35">
        <f>N9*R9</f>
        <v>2052</v>
      </c>
      <c r="T9" s="33">
        <f>IF(S9&gt;Y9,S9,Y9)</f>
        <v>2052</v>
      </c>
      <c r="U9" s="33">
        <f>T9+P9</f>
        <v>2177</v>
      </c>
      <c r="V9" s="33">
        <f>ROUNDUP(U9*Q9,0)</f>
        <v>44</v>
      </c>
      <c r="W9" s="33">
        <f t="shared" ref="W9" si="4">U9+V9</f>
        <v>2221</v>
      </c>
      <c r="X9" s="56"/>
      <c r="Y9" s="58">
        <v>250</v>
      </c>
      <c r="Z9" s="47">
        <f>ROUNDDOWN(Y9/N9,0)</f>
        <v>16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3.5</v>
      </c>
      <c r="J14" s="67">
        <f t="shared" ref="J14" si="6">H14*G14/60</f>
        <v>0.1111111111111111</v>
      </c>
      <c r="K14" s="67">
        <f>J14+I14</f>
        <v>3.6111111111111112</v>
      </c>
      <c r="L14" s="68">
        <v>275</v>
      </c>
      <c r="M14" s="69">
        <f>L14/60</f>
        <v>4.583333333333333</v>
      </c>
      <c r="N14" s="70">
        <f>ROUNDUP(K14*M14,1)</f>
        <v>16.600000000000001</v>
      </c>
      <c r="O14" s="56"/>
      <c r="P14" s="30">
        <v>125</v>
      </c>
      <c r="Q14" s="71">
        <v>0.02</v>
      </c>
      <c r="R14" s="32">
        <v>50</v>
      </c>
      <c r="S14" s="35">
        <f>N14*R14</f>
        <v>830.00000000000011</v>
      </c>
      <c r="T14" s="33">
        <f>IF(S14&gt;Y14,S14,Y14)</f>
        <v>830.00000000000011</v>
      </c>
      <c r="U14" s="33">
        <f>T14+P14</f>
        <v>955.00000000000011</v>
      </c>
      <c r="V14" s="33">
        <f>ROUNDUP(U14*Q14,0)</f>
        <v>20</v>
      </c>
      <c r="W14" s="33">
        <f>U14+V14</f>
        <v>975.00000000000011</v>
      </c>
      <c r="X14" s="34"/>
      <c r="Y14" s="57">
        <v>275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A17" s="1"/>
      <c r="B17" s="14">
        <v>9.5</v>
      </c>
      <c r="C17" s="14">
        <v>2</v>
      </c>
      <c r="D17" s="66" t="s">
        <v>0</v>
      </c>
      <c r="E17" s="16">
        <v>4.4999999999999998E-2</v>
      </c>
      <c r="F17" s="16">
        <f>B17*3.14</f>
        <v>29.830000000000002</v>
      </c>
      <c r="G17" s="17">
        <f>F17/E17</f>
        <v>662.88888888888891</v>
      </c>
      <c r="H17" s="16">
        <f>C17/10</f>
        <v>0.2</v>
      </c>
      <c r="I17" s="16">
        <v>4</v>
      </c>
      <c r="J17" s="19">
        <f>H17*G17/60</f>
        <v>2.2096296296296298</v>
      </c>
      <c r="K17" s="20">
        <f>J17+I17</f>
        <v>6.2096296296296298</v>
      </c>
      <c r="L17" s="68">
        <v>275</v>
      </c>
      <c r="M17" s="69">
        <f>L17/60</f>
        <v>4.583333333333333</v>
      </c>
      <c r="N17" s="18">
        <f>ROUNDUP(K17*M17,1)</f>
        <v>28.5</v>
      </c>
      <c r="O17" s="56"/>
      <c r="P17" s="30">
        <v>125</v>
      </c>
      <c r="Q17" s="71">
        <v>0.02</v>
      </c>
      <c r="R17" s="32">
        <v>1</v>
      </c>
      <c r="S17" s="35">
        <f>N17*R17</f>
        <v>28.5</v>
      </c>
      <c r="T17" s="33">
        <f>IF(S17&gt;Y17,S17,Y17)</f>
        <v>275</v>
      </c>
      <c r="U17" s="33">
        <f>T17+P17</f>
        <v>400</v>
      </c>
      <c r="V17" s="33">
        <f>ROUNDUP(U17*Q17,0)</f>
        <v>8</v>
      </c>
      <c r="W17" s="33">
        <f t="shared" ref="W17" si="7">U17+V17</f>
        <v>408</v>
      </c>
      <c r="X17" s="56"/>
      <c r="Y17" s="58">
        <v>275</v>
      </c>
      <c r="Z17" s="47">
        <f>ROUNDDOWN(Y17/N17,0)</f>
        <v>9</v>
      </c>
    </row>
    <row r="19" spans="1:30" ht="15.75" thickBot="1" x14ac:dyDescent="0.3"/>
    <row r="20" spans="1:30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494" t="s">
        <v>348</v>
      </c>
      <c r="W20" s="436"/>
      <c r="X20" s="436"/>
      <c r="Y20" s="436"/>
      <c r="Z20" s="1"/>
      <c r="AA20" s="460" t="s">
        <v>362</v>
      </c>
      <c r="AB20" s="461"/>
      <c r="AC20" s="461"/>
      <c r="AD20" s="461"/>
    </row>
    <row r="21" spans="1:30" ht="16.5" thickTop="1" x14ac:dyDescent="0.25">
      <c r="A21" s="373" t="s">
        <v>32</v>
      </c>
      <c r="C21" s="376">
        <v>250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222.6</v>
      </c>
      <c r="Z21" s="1"/>
      <c r="AA21" s="462" t="s">
        <v>207</v>
      </c>
      <c r="AB21" s="463"/>
      <c r="AC21" s="383"/>
      <c r="AD21" s="470">
        <f>N3</f>
        <v>83.199999999999989</v>
      </c>
    </row>
    <row r="22" spans="1:30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5</v>
      </c>
      <c r="Z22" s="1"/>
      <c r="AA22" s="464" t="s">
        <v>208</v>
      </c>
      <c r="AB22" s="1"/>
      <c r="AD22" s="471">
        <f>R3</f>
        <v>5</v>
      </c>
    </row>
    <row r="23" spans="1:30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1113</v>
      </c>
      <c r="Z23" s="1"/>
      <c r="AA23" s="464" t="s">
        <v>209</v>
      </c>
      <c r="AB23" s="1"/>
      <c r="AD23" s="469">
        <f>T3</f>
        <v>415.99999999999994</v>
      </c>
    </row>
    <row r="24" spans="1:30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25</v>
      </c>
      <c r="Z24" s="1"/>
      <c r="AA24" s="464" t="s">
        <v>210</v>
      </c>
      <c r="AB24" s="1"/>
      <c r="AD24" s="469">
        <f>V3</f>
        <v>9</v>
      </c>
    </row>
    <row r="25" spans="1:30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  <c r="AA25" s="464" t="s">
        <v>216</v>
      </c>
      <c r="AD25" s="465">
        <f>-P3</f>
        <v>0</v>
      </c>
    </row>
    <row r="26" spans="1:30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1263</v>
      </c>
      <c r="Z26" s="1"/>
      <c r="AA26" s="464" t="s">
        <v>211</v>
      </c>
      <c r="AB26" s="1"/>
      <c r="AD26" s="469">
        <f>W3</f>
        <v>424.99999999999994</v>
      </c>
    </row>
    <row r="27" spans="1:30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7"/>
      <c r="AD27" s="468" t="s">
        <v>347</v>
      </c>
    </row>
    <row r="28" spans="1:30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30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30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15.2</v>
      </c>
      <c r="Z30" s="1"/>
    </row>
    <row r="31" spans="1:30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135</v>
      </c>
      <c r="Z31" s="1"/>
    </row>
    <row r="32" spans="1:30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2052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44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2221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2">
    <mergeCell ref="V29:Y29"/>
    <mergeCell ref="X36:Y36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A17B-B176-4F3D-A4F8-936B6C5FAD6D}">
  <sheetPr>
    <tabColor rgb="FF92D050"/>
  </sheetPr>
  <dimension ref="A1:Z34"/>
  <sheetViews>
    <sheetView workbookViewId="0">
      <selection activeCell="V17" sqref="V17:Y33"/>
    </sheetView>
  </sheetViews>
  <sheetFormatPr defaultRowHeight="15" x14ac:dyDescent="0.25"/>
  <cols>
    <col min="4" max="13" width="0" hidden="1" customWidth="1"/>
  </cols>
  <sheetData>
    <row r="1" spans="1:26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4.5</v>
      </c>
      <c r="B3" s="65">
        <v>10</v>
      </c>
      <c r="C3" s="65">
        <v>12</v>
      </c>
      <c r="D3" s="66">
        <v>0.125</v>
      </c>
      <c r="E3" s="66">
        <v>4.4999999999999998E-2</v>
      </c>
      <c r="F3" s="66">
        <f>(A3+B3)*C3</f>
        <v>174</v>
      </c>
      <c r="G3" s="66">
        <f>(A3+B3)/E3</f>
        <v>322.22222222222223</v>
      </c>
      <c r="H3" s="66">
        <f t="shared" ref="H3" si="0">C3/10</f>
        <v>1.2</v>
      </c>
      <c r="I3" s="66">
        <v>3.5</v>
      </c>
      <c r="J3" s="67">
        <f t="shared" ref="J3" si="1">H3*G3/60</f>
        <v>6.4444444444444446</v>
      </c>
      <c r="K3" s="67">
        <f>J3+I3</f>
        <v>9.9444444444444446</v>
      </c>
      <c r="L3" s="68">
        <v>250</v>
      </c>
      <c r="M3" s="69">
        <f>L3/60</f>
        <v>4.166666666666667</v>
      </c>
      <c r="N3" s="70">
        <f>ROUNDUP(K3*M3,1)</f>
        <v>41.5</v>
      </c>
      <c r="O3" s="56" t="s">
        <v>197</v>
      </c>
      <c r="P3" s="30">
        <v>125</v>
      </c>
      <c r="Q3" s="71">
        <v>0.02</v>
      </c>
      <c r="R3" s="32">
        <v>6</v>
      </c>
      <c r="S3" s="35">
        <f>N3*R3</f>
        <v>249</v>
      </c>
      <c r="T3" s="33">
        <f>IF(S3&gt;Y3,S3,Y3)</f>
        <v>250</v>
      </c>
      <c r="U3" s="55">
        <f>(T3+P3)</f>
        <v>375</v>
      </c>
      <c r="V3" s="33">
        <f>ROUNDUP(U3*Q3,0)</f>
        <v>8</v>
      </c>
      <c r="W3" s="33">
        <f>U3+V3</f>
        <v>383</v>
      </c>
      <c r="X3" s="34"/>
      <c r="Y3" s="57">
        <v>250</v>
      </c>
      <c r="Z3" s="36">
        <f>ROUNDDOWN(Y3/N3,0)</f>
        <v>6</v>
      </c>
    </row>
    <row r="4" spans="1:26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0"/>
      <c r="T4" s="63"/>
      <c r="U4" s="63"/>
      <c r="V4" s="63"/>
      <c r="W4" s="63"/>
      <c r="X4" s="60"/>
      <c r="Y4" s="60"/>
      <c r="Z4" s="64"/>
    </row>
    <row r="5" spans="1:26" ht="30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114" t="s">
        <v>204</v>
      </c>
      <c r="T5" s="52" t="s">
        <v>34</v>
      </c>
      <c r="U5" s="44" t="s">
        <v>30</v>
      </c>
      <c r="V5" s="53" t="s">
        <v>36</v>
      </c>
      <c r="W5" s="46" t="s">
        <v>37</v>
      </c>
      <c r="X5" s="21"/>
      <c r="Y5" s="37" t="s">
        <v>32</v>
      </c>
      <c r="Z5" s="37" t="s">
        <v>33</v>
      </c>
    </row>
    <row r="6" spans="1:26" x14ac:dyDescent="0.25">
      <c r="B6" s="14">
        <v>2.5</v>
      </c>
      <c r="C6" s="14">
        <v>10.5</v>
      </c>
      <c r="D6" s="66" t="s">
        <v>0</v>
      </c>
      <c r="E6" s="16">
        <v>4.4999999999999998E-2</v>
      </c>
      <c r="F6" s="16">
        <f>B6*3.14</f>
        <v>7.8500000000000005</v>
      </c>
      <c r="G6" s="17">
        <f>F6/E6</f>
        <v>174.44444444444446</v>
      </c>
      <c r="H6" s="16">
        <f>C6/10</f>
        <v>1.05</v>
      </c>
      <c r="I6" s="16">
        <v>3.5</v>
      </c>
      <c r="J6" s="19">
        <f>H6*G6/60</f>
        <v>3.052777777777778</v>
      </c>
      <c r="K6" s="20">
        <f>J6+I6</f>
        <v>6.552777777777778</v>
      </c>
      <c r="L6" s="68">
        <v>250</v>
      </c>
      <c r="M6" s="69">
        <f>L6/60</f>
        <v>4.166666666666667</v>
      </c>
      <c r="N6" s="18">
        <f>ROUNDUP(K6*M6,1)</f>
        <v>27.400000000000002</v>
      </c>
      <c r="O6" s="56" t="s">
        <v>197</v>
      </c>
      <c r="P6" s="30">
        <v>125</v>
      </c>
      <c r="Q6" s="71">
        <v>0.02</v>
      </c>
      <c r="R6" s="32">
        <v>20</v>
      </c>
      <c r="S6" s="35">
        <f>N6*R6</f>
        <v>548</v>
      </c>
      <c r="T6" s="33">
        <f>IF(S6&gt;Y6,S6,Y6)</f>
        <v>548</v>
      </c>
      <c r="U6" s="55">
        <f>(T6+P6)</f>
        <v>673</v>
      </c>
      <c r="V6" s="33">
        <f>ROUNDUP(U6*Q6,0)</f>
        <v>14</v>
      </c>
      <c r="W6" s="33">
        <f t="shared" ref="W6" si="2">U6+V6</f>
        <v>687</v>
      </c>
      <c r="X6" s="56"/>
      <c r="Y6" s="58">
        <v>250</v>
      </c>
      <c r="Z6" s="47">
        <f>ROUNDDOWN(Y6/N6,0)</f>
        <v>9</v>
      </c>
    </row>
    <row r="7" spans="1:26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8"/>
      <c r="Q7" s="29"/>
      <c r="R7" s="21"/>
      <c r="S7" s="21"/>
      <c r="T7" s="27"/>
      <c r="U7" s="27"/>
      <c r="V7" s="27"/>
      <c r="W7" s="27"/>
      <c r="X7" s="25"/>
      <c r="Y7" s="21"/>
      <c r="Z7" s="21"/>
    </row>
    <row r="8" spans="1:26" x14ac:dyDescent="0.25">
      <c r="A8" s="1"/>
    </row>
    <row r="9" spans="1:26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88"/>
    </row>
    <row r="10" spans="1:26" ht="30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39"/>
      <c r="P10" s="113" t="s">
        <v>27</v>
      </c>
      <c r="Q10" s="113" t="s">
        <v>38</v>
      </c>
      <c r="R10" s="114" t="s">
        <v>35</v>
      </c>
      <c r="S10" s="114" t="s">
        <v>204</v>
      </c>
      <c r="T10" s="114" t="s">
        <v>34</v>
      </c>
      <c r="U10" s="114" t="s">
        <v>30</v>
      </c>
      <c r="V10" s="113" t="s">
        <v>36</v>
      </c>
      <c r="W10" s="115" t="s">
        <v>31</v>
      </c>
      <c r="X10" s="113"/>
      <c r="Y10" s="113" t="s">
        <v>32</v>
      </c>
      <c r="Z10" s="114" t="s">
        <v>33</v>
      </c>
    </row>
    <row r="11" spans="1:26" x14ac:dyDescent="0.25">
      <c r="A11" s="65">
        <v>2</v>
      </c>
      <c r="B11" s="65">
        <v>7.65</v>
      </c>
      <c r="C11" s="65">
        <v>8.1999999999999993</v>
      </c>
      <c r="D11" s="66">
        <v>0.125</v>
      </c>
      <c r="E11" s="66">
        <v>4.4999999999999998E-2</v>
      </c>
      <c r="F11" s="66">
        <f>(A11+B11)*C11</f>
        <v>79.13</v>
      </c>
      <c r="G11" s="66">
        <f>(A11+B11)/E11</f>
        <v>214.44444444444446</v>
      </c>
      <c r="H11" s="66">
        <f t="shared" ref="H11" si="3">C11/10</f>
        <v>0.82</v>
      </c>
      <c r="I11" s="66">
        <v>3.5</v>
      </c>
      <c r="J11" s="67">
        <f t="shared" ref="J11" si="4">H11*G11/60</f>
        <v>2.9307407407407404</v>
      </c>
      <c r="K11" s="67">
        <f>J11+I11</f>
        <v>6.43074074074074</v>
      </c>
      <c r="L11" s="68">
        <v>275</v>
      </c>
      <c r="M11" s="69">
        <f>L11/60</f>
        <v>4.583333333333333</v>
      </c>
      <c r="N11" s="70">
        <f>ROUNDUP(K11*M11,1)</f>
        <v>29.5</v>
      </c>
      <c r="O11" s="56" t="s">
        <v>197</v>
      </c>
      <c r="P11" s="30">
        <v>125</v>
      </c>
      <c r="Q11" s="71">
        <v>0.02</v>
      </c>
      <c r="R11" s="32">
        <v>35</v>
      </c>
      <c r="S11" s="35">
        <f>N11*R11</f>
        <v>1032.5</v>
      </c>
      <c r="T11" s="33">
        <f>IF(S11&gt;Y11,S11,Y11)</f>
        <v>1032.5</v>
      </c>
      <c r="U11" s="55">
        <f>(T11+P11)</f>
        <v>1157.5</v>
      </c>
      <c r="V11" s="33">
        <f>ROUNDUP(U11*Q11,0)</f>
        <v>24</v>
      </c>
      <c r="W11" s="33">
        <f>U11+V11</f>
        <v>1181.5</v>
      </c>
      <c r="X11" s="34"/>
      <c r="Y11" s="57">
        <v>275</v>
      </c>
      <c r="Z11" s="36">
        <f>ROUNDDOWN(Y11/N11,0)</f>
        <v>9</v>
      </c>
    </row>
    <row r="12" spans="1:26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0"/>
      <c r="S12" s="60"/>
      <c r="T12" s="63"/>
      <c r="U12" s="63"/>
      <c r="V12" s="63"/>
      <c r="W12" s="63"/>
      <c r="X12" s="60"/>
      <c r="Y12" s="60"/>
      <c r="Z12" s="64"/>
    </row>
    <row r="13" spans="1:26" ht="30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40"/>
      <c r="P13" s="42" t="s">
        <v>27</v>
      </c>
      <c r="Q13" s="43" t="s">
        <v>38</v>
      </c>
      <c r="R13" s="49" t="s">
        <v>35</v>
      </c>
      <c r="S13" s="114" t="s">
        <v>204</v>
      </c>
      <c r="T13" s="52" t="s">
        <v>34</v>
      </c>
      <c r="U13" s="44" t="s">
        <v>30</v>
      </c>
      <c r="V13" s="53" t="s">
        <v>36</v>
      </c>
      <c r="W13" s="46" t="s">
        <v>37</v>
      </c>
      <c r="X13" s="21"/>
      <c r="Y13" s="37" t="s">
        <v>32</v>
      </c>
      <c r="Z13" s="37" t="s">
        <v>33</v>
      </c>
    </row>
    <row r="14" spans="1:26" x14ac:dyDescent="0.25">
      <c r="A14" s="1"/>
      <c r="B14" s="14">
        <v>2</v>
      </c>
      <c r="C14" s="14">
        <v>2.8</v>
      </c>
      <c r="D14" s="66" t="s">
        <v>0</v>
      </c>
      <c r="E14" s="16">
        <v>4.4999999999999998E-2</v>
      </c>
      <c r="F14" s="16">
        <f>B14*3.14</f>
        <v>6.28</v>
      </c>
      <c r="G14" s="17">
        <f>F14/E14</f>
        <v>139.55555555555557</v>
      </c>
      <c r="H14" s="16">
        <f>C14/10</f>
        <v>0.27999999999999997</v>
      </c>
      <c r="I14" s="16">
        <v>3.5</v>
      </c>
      <c r="J14" s="19">
        <f>H14*G14/60</f>
        <v>0.6512592592592592</v>
      </c>
      <c r="K14" s="20">
        <f>J14+I14</f>
        <v>4.151259259259259</v>
      </c>
      <c r="L14" s="68">
        <v>275</v>
      </c>
      <c r="M14" s="69">
        <f>L14/60</f>
        <v>4.583333333333333</v>
      </c>
      <c r="N14" s="18">
        <f>ROUNDUP(K14*M14,1)</f>
        <v>19.100000000000001</v>
      </c>
      <c r="O14" s="56" t="s">
        <v>197</v>
      </c>
      <c r="P14" s="30">
        <v>125</v>
      </c>
      <c r="Q14" s="71">
        <v>0.02</v>
      </c>
      <c r="R14" s="32">
        <v>100</v>
      </c>
      <c r="S14" s="35">
        <f>N14*R14</f>
        <v>1910.0000000000002</v>
      </c>
      <c r="T14" s="33">
        <f>IF(S14&gt;Y14,S14,Y14)</f>
        <v>1910.0000000000002</v>
      </c>
      <c r="U14" s="55">
        <f>(T14+P14)</f>
        <v>2035.0000000000002</v>
      </c>
      <c r="V14" s="33">
        <f>ROUNDUP(U14*Q14,0)</f>
        <v>41</v>
      </c>
      <c r="W14" s="33">
        <f t="shared" ref="W14" si="5">U14+V14</f>
        <v>2076</v>
      </c>
      <c r="X14" s="56"/>
      <c r="Y14" s="58">
        <v>275</v>
      </c>
      <c r="Z14" s="47">
        <f>ROUNDDOWN(Y14/N14,0)</f>
        <v>14</v>
      </c>
    </row>
    <row r="16" spans="1:26" ht="15.75" thickBot="1" x14ac:dyDescent="0.3"/>
    <row r="17" spans="1:25" ht="24" thickBot="1" x14ac:dyDescent="0.4">
      <c r="A17" s="171"/>
      <c r="B17" s="172" t="s">
        <v>119</v>
      </c>
      <c r="C17" s="173"/>
      <c r="N17" s="439"/>
      <c r="O17" s="440" t="s">
        <v>149</v>
      </c>
      <c r="P17" s="441"/>
      <c r="Q17" s="441"/>
      <c r="R17" s="441"/>
      <c r="S17" s="488"/>
      <c r="V17" s="541" t="s">
        <v>348</v>
      </c>
      <c r="W17" s="541"/>
      <c r="X17" s="541"/>
      <c r="Y17" s="541"/>
    </row>
    <row r="18" spans="1:25" ht="16.5" thickTop="1" x14ac:dyDescent="0.25">
      <c r="A18" s="174" t="s">
        <v>32</v>
      </c>
      <c r="C18" s="175">
        <v>250</v>
      </c>
      <c r="N18" s="443" t="s">
        <v>150</v>
      </c>
      <c r="S18" s="444"/>
      <c r="V18" s="362" t="s">
        <v>207</v>
      </c>
      <c r="W18" s="363"/>
      <c r="X18" s="352"/>
      <c r="Y18" s="364">
        <f>N3</f>
        <v>41.5</v>
      </c>
    </row>
    <row r="19" spans="1:25" ht="15.75" x14ac:dyDescent="0.25">
      <c r="A19" s="174" t="s">
        <v>120</v>
      </c>
      <c r="C19" s="175">
        <v>125</v>
      </c>
      <c r="N19" s="443" t="s">
        <v>151</v>
      </c>
      <c r="S19" s="444"/>
      <c r="V19" s="365" t="s">
        <v>208</v>
      </c>
      <c r="W19" s="1"/>
      <c r="Y19" s="366">
        <f>R3</f>
        <v>6</v>
      </c>
    </row>
    <row r="20" spans="1:25" ht="15.75" x14ac:dyDescent="0.25">
      <c r="A20" s="174" t="s">
        <v>36</v>
      </c>
      <c r="C20" s="176" t="s">
        <v>122</v>
      </c>
      <c r="N20" s="443"/>
      <c r="S20" s="444"/>
      <c r="V20" s="365" t="s">
        <v>209</v>
      </c>
      <c r="W20" s="1"/>
      <c r="Y20" s="367">
        <f>T3</f>
        <v>250</v>
      </c>
    </row>
    <row r="21" spans="1:25" ht="15.75" x14ac:dyDescent="0.25">
      <c r="A21" s="174" t="s">
        <v>121</v>
      </c>
      <c r="C21" s="176" t="s">
        <v>123</v>
      </c>
      <c r="N21" s="443" t="s">
        <v>152</v>
      </c>
      <c r="S21" s="444"/>
      <c r="V21" s="365" t="s">
        <v>210</v>
      </c>
      <c r="W21" s="1"/>
      <c r="Y21" s="367">
        <f>V3</f>
        <v>8</v>
      </c>
    </row>
    <row r="22" spans="1:25" ht="15.75" x14ac:dyDescent="0.25">
      <c r="A22" s="174" t="s">
        <v>124</v>
      </c>
      <c r="C22" s="175" t="s">
        <v>198</v>
      </c>
      <c r="N22" s="443" t="s">
        <v>153</v>
      </c>
      <c r="S22" s="444"/>
      <c r="V22" s="365" t="s">
        <v>216</v>
      </c>
      <c r="Y22" s="368">
        <f>P3</f>
        <v>125</v>
      </c>
    </row>
    <row r="23" spans="1:25" ht="15.75" x14ac:dyDescent="0.25">
      <c r="A23" s="174" t="s">
        <v>238</v>
      </c>
      <c r="C23" s="175">
        <v>75</v>
      </c>
      <c r="N23" s="443"/>
      <c r="S23" s="444"/>
      <c r="V23" s="365" t="s">
        <v>211</v>
      </c>
      <c r="W23" s="1"/>
      <c r="Y23" s="367">
        <f>W3</f>
        <v>383</v>
      </c>
    </row>
    <row r="24" spans="1:25" ht="16.5" thickBot="1" x14ac:dyDescent="0.3">
      <c r="A24" s="174"/>
      <c r="C24" s="176"/>
      <c r="N24" s="443" t="s">
        <v>154</v>
      </c>
      <c r="S24" s="444"/>
      <c r="V24" s="369" t="s">
        <v>346</v>
      </c>
      <c r="W24" s="354"/>
      <c r="X24" s="539" t="s">
        <v>347</v>
      </c>
      <c r="Y24" s="540"/>
    </row>
    <row r="25" spans="1:25" ht="16.5" thickTop="1" thickBot="1" x14ac:dyDescent="0.3">
      <c r="A25" s="177"/>
      <c r="B25" s="178"/>
      <c r="C25" s="199"/>
      <c r="N25" s="445" t="s">
        <v>155</v>
      </c>
      <c r="O25" s="446"/>
      <c r="P25" s="446"/>
      <c r="Q25" s="446"/>
      <c r="R25" s="446"/>
      <c r="S25" s="447"/>
      <c r="X25" s="1"/>
      <c r="Y25" s="1"/>
    </row>
    <row r="26" spans="1:25" ht="24" thickBot="1" x14ac:dyDescent="0.4">
      <c r="V26" s="541" t="s">
        <v>284</v>
      </c>
      <c r="W26" s="541"/>
      <c r="X26" s="541"/>
      <c r="Y26" s="541"/>
    </row>
    <row r="27" spans="1:25" ht="16.5" thickTop="1" x14ac:dyDescent="0.25">
      <c r="V27" s="362" t="s">
        <v>207</v>
      </c>
      <c r="W27" s="363"/>
      <c r="X27" s="352"/>
      <c r="Y27" s="364">
        <f>N6</f>
        <v>27.400000000000002</v>
      </c>
    </row>
    <row r="28" spans="1:25" ht="15.75" x14ac:dyDescent="0.25">
      <c r="V28" s="365" t="s">
        <v>208</v>
      </c>
      <c r="W28" s="1"/>
      <c r="Y28" s="366">
        <f>R6</f>
        <v>20</v>
      </c>
    </row>
    <row r="29" spans="1:25" ht="15.75" x14ac:dyDescent="0.25">
      <c r="V29" s="365" t="s">
        <v>209</v>
      </c>
      <c r="W29" s="1"/>
      <c r="Y29" s="367">
        <f>T6</f>
        <v>548</v>
      </c>
    </row>
    <row r="30" spans="1:25" ht="15.75" x14ac:dyDescent="0.25">
      <c r="V30" s="365" t="s">
        <v>210</v>
      </c>
      <c r="W30" s="1"/>
      <c r="Y30" s="367">
        <f>V6</f>
        <v>14</v>
      </c>
    </row>
    <row r="31" spans="1:25" ht="15.75" x14ac:dyDescent="0.25">
      <c r="V31" s="365" t="s">
        <v>216</v>
      </c>
      <c r="Y31" s="368">
        <f>P6</f>
        <v>125</v>
      </c>
    </row>
    <row r="32" spans="1:25" ht="15.75" x14ac:dyDescent="0.25">
      <c r="V32" s="365" t="s">
        <v>211</v>
      </c>
      <c r="W32" s="1"/>
      <c r="Y32" s="367">
        <f>W6</f>
        <v>687</v>
      </c>
    </row>
    <row r="33" spans="22:25" ht="16.5" thickBot="1" x14ac:dyDescent="0.3">
      <c r="V33" s="369" t="s">
        <v>346</v>
      </c>
      <c r="W33" s="354"/>
      <c r="X33" s="539" t="s">
        <v>347</v>
      </c>
      <c r="Y33" s="540"/>
    </row>
    <row r="34" spans="22:25" ht="15.75" thickTop="1" x14ac:dyDescent="0.25"/>
  </sheetData>
  <mergeCells count="4">
    <mergeCell ref="V17:Y17"/>
    <mergeCell ref="X24:Y24"/>
    <mergeCell ref="V26:Y26"/>
    <mergeCell ref="X33:Y33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0245-C867-4DCF-ACCD-7178DB4E871F}">
  <sheetPr>
    <tabColor rgb="FF92D050"/>
  </sheetPr>
  <dimension ref="A1:AD37"/>
  <sheetViews>
    <sheetView workbookViewId="0">
      <selection activeCell="B10" sqref="B10"/>
    </sheetView>
  </sheetViews>
  <sheetFormatPr defaultRowHeight="15" x14ac:dyDescent="0.25"/>
  <cols>
    <col min="4" max="13" width="0" hidden="1" customWidth="1"/>
    <col min="19" max="19" width="11.28515625" customWidth="1"/>
    <col min="20" max="21" width="10.7109375" customWidth="1"/>
    <col min="23" max="23" width="10.85546875" customWidth="1"/>
    <col min="24" max="24" width="13" customWidth="1"/>
    <col min="25" max="25" width="18.42578125" customWidth="1"/>
    <col min="29" max="29" width="12.28515625" customWidth="1"/>
    <col min="30" max="30" width="19.570312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0.25</v>
      </c>
      <c r="B3" s="65">
        <v>16</v>
      </c>
      <c r="C3" s="65">
        <v>16.25</v>
      </c>
      <c r="D3" s="66">
        <v>0.125</v>
      </c>
      <c r="E3" s="66">
        <v>0.11</v>
      </c>
      <c r="F3" s="66">
        <f>(A3+B3)*C3</f>
        <v>264.0625</v>
      </c>
      <c r="G3" s="66">
        <f>(A3+B3)/E3</f>
        <v>147.72727272727272</v>
      </c>
      <c r="H3" s="66">
        <f t="shared" ref="H3" si="0">C3/10</f>
        <v>1.625</v>
      </c>
      <c r="I3" s="66">
        <v>6</v>
      </c>
      <c r="J3" s="67">
        <f t="shared" ref="J3" si="1">H3*G3/60</f>
        <v>4.0009469696969697</v>
      </c>
      <c r="K3" s="67">
        <f>J3+I3</f>
        <v>10.000946969696969</v>
      </c>
      <c r="L3" s="68">
        <v>250</v>
      </c>
      <c r="M3" s="69">
        <f>L3/60</f>
        <v>4.166666666666667</v>
      </c>
      <c r="N3" s="70">
        <f>ROUNDUP(K3*M3,1)</f>
        <v>41.7</v>
      </c>
      <c r="O3" s="56"/>
      <c r="P3" s="30">
        <v>0</v>
      </c>
      <c r="Q3" s="71">
        <v>0.02</v>
      </c>
      <c r="R3" s="32">
        <v>5</v>
      </c>
      <c r="S3" s="35">
        <f>N3*R3</f>
        <v>208.5</v>
      </c>
      <c r="T3" s="33">
        <f>IF(S3&gt;Y3,S3,Y3)</f>
        <v>250</v>
      </c>
      <c r="U3" s="33">
        <f>T3+P3</f>
        <v>250</v>
      </c>
      <c r="V3" s="33">
        <f>ROUNDUP(U3*Q3,0)</f>
        <v>5</v>
      </c>
      <c r="W3" s="33">
        <f>U3+V3</f>
        <v>255</v>
      </c>
      <c r="X3" s="34"/>
      <c r="Y3" s="57">
        <v>250</v>
      </c>
      <c r="Z3" s="36">
        <f>ROUNDDOWN(Y3/N3,0)</f>
        <v>5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3.5</v>
      </c>
      <c r="B6" s="65">
        <v>35</v>
      </c>
      <c r="C6" s="65">
        <v>35</v>
      </c>
      <c r="D6" s="66">
        <v>0.125</v>
      </c>
      <c r="E6" s="66">
        <v>0.05</v>
      </c>
      <c r="F6" s="66">
        <f>(A6+B6)*C6</f>
        <v>1347.5</v>
      </c>
      <c r="G6" s="66">
        <f>(A6+B6)/E6</f>
        <v>770</v>
      </c>
      <c r="H6" s="66">
        <f t="shared" ref="H6" si="2">C6/10</f>
        <v>3.5</v>
      </c>
      <c r="I6" s="66">
        <v>3.5</v>
      </c>
      <c r="J6" s="67">
        <f t="shared" ref="J6" si="3">H6*G6/60</f>
        <v>44.916666666666664</v>
      </c>
      <c r="K6" s="67">
        <f>J6+I6</f>
        <v>48.416666666666664</v>
      </c>
      <c r="L6" s="68">
        <v>250</v>
      </c>
      <c r="M6" s="69">
        <f>L6/60</f>
        <v>4.166666666666667</v>
      </c>
      <c r="N6" s="70">
        <f>ROUNDUP(K6*M6,1)</f>
        <v>201.79999999999998</v>
      </c>
      <c r="O6" s="56"/>
      <c r="P6" s="30">
        <v>125</v>
      </c>
      <c r="Q6" s="71">
        <v>0.02</v>
      </c>
      <c r="R6" s="32">
        <v>5</v>
      </c>
      <c r="S6" s="35">
        <f>N6*R6</f>
        <v>1008.9999999999999</v>
      </c>
      <c r="T6" s="33">
        <f>IF(S6&gt;Y6,S6,Y6)</f>
        <v>1008.9999999999999</v>
      </c>
      <c r="U6" s="33">
        <f>T6+P6</f>
        <v>1134</v>
      </c>
      <c r="V6" s="33">
        <f>ROUNDUP(U6*Q6,0)</f>
        <v>23</v>
      </c>
      <c r="W6" s="33">
        <f>U6+V6</f>
        <v>1157</v>
      </c>
      <c r="X6" s="34"/>
      <c r="Y6" s="57">
        <v>250</v>
      </c>
      <c r="Z6" s="36">
        <f>ROUNDDOWN(Y6/N6,0)</f>
        <v>1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8</v>
      </c>
      <c r="C9" s="14">
        <v>24</v>
      </c>
      <c r="D9" s="66" t="s">
        <v>0</v>
      </c>
      <c r="E9" s="16">
        <v>0.05</v>
      </c>
      <c r="F9" s="16">
        <f>B9*3.14</f>
        <v>25.12</v>
      </c>
      <c r="G9" s="17">
        <f>F9/E9</f>
        <v>502.4</v>
      </c>
      <c r="H9" s="16">
        <f>C9/10</f>
        <v>2.4</v>
      </c>
      <c r="I9" s="16">
        <v>3</v>
      </c>
      <c r="J9" s="19">
        <f>H9*G9/60</f>
        <v>20.096</v>
      </c>
      <c r="K9" s="20">
        <f>J9+I9</f>
        <v>23.096</v>
      </c>
      <c r="L9" s="68">
        <v>250</v>
      </c>
      <c r="M9" s="69">
        <f>L9/60</f>
        <v>4.166666666666667</v>
      </c>
      <c r="N9" s="18">
        <f>ROUNDUP(K9*M9,1)</f>
        <v>96.3</v>
      </c>
      <c r="O9" s="56"/>
      <c r="P9" s="30">
        <v>125</v>
      </c>
      <c r="Q9" s="71">
        <v>0.02</v>
      </c>
      <c r="R9" s="32">
        <v>16</v>
      </c>
      <c r="S9" s="35">
        <f>N9*R9</f>
        <v>1540.8</v>
      </c>
      <c r="T9" s="33">
        <f>IF(S9&gt;Y9,S9,Y9)</f>
        <v>1540.8</v>
      </c>
      <c r="U9" s="33">
        <f>T9+P9</f>
        <v>1665.8</v>
      </c>
      <c r="V9" s="33">
        <f>ROUNDUP(U9*Q9,0)</f>
        <v>34</v>
      </c>
      <c r="W9" s="33">
        <f t="shared" ref="W9" si="4">U9+V9</f>
        <v>1699.8</v>
      </c>
      <c r="X9" s="56"/>
      <c r="Y9" s="58">
        <v>250</v>
      </c>
      <c r="Z9" s="47">
        <f>ROUNDDOWN(Y9/N9,0)</f>
        <v>2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0.05</v>
      </c>
      <c r="F14" s="66">
        <f>(A14+B14)*C14</f>
        <v>3</v>
      </c>
      <c r="G14" s="66">
        <f>(A14+B14)/E14</f>
        <v>40</v>
      </c>
      <c r="H14" s="66">
        <f t="shared" ref="H14" si="5">C14/10</f>
        <v>0.15</v>
      </c>
      <c r="I14" s="66">
        <v>3.5</v>
      </c>
      <c r="J14" s="67">
        <f t="shared" ref="J14" si="6">H14*G14/60</f>
        <v>0.1</v>
      </c>
      <c r="K14" s="67">
        <f>J14+I14</f>
        <v>3.6</v>
      </c>
      <c r="L14" s="68">
        <v>275</v>
      </c>
      <c r="M14" s="69">
        <f>L14/60</f>
        <v>4.583333333333333</v>
      </c>
      <c r="N14" s="70">
        <f>ROUNDUP(K14*M14,1)</f>
        <v>16.5</v>
      </c>
      <c r="O14" s="56"/>
      <c r="P14" s="30">
        <v>125</v>
      </c>
      <c r="Q14" s="71">
        <v>0.02</v>
      </c>
      <c r="R14" s="32">
        <v>50</v>
      </c>
      <c r="S14" s="35">
        <f>N14*R14</f>
        <v>825</v>
      </c>
      <c r="T14" s="33">
        <f>IF(S14&gt;Y14,S14,Y14)</f>
        <v>825</v>
      </c>
      <c r="U14" s="33">
        <f>T14+P14</f>
        <v>950</v>
      </c>
      <c r="V14" s="33">
        <f>ROUNDUP(U14*Q14,0)</f>
        <v>19</v>
      </c>
      <c r="W14" s="33">
        <f>U14+V14</f>
        <v>969</v>
      </c>
      <c r="X14" s="34"/>
      <c r="Y14" s="57">
        <v>275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A17" s="1"/>
      <c r="B17" s="14">
        <v>9.5</v>
      </c>
      <c r="C17" s="14">
        <v>2</v>
      </c>
      <c r="D17" s="66" t="s">
        <v>0</v>
      </c>
      <c r="E17" s="16">
        <v>0.05</v>
      </c>
      <c r="F17" s="16">
        <f>B17*3.14</f>
        <v>29.830000000000002</v>
      </c>
      <c r="G17" s="17">
        <f>F17/E17</f>
        <v>596.6</v>
      </c>
      <c r="H17" s="16">
        <f>C17/10</f>
        <v>0.2</v>
      </c>
      <c r="I17" s="16">
        <v>4</v>
      </c>
      <c r="J17" s="19">
        <f>H17*G17/60</f>
        <v>1.9886666666666668</v>
      </c>
      <c r="K17" s="20">
        <f>J17+I17</f>
        <v>5.988666666666667</v>
      </c>
      <c r="L17" s="68">
        <v>275</v>
      </c>
      <c r="M17" s="69">
        <f>L17/60</f>
        <v>4.583333333333333</v>
      </c>
      <c r="N17" s="18">
        <f>ROUNDUP(K17*M17,1)</f>
        <v>27.5</v>
      </c>
      <c r="O17" s="56"/>
      <c r="P17" s="30">
        <v>125</v>
      </c>
      <c r="Q17" s="71">
        <v>0.02</v>
      </c>
      <c r="R17" s="32">
        <v>1</v>
      </c>
      <c r="S17" s="35">
        <f>N17*R17</f>
        <v>27.5</v>
      </c>
      <c r="T17" s="33">
        <f>IF(S17&gt;Y17,S17,Y17)</f>
        <v>275</v>
      </c>
      <c r="U17" s="33">
        <f>T17+P17</f>
        <v>400</v>
      </c>
      <c r="V17" s="33">
        <f>ROUNDUP(U17*Q17,0)</f>
        <v>8</v>
      </c>
      <c r="W17" s="33">
        <f t="shared" ref="W17" si="7">U17+V17</f>
        <v>408</v>
      </c>
      <c r="X17" s="56"/>
      <c r="Y17" s="58">
        <v>275</v>
      </c>
      <c r="Z17" s="47">
        <f>ROUNDDOWN(Y17/N17,0)</f>
        <v>10</v>
      </c>
    </row>
    <row r="19" spans="1:30" ht="15.75" thickBot="1" x14ac:dyDescent="0.3"/>
    <row r="20" spans="1:30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436" t="s">
        <v>348</v>
      </c>
      <c r="W20" s="436"/>
      <c r="X20" s="436"/>
      <c r="Y20" s="436"/>
      <c r="Z20" s="1"/>
      <c r="AA20" s="460" t="s">
        <v>362</v>
      </c>
      <c r="AB20" s="461"/>
      <c r="AC20" s="461"/>
      <c r="AD20" s="461"/>
    </row>
    <row r="21" spans="1:30" ht="16.5" thickTop="1" x14ac:dyDescent="0.25">
      <c r="A21" s="373" t="s">
        <v>32</v>
      </c>
      <c r="C21" s="376">
        <v>250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201.79999999999998</v>
      </c>
      <c r="Z21" s="1"/>
      <c r="AA21" s="462" t="s">
        <v>207</v>
      </c>
      <c r="AB21" s="463"/>
      <c r="AC21" s="383"/>
      <c r="AD21" s="470">
        <f>N3</f>
        <v>41.7</v>
      </c>
    </row>
    <row r="22" spans="1:30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5</v>
      </c>
      <c r="Z22" s="1"/>
      <c r="AA22" s="464" t="s">
        <v>208</v>
      </c>
      <c r="AB22" s="1"/>
      <c r="AD22" s="471">
        <f>R3</f>
        <v>5</v>
      </c>
    </row>
    <row r="23" spans="1:30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1008.9999999999999</v>
      </c>
      <c r="Z23" s="1"/>
      <c r="AA23" s="464" t="s">
        <v>209</v>
      </c>
      <c r="AB23" s="1"/>
      <c r="AD23" s="469">
        <f>T3</f>
        <v>250</v>
      </c>
    </row>
    <row r="24" spans="1:30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23</v>
      </c>
      <c r="Z24" s="1"/>
      <c r="AA24" s="464" t="s">
        <v>210</v>
      </c>
      <c r="AB24" s="1"/>
      <c r="AD24" s="469">
        <f>V3</f>
        <v>5</v>
      </c>
    </row>
    <row r="25" spans="1:30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  <c r="AA25" s="464" t="s">
        <v>216</v>
      </c>
      <c r="AD25" s="465">
        <f>-P3</f>
        <v>0</v>
      </c>
    </row>
    <row r="26" spans="1:30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1157</v>
      </c>
      <c r="Z26" s="1"/>
      <c r="AA26" s="464" t="s">
        <v>211</v>
      </c>
      <c r="AB26" s="1"/>
      <c r="AD26" s="469">
        <f>W3</f>
        <v>255</v>
      </c>
    </row>
    <row r="27" spans="1:30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7"/>
      <c r="AD27" s="468" t="s">
        <v>347</v>
      </c>
    </row>
    <row r="28" spans="1:30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30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30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96.3</v>
      </c>
      <c r="Z30" s="1"/>
    </row>
    <row r="31" spans="1:30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16</v>
      </c>
      <c r="Z31" s="1"/>
    </row>
    <row r="32" spans="1:30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1540.8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34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1699.8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2">
    <mergeCell ref="V29:Y29"/>
    <mergeCell ref="X36:Y36"/>
  </mergeCell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76B2-FC87-49F6-9C33-1AEE19AFB0E1}">
  <sheetPr>
    <tabColor rgb="FF92D050"/>
  </sheetPr>
  <dimension ref="A1:Z37"/>
  <sheetViews>
    <sheetView workbookViewId="0">
      <selection activeCell="P7" sqref="P7"/>
    </sheetView>
  </sheetViews>
  <sheetFormatPr defaultRowHeight="15" x14ac:dyDescent="0.25"/>
  <cols>
    <col min="4" max="13" width="9.140625" customWidth="1"/>
    <col min="19" max="19" width="11.7109375" customWidth="1"/>
    <col min="20" max="20" width="10.5703125" customWidth="1"/>
    <col min="21" max="21" width="11.140625" customWidth="1"/>
    <col min="23" max="23" width="13.14062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3.5</v>
      </c>
      <c r="B3" s="65">
        <v>13</v>
      </c>
      <c r="C3" s="65">
        <v>13.4</v>
      </c>
      <c r="D3" s="66">
        <v>0.125</v>
      </c>
      <c r="E3" s="66">
        <v>0.125</v>
      </c>
      <c r="F3" s="66">
        <f>(A3+B3)*C3</f>
        <v>221.1</v>
      </c>
      <c r="G3" s="66">
        <f>(A3+B3)/E3</f>
        <v>132</v>
      </c>
      <c r="H3" s="66">
        <f t="shared" ref="H3" si="0">C3/10</f>
        <v>1.34</v>
      </c>
      <c r="I3" s="66">
        <v>6</v>
      </c>
      <c r="J3" s="67">
        <f t="shared" ref="J3" si="1">H3*G3/60</f>
        <v>2.9480000000000004</v>
      </c>
      <c r="K3" s="67">
        <f>J3+I3</f>
        <v>8.9480000000000004</v>
      </c>
      <c r="L3" s="68">
        <v>250</v>
      </c>
      <c r="M3" s="69">
        <f>L3/60</f>
        <v>4.166666666666667</v>
      </c>
      <c r="N3" s="70">
        <f>ROUNDUP(K3*M3,1)</f>
        <v>37.300000000000004</v>
      </c>
      <c r="O3" s="56"/>
      <c r="P3" s="30">
        <v>0</v>
      </c>
      <c r="Q3" s="71">
        <v>0.02</v>
      </c>
      <c r="R3" s="32">
        <v>12</v>
      </c>
      <c r="S3" s="35">
        <f>N3*R3</f>
        <v>447.6</v>
      </c>
      <c r="T3" s="33">
        <f>IF(S3&gt;Y3,S3,Y3)</f>
        <v>447.6</v>
      </c>
      <c r="U3" s="33">
        <f>T3+P3</f>
        <v>447.6</v>
      </c>
      <c r="V3" s="33">
        <f>ROUNDUP(U3*Q3,0)</f>
        <v>9</v>
      </c>
      <c r="W3" s="33">
        <f>U3+V3</f>
        <v>456.6</v>
      </c>
      <c r="X3" s="34"/>
      <c r="Y3" s="57">
        <v>250</v>
      </c>
      <c r="Z3" s="36">
        <f>ROUNDDOWN(Y3/N3,0)</f>
        <v>6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2</v>
      </c>
      <c r="B6" s="65">
        <v>9.5</v>
      </c>
      <c r="C6" s="65">
        <v>26.5</v>
      </c>
      <c r="D6" s="66">
        <v>0.125</v>
      </c>
      <c r="E6" s="66">
        <v>4.4999999999999998E-2</v>
      </c>
      <c r="F6" s="66">
        <f>(A6+B6)*C6</f>
        <v>304.75</v>
      </c>
      <c r="G6" s="66">
        <f>(A6+B6)/E6</f>
        <v>255.55555555555557</v>
      </c>
      <c r="H6" s="66">
        <f t="shared" ref="H6" si="2">C6/10</f>
        <v>2.65</v>
      </c>
      <c r="I6" s="66">
        <v>3.5</v>
      </c>
      <c r="J6" s="67">
        <f t="shared" ref="J6" si="3">H6*G6/60</f>
        <v>11.287037037037038</v>
      </c>
      <c r="K6" s="67">
        <f>J6+I6</f>
        <v>14.787037037037038</v>
      </c>
      <c r="L6" s="68">
        <v>250</v>
      </c>
      <c r="M6" s="69">
        <f>L6/60</f>
        <v>4.166666666666667</v>
      </c>
      <c r="N6" s="70">
        <f>ROUNDUP(K6*M6,1)</f>
        <v>61.7</v>
      </c>
      <c r="O6" s="56"/>
      <c r="P6" s="30">
        <v>125</v>
      </c>
      <c r="Q6" s="71">
        <v>0.02</v>
      </c>
      <c r="R6" s="32">
        <v>19</v>
      </c>
      <c r="S6" s="35">
        <f>N6*R6</f>
        <v>1172.3</v>
      </c>
      <c r="T6" s="33">
        <f>IF(S6&gt;Y6,S6,Y6)</f>
        <v>1172.3</v>
      </c>
      <c r="U6" s="33">
        <f>T6+P6</f>
        <v>1297.3</v>
      </c>
      <c r="V6" s="33">
        <f>ROUNDUP(U6*Q6,0)</f>
        <v>26</v>
      </c>
      <c r="W6" s="33">
        <f>U6+V6</f>
        <v>1323.3</v>
      </c>
      <c r="X6" s="34"/>
      <c r="Y6" s="57">
        <v>250</v>
      </c>
      <c r="Z6" s="36">
        <f>ROUNDDOWN(Y6/N6,0)</f>
        <v>4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1.375</v>
      </c>
      <c r="C9" s="14">
        <v>8</v>
      </c>
      <c r="D9" s="66" t="s">
        <v>0</v>
      </c>
      <c r="E9" s="16">
        <v>4.4999999999999998E-2</v>
      </c>
      <c r="F9" s="16">
        <f>B9*3.14</f>
        <v>4.3174999999999999</v>
      </c>
      <c r="G9" s="17">
        <f>F9/E9</f>
        <v>95.944444444444443</v>
      </c>
      <c r="H9" s="16">
        <f>C9/10</f>
        <v>0.8</v>
      </c>
      <c r="I9" s="16">
        <v>3</v>
      </c>
      <c r="J9" s="19">
        <f>H9*G9/60</f>
        <v>1.2792592592592593</v>
      </c>
      <c r="K9" s="20">
        <f>J9+I9</f>
        <v>4.2792592592592591</v>
      </c>
      <c r="L9" s="68">
        <v>250</v>
      </c>
      <c r="M9" s="69">
        <f>L9/60</f>
        <v>4.166666666666667</v>
      </c>
      <c r="N9" s="18">
        <f>ROUNDUP(K9*M9,1)</f>
        <v>17.900000000000002</v>
      </c>
      <c r="O9" s="56"/>
      <c r="P9" s="30">
        <v>125</v>
      </c>
      <c r="Q9" s="71">
        <v>0.02</v>
      </c>
      <c r="R9" s="32">
        <v>55</v>
      </c>
      <c r="S9" s="35">
        <f>N9*R9</f>
        <v>984.50000000000011</v>
      </c>
      <c r="T9" s="33">
        <f>IF(S9&gt;Y9,S9,Y9)</f>
        <v>984.50000000000011</v>
      </c>
      <c r="U9" s="33">
        <f>T9+P9</f>
        <v>1109.5</v>
      </c>
      <c r="V9" s="33">
        <f>ROUNDUP(U9*Q9,0)</f>
        <v>23</v>
      </c>
      <c r="W9" s="33">
        <f t="shared" ref="W9" si="4">U9+V9</f>
        <v>1132.5</v>
      </c>
      <c r="X9" s="56"/>
      <c r="Y9" s="58">
        <v>250</v>
      </c>
      <c r="Z9" s="47">
        <f>ROUNDDOWN(Y9/N9,0)</f>
        <v>13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3.5</v>
      </c>
      <c r="J14" s="67">
        <f t="shared" ref="J14" si="6">H14*G14/60</f>
        <v>0.1111111111111111</v>
      </c>
      <c r="K14" s="67">
        <f>J14+I14</f>
        <v>3.6111111111111112</v>
      </c>
      <c r="L14" s="68">
        <v>275</v>
      </c>
      <c r="M14" s="69">
        <f>L14/60</f>
        <v>4.583333333333333</v>
      </c>
      <c r="N14" s="70">
        <f>ROUNDUP(K14*M14,1)</f>
        <v>16.600000000000001</v>
      </c>
      <c r="O14" s="56"/>
      <c r="P14" s="30">
        <v>125</v>
      </c>
      <c r="Q14" s="71">
        <v>0.02</v>
      </c>
      <c r="R14" s="32">
        <v>55</v>
      </c>
      <c r="S14" s="35">
        <f>N14*R14</f>
        <v>913.00000000000011</v>
      </c>
      <c r="T14" s="33">
        <f>IF(S14&gt;Y14,S14,Y14)</f>
        <v>913.00000000000011</v>
      </c>
      <c r="U14" s="33">
        <f>T14+P14</f>
        <v>1038</v>
      </c>
      <c r="V14" s="33">
        <f>ROUNDUP(U14*Q14,0)</f>
        <v>21</v>
      </c>
      <c r="W14" s="33">
        <f>U14+V14</f>
        <v>1059</v>
      </c>
      <c r="X14" s="34"/>
      <c r="Y14" s="57">
        <v>275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26" x14ac:dyDescent="0.25">
      <c r="A17" s="1"/>
      <c r="B17" s="14">
        <v>9.5</v>
      </c>
      <c r="C17" s="14">
        <v>2</v>
      </c>
      <c r="D17" s="66" t="s">
        <v>0</v>
      </c>
      <c r="E17" s="16">
        <v>4.4999999999999998E-2</v>
      </c>
      <c r="F17" s="16">
        <f>B17*3.14</f>
        <v>29.830000000000002</v>
      </c>
      <c r="G17" s="17">
        <f>F17/E17</f>
        <v>662.88888888888891</v>
      </c>
      <c r="H17" s="16">
        <f>C17/10</f>
        <v>0.2</v>
      </c>
      <c r="I17" s="16">
        <v>4</v>
      </c>
      <c r="J17" s="19">
        <f>H17*G17/60</f>
        <v>2.2096296296296298</v>
      </c>
      <c r="K17" s="20">
        <f>J17+I17</f>
        <v>6.2096296296296298</v>
      </c>
      <c r="L17" s="68">
        <v>275</v>
      </c>
      <c r="M17" s="69">
        <f>L17/60</f>
        <v>4.583333333333333</v>
      </c>
      <c r="N17" s="18">
        <f>ROUNDUP(K17*M17,1)</f>
        <v>28.5</v>
      </c>
      <c r="O17" s="56"/>
      <c r="P17" s="30">
        <v>125</v>
      </c>
      <c r="Q17" s="71">
        <v>0.02</v>
      </c>
      <c r="R17" s="32">
        <v>1</v>
      </c>
      <c r="S17" s="35">
        <f>N17*R17</f>
        <v>28.5</v>
      </c>
      <c r="T17" s="33">
        <f>IF(S17&gt;Y17,S17,Y17)</f>
        <v>275</v>
      </c>
      <c r="U17" s="33">
        <f>T17+P17</f>
        <v>400</v>
      </c>
      <c r="V17" s="33">
        <f>ROUNDUP(U17*Q17,0)</f>
        <v>8</v>
      </c>
      <c r="W17" s="33">
        <f t="shared" ref="W17" si="7">U17+V17</f>
        <v>408</v>
      </c>
      <c r="X17" s="56"/>
      <c r="Y17" s="58">
        <v>275</v>
      </c>
      <c r="Z17" s="47">
        <f>ROUNDDOWN(Y17/N17,0)</f>
        <v>9</v>
      </c>
    </row>
    <row r="19" spans="1:26" ht="15.75" thickBot="1" x14ac:dyDescent="0.3"/>
    <row r="20" spans="1:26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541" t="s">
        <v>348</v>
      </c>
      <c r="W20" s="541"/>
      <c r="X20" s="541"/>
      <c r="Y20" s="541"/>
      <c r="Z20" s="1"/>
    </row>
    <row r="21" spans="1:26" ht="16.5" thickTop="1" x14ac:dyDescent="0.25">
      <c r="A21" s="373" t="s">
        <v>32</v>
      </c>
      <c r="C21" s="376">
        <v>250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61.7</v>
      </c>
      <c r="Z21" s="1"/>
    </row>
    <row r="22" spans="1:26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19</v>
      </c>
      <c r="Z22" s="1"/>
    </row>
    <row r="23" spans="1:26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1172.3</v>
      </c>
      <c r="Z23" s="1"/>
    </row>
    <row r="24" spans="1:26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26</v>
      </c>
      <c r="Z24" s="1"/>
    </row>
    <row r="25" spans="1:26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</row>
    <row r="26" spans="1:26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1323.3</v>
      </c>
      <c r="Z26" s="1"/>
    </row>
    <row r="27" spans="1:26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539" t="s">
        <v>347</v>
      </c>
      <c r="Y27" s="540"/>
      <c r="Z27" s="1"/>
    </row>
    <row r="28" spans="1:26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26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26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17.900000000000002</v>
      </c>
      <c r="Z30" s="1"/>
    </row>
    <row r="31" spans="1:26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55</v>
      </c>
      <c r="Z31" s="1"/>
    </row>
    <row r="32" spans="1:26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984.50000000000011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23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1132.5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4">
    <mergeCell ref="V20:Y20"/>
    <mergeCell ref="X27:Y27"/>
    <mergeCell ref="V29:Y29"/>
    <mergeCell ref="X36:Y36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DCDE-04DE-41F8-BFAA-E451628D3D17}">
  <sheetPr>
    <tabColor rgb="FF92D050"/>
  </sheetPr>
  <dimension ref="A1:AH55"/>
  <sheetViews>
    <sheetView topLeftCell="C1" zoomScale="85" zoomScaleNormal="85" workbookViewId="0">
      <selection activeCell="Y14" sqref="Y14"/>
    </sheetView>
  </sheetViews>
  <sheetFormatPr defaultColWidth="9.140625" defaultRowHeight="15" x14ac:dyDescent="0.25"/>
  <cols>
    <col min="1" max="1" width="9.140625" style="1"/>
    <col min="2" max="4" width="13.28515625" style="1" customWidth="1"/>
    <col min="5" max="5" width="13.28515625" style="1" hidden="1" customWidth="1"/>
    <col min="6" max="6" width="21" style="1" hidden="1" customWidth="1"/>
    <col min="7" max="7" width="22.7109375" style="1" hidden="1" customWidth="1"/>
    <col min="8" max="8" width="14.85546875" style="1" hidden="1" customWidth="1"/>
    <col min="9" max="9" width="11.5703125" style="1" hidden="1" customWidth="1"/>
    <col min="10" max="10" width="12.42578125" style="1" hidden="1" customWidth="1"/>
    <col min="11" max="13" width="26" style="1" hidden="1" customWidth="1"/>
    <col min="14" max="14" width="18.5703125" style="1" customWidth="1"/>
    <col min="15" max="15" width="16.42578125" style="1" customWidth="1"/>
    <col min="16" max="17" width="13.85546875" style="1" customWidth="1"/>
    <col min="18" max="18" width="11.85546875" style="1" bestFit="1" customWidth="1"/>
    <col min="19" max="19" width="14.7109375" style="1" customWidth="1"/>
    <col min="20" max="20" width="5" style="1" customWidth="1"/>
    <col min="21" max="21" width="20.28515625" style="1" customWidth="1"/>
    <col min="22" max="22" width="22.5703125" style="8" customWidth="1"/>
    <col min="23" max="23" width="16.42578125" style="1" customWidth="1"/>
    <col min="24" max="24" width="12.28515625" style="1" bestFit="1" customWidth="1"/>
    <col min="25" max="25" width="10.42578125" style="1" bestFit="1" customWidth="1"/>
    <col min="26" max="26" width="12.5703125" style="1" customWidth="1"/>
    <col min="27" max="27" width="9.42578125" style="1" hidden="1" customWidth="1"/>
    <col min="28" max="28" width="17" style="1" customWidth="1"/>
    <col min="29" max="29" width="16" style="1" customWidth="1"/>
    <col min="30" max="30" width="9.140625" style="1"/>
    <col min="31" max="31" width="13.42578125" style="1" customWidth="1"/>
    <col min="32" max="32" width="9.140625" style="1"/>
    <col min="33" max="33" width="11.140625" style="1" customWidth="1"/>
    <col min="34" max="34" width="12.5703125" style="1" customWidth="1"/>
    <col min="35" max="16384" width="9.140625" style="1"/>
  </cols>
  <sheetData>
    <row r="1" spans="1:34" ht="36" customHeight="1" x14ac:dyDescent="0.25">
      <c r="A1" s="9" t="s">
        <v>301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1"/>
      <c r="P1" s="21"/>
      <c r="Q1" s="21"/>
      <c r="R1" s="22"/>
      <c r="S1" s="22"/>
      <c r="T1" s="22"/>
      <c r="U1" s="22"/>
      <c r="V1" s="75"/>
      <c r="W1" s="22"/>
      <c r="X1" s="22"/>
      <c r="Y1" s="88"/>
      <c r="Z1" s="22"/>
      <c r="AA1" s="21"/>
      <c r="AB1" s="21"/>
      <c r="AC1" s="21"/>
    </row>
    <row r="2" spans="1:34" ht="30" customHeight="1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3" t="s">
        <v>5</v>
      </c>
      <c r="O2" s="34"/>
      <c r="P2" s="38" t="s">
        <v>29</v>
      </c>
      <c r="Q2" s="38" t="s">
        <v>204</v>
      </c>
      <c r="R2" s="37" t="s">
        <v>34</v>
      </c>
      <c r="S2" s="37" t="s">
        <v>27</v>
      </c>
      <c r="T2" s="38" t="s">
        <v>39</v>
      </c>
      <c r="U2" s="38" t="s">
        <v>30</v>
      </c>
      <c r="V2" s="74" t="s">
        <v>36</v>
      </c>
      <c r="W2" s="38" t="s">
        <v>31</v>
      </c>
      <c r="X2" s="37" t="s">
        <v>32</v>
      </c>
      <c r="Y2" s="41" t="s">
        <v>33</v>
      </c>
      <c r="Z2" s="21"/>
      <c r="AA2" s="21"/>
      <c r="AB2" s="21"/>
      <c r="AC2" s="21"/>
    </row>
    <row r="3" spans="1:34" x14ac:dyDescent="0.25">
      <c r="A3" s="65">
        <v>0.75</v>
      </c>
      <c r="B3" s="65">
        <v>48</v>
      </c>
      <c r="C3" s="65">
        <v>96</v>
      </c>
      <c r="D3" s="66" t="s">
        <v>0</v>
      </c>
      <c r="E3" s="66">
        <v>0.125</v>
      </c>
      <c r="F3" s="66">
        <f>(A3+B3)*C3</f>
        <v>4680</v>
      </c>
      <c r="G3" s="66">
        <f>(A3+B3)/E3</f>
        <v>390</v>
      </c>
      <c r="H3" s="66">
        <f t="shared" ref="H3" si="0">C3/10</f>
        <v>9.6</v>
      </c>
      <c r="I3" s="66">
        <v>6</v>
      </c>
      <c r="J3" s="67">
        <f t="shared" ref="J3" si="1">H3*G3/60</f>
        <v>62.4</v>
      </c>
      <c r="K3" s="67">
        <f>J3+I3</f>
        <v>68.400000000000006</v>
      </c>
      <c r="L3" s="68">
        <v>225</v>
      </c>
      <c r="M3" s="69">
        <f>L3/60</f>
        <v>3.75</v>
      </c>
      <c r="N3" s="70">
        <f>ROUNDUP(K3*M3,1)</f>
        <v>256.5</v>
      </c>
      <c r="O3" s="23" t="s">
        <v>40</v>
      </c>
      <c r="P3" s="32">
        <v>1</v>
      </c>
      <c r="Q3" s="35">
        <f>N3*P3</f>
        <v>256.5</v>
      </c>
      <c r="R3" s="33">
        <f>IF(Q3&gt;X3, Q3, X3)</f>
        <v>256.5</v>
      </c>
      <c r="S3" s="30">
        <v>0</v>
      </c>
      <c r="T3" s="79">
        <v>0.02</v>
      </c>
      <c r="U3" s="33">
        <f>R3+S3</f>
        <v>256.5</v>
      </c>
      <c r="V3" s="77">
        <f>ROUNDUP(U3*T3,0)</f>
        <v>6</v>
      </c>
      <c r="W3" s="33">
        <f>U3+V3</f>
        <v>262.5</v>
      </c>
      <c r="X3" s="57">
        <v>250</v>
      </c>
      <c r="Y3" s="78">
        <f>ROUNDDOWN(X3/N3,0)</f>
        <v>0</v>
      </c>
      <c r="Z3" s="21"/>
      <c r="AA3" s="21"/>
      <c r="AB3" s="21"/>
      <c r="AC3" s="21"/>
    </row>
    <row r="4" spans="1:34" ht="36" customHeight="1" x14ac:dyDescent="0.25">
      <c r="A4" s="9" t="s">
        <v>312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21"/>
      <c r="P4" s="21"/>
      <c r="Q4" s="21"/>
      <c r="R4" s="22"/>
      <c r="S4" s="22"/>
      <c r="T4" s="22"/>
      <c r="U4" s="22"/>
      <c r="V4" s="75"/>
      <c r="W4" s="22"/>
      <c r="X4" s="22"/>
      <c r="Y4" s="88"/>
      <c r="Z4" s="22"/>
      <c r="AA4" s="21"/>
      <c r="AB4" s="21"/>
      <c r="AC4" s="21"/>
    </row>
    <row r="5" spans="1:34" ht="30" customHeight="1" x14ac:dyDescent="0.25">
      <c r="A5" s="2" t="s">
        <v>23</v>
      </c>
      <c r="B5" s="2" t="s">
        <v>8</v>
      </c>
      <c r="C5" s="2" t="s">
        <v>7</v>
      </c>
      <c r="D5" s="2" t="s">
        <v>2</v>
      </c>
      <c r="E5" s="2" t="s">
        <v>1</v>
      </c>
      <c r="F5" s="2" t="s">
        <v>6</v>
      </c>
      <c r="G5" s="2" t="s">
        <v>3</v>
      </c>
      <c r="H5" s="2" t="s">
        <v>21</v>
      </c>
      <c r="I5" s="2" t="s">
        <v>9</v>
      </c>
      <c r="J5" s="2" t="s">
        <v>4</v>
      </c>
      <c r="K5" s="2" t="s">
        <v>10</v>
      </c>
      <c r="L5" s="2" t="s">
        <v>24</v>
      </c>
      <c r="M5" s="2" t="s">
        <v>25</v>
      </c>
      <c r="N5" s="3" t="s">
        <v>5</v>
      </c>
      <c r="O5" s="34"/>
      <c r="P5" s="38" t="s">
        <v>29</v>
      </c>
      <c r="Q5" s="38" t="s">
        <v>204</v>
      </c>
      <c r="R5" s="37" t="s">
        <v>34</v>
      </c>
      <c r="S5" s="37" t="s">
        <v>27</v>
      </c>
      <c r="T5" s="38" t="s">
        <v>39</v>
      </c>
      <c r="U5" s="38" t="s">
        <v>30</v>
      </c>
      <c r="V5" s="74" t="s">
        <v>36</v>
      </c>
      <c r="W5" s="38" t="s">
        <v>31</v>
      </c>
      <c r="X5" s="37" t="s">
        <v>32</v>
      </c>
      <c r="Y5" s="41" t="s">
        <v>33</v>
      </c>
      <c r="Z5" s="21"/>
      <c r="AA5" s="21"/>
      <c r="AB5" s="21"/>
      <c r="AC5" s="21"/>
    </row>
    <row r="6" spans="1:34" x14ac:dyDescent="0.25">
      <c r="A6" s="65">
        <v>2.75</v>
      </c>
      <c r="B6" s="65">
        <v>3.25</v>
      </c>
      <c r="C6" s="65">
        <v>6.25</v>
      </c>
      <c r="D6" s="66" t="s">
        <v>0</v>
      </c>
      <c r="E6" s="66">
        <v>6.5000000000000002E-2</v>
      </c>
      <c r="F6" s="66">
        <f>(A6+B6)*C6</f>
        <v>37.5</v>
      </c>
      <c r="G6" s="66">
        <f>(A6+B6)/E6</f>
        <v>92.307692307692307</v>
      </c>
      <c r="H6" s="66">
        <f t="shared" ref="H6" si="2">C6/10</f>
        <v>0.625</v>
      </c>
      <c r="I6" s="66">
        <v>4</v>
      </c>
      <c r="J6" s="67">
        <f t="shared" ref="J6" si="3">H6*G6/60</f>
        <v>0.96153846153846156</v>
      </c>
      <c r="K6" s="67">
        <f>J6+I6</f>
        <v>4.9615384615384617</v>
      </c>
      <c r="L6" s="68">
        <v>225</v>
      </c>
      <c r="M6" s="69">
        <f>L6/60</f>
        <v>3.75</v>
      </c>
      <c r="N6" s="70">
        <f>ROUNDUP(K6*M6,1)</f>
        <v>18.700000000000003</v>
      </c>
      <c r="O6" s="23" t="s">
        <v>40</v>
      </c>
      <c r="P6" s="32">
        <v>35</v>
      </c>
      <c r="Q6" s="35">
        <f>N6*P6</f>
        <v>654.50000000000011</v>
      </c>
      <c r="R6" s="33">
        <f>IF(Q6&gt;X6, Q6, X6)</f>
        <v>654.50000000000011</v>
      </c>
      <c r="S6" s="30">
        <v>0</v>
      </c>
      <c r="T6" s="79">
        <v>0.02</v>
      </c>
      <c r="U6" s="33">
        <f>R6+S6</f>
        <v>654.50000000000011</v>
      </c>
      <c r="V6" s="77">
        <f>ROUNDUP(U6*T6,0)</f>
        <v>14</v>
      </c>
      <c r="W6" s="33">
        <f>U6+V6</f>
        <v>668.50000000000011</v>
      </c>
      <c r="X6" s="57">
        <v>250</v>
      </c>
      <c r="Y6" s="78">
        <f>ROUNDDOWN(X6/N6,0)</f>
        <v>13</v>
      </c>
      <c r="Z6" s="21"/>
      <c r="AA6" s="21"/>
      <c r="AB6" s="21"/>
      <c r="AC6" s="21"/>
    </row>
    <row r="7" spans="1:34" ht="18.75" x14ac:dyDescent="0.25">
      <c r="O7" s="24"/>
      <c r="P7" s="21"/>
      <c r="Q7" s="21"/>
      <c r="R7" s="27"/>
      <c r="S7" s="28"/>
      <c r="T7" s="72"/>
      <c r="U7" s="27"/>
      <c r="V7" s="76"/>
      <c r="W7" s="27"/>
      <c r="X7" s="25"/>
      <c r="Y7" s="26"/>
      <c r="Z7" s="21"/>
      <c r="AA7" s="21"/>
      <c r="AB7" s="21"/>
      <c r="AC7" s="21"/>
    </row>
    <row r="8" spans="1:34" ht="21" x14ac:dyDescent="0.25">
      <c r="B8" s="80" t="s">
        <v>12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2"/>
      <c r="P8" s="82"/>
      <c r="Q8" s="82"/>
      <c r="R8" s="83"/>
      <c r="S8" s="84"/>
      <c r="T8" s="85"/>
      <c r="U8" s="83"/>
      <c r="V8" s="86"/>
      <c r="W8" s="83"/>
      <c r="X8" s="82"/>
      <c r="Y8" s="87"/>
      <c r="Z8" s="21"/>
      <c r="AA8" s="21"/>
      <c r="AB8" s="21"/>
      <c r="AC8" s="21"/>
    </row>
    <row r="9" spans="1:34" ht="30" x14ac:dyDescent="0.25">
      <c r="B9" s="4" t="s">
        <v>13</v>
      </c>
      <c r="C9" s="4" t="s">
        <v>7</v>
      </c>
      <c r="D9" s="2" t="s">
        <v>2</v>
      </c>
      <c r="E9" s="4" t="s">
        <v>1</v>
      </c>
      <c r="F9" s="5" t="s">
        <v>20</v>
      </c>
      <c r="G9" s="4" t="s">
        <v>14</v>
      </c>
      <c r="H9" s="4" t="s">
        <v>15</v>
      </c>
      <c r="I9" s="4" t="s">
        <v>17</v>
      </c>
      <c r="J9" s="4" t="s">
        <v>16</v>
      </c>
      <c r="K9" s="4" t="s">
        <v>18</v>
      </c>
      <c r="L9" s="2" t="s">
        <v>24</v>
      </c>
      <c r="M9" s="2" t="s">
        <v>25</v>
      </c>
      <c r="N9" s="6" t="s">
        <v>19</v>
      </c>
      <c r="O9" s="37"/>
      <c r="P9" s="38" t="s">
        <v>29</v>
      </c>
      <c r="Q9" s="38" t="s">
        <v>204</v>
      </c>
      <c r="R9" s="44" t="s">
        <v>34</v>
      </c>
      <c r="S9" s="42" t="s">
        <v>27</v>
      </c>
      <c r="T9" s="73" t="s">
        <v>39</v>
      </c>
      <c r="U9" s="44" t="s">
        <v>30</v>
      </c>
      <c r="V9" s="45" t="s">
        <v>36</v>
      </c>
      <c r="W9" s="44" t="s">
        <v>31</v>
      </c>
      <c r="X9" s="37" t="s">
        <v>32</v>
      </c>
      <c r="Y9" s="41" t="s">
        <v>33</v>
      </c>
      <c r="Z9" s="21"/>
      <c r="AA9" s="21"/>
      <c r="AB9" s="21"/>
      <c r="AC9" s="21"/>
    </row>
    <row r="10" spans="1:34" x14ac:dyDescent="0.25">
      <c r="B10" s="14">
        <v>3.25</v>
      </c>
      <c r="C10" s="14">
        <v>38</v>
      </c>
      <c r="D10" s="7" t="s">
        <v>0</v>
      </c>
      <c r="E10" s="16">
        <v>0.125</v>
      </c>
      <c r="F10" s="16">
        <f>B10*3.14</f>
        <v>10.205</v>
      </c>
      <c r="G10" s="17">
        <f>F10/E10</f>
        <v>81.64</v>
      </c>
      <c r="H10" s="16">
        <f>C10/10</f>
        <v>3.8</v>
      </c>
      <c r="I10" s="16">
        <v>3</v>
      </c>
      <c r="J10" s="19">
        <f>H10*G10/60</f>
        <v>5.1705333333333332</v>
      </c>
      <c r="K10" s="20">
        <f>J10+I10</f>
        <v>8.1705333333333332</v>
      </c>
      <c r="L10" s="11">
        <v>225</v>
      </c>
      <c r="M10" s="12">
        <f>L10/60</f>
        <v>3.75</v>
      </c>
      <c r="N10" s="18">
        <f>ROUNDUP(K10*M10,1)</f>
        <v>30.700000000000003</v>
      </c>
      <c r="O10" s="34" t="s">
        <v>40</v>
      </c>
      <c r="P10" s="32">
        <v>36</v>
      </c>
      <c r="Q10" s="35">
        <f>N10*P10</f>
        <v>1105.2</v>
      </c>
      <c r="R10" s="33">
        <f>IF(Q10&gt;X10, Q10, X10)</f>
        <v>1105.2</v>
      </c>
      <c r="S10" s="30">
        <v>0</v>
      </c>
      <c r="T10" s="79">
        <v>0.02</v>
      </c>
      <c r="U10" s="33">
        <f>R10+S10</f>
        <v>1105.2</v>
      </c>
      <c r="V10" s="77">
        <f>ROUNDUP(U10*T10,0)</f>
        <v>23</v>
      </c>
      <c r="W10" s="33">
        <f t="shared" ref="W10" si="4">U10+V10</f>
        <v>1128.2</v>
      </c>
      <c r="X10" s="57">
        <v>250</v>
      </c>
      <c r="Y10" s="78">
        <f>ROUNDDOWN(X10/N10,0)</f>
        <v>8</v>
      </c>
      <c r="Z10" s="21"/>
      <c r="AA10" s="21"/>
      <c r="AB10" s="21"/>
      <c r="AC10" s="21"/>
    </row>
    <row r="11" spans="1:34" ht="15.75" thickBot="1" x14ac:dyDescent="0.3">
      <c r="O11" s="21"/>
      <c r="P11" s="21"/>
      <c r="Q11" s="21"/>
      <c r="R11" s="21"/>
      <c r="S11" s="21"/>
      <c r="T11" s="21"/>
      <c r="U11" s="21"/>
      <c r="V11" s="26"/>
      <c r="W11" s="21"/>
      <c r="X11" s="21"/>
      <c r="Y11" s="21"/>
      <c r="Z11" s="21"/>
      <c r="AA11" s="21"/>
      <c r="AB11" s="21"/>
      <c r="AC11" s="21"/>
    </row>
    <row r="12" spans="1:34" ht="43.5" customHeight="1" thickTop="1" thickBot="1" x14ac:dyDescent="0.35">
      <c r="O12" s="21"/>
      <c r="P12" s="21"/>
      <c r="Q12" s="21"/>
      <c r="R12" s="21"/>
      <c r="S12" s="21"/>
      <c r="T12" s="21"/>
      <c r="U12" s="21"/>
      <c r="V12" s="557" t="s">
        <v>421</v>
      </c>
      <c r="W12" s="558"/>
      <c r="X12" t="s">
        <v>167</v>
      </c>
      <c r="Y12" s="356" t="s">
        <v>422</v>
      </c>
      <c r="Z12" s="358" t="s">
        <v>29</v>
      </c>
      <c r="AA12" s="341" t="s">
        <v>204</v>
      </c>
      <c r="AB12" s="343" t="s">
        <v>27</v>
      </c>
      <c r="AC12" s="343" t="s">
        <v>34</v>
      </c>
      <c r="AD12" s="341" t="s">
        <v>39</v>
      </c>
      <c r="AE12" s="341" t="s">
        <v>30</v>
      </c>
      <c r="AF12" s="349" t="s">
        <v>36</v>
      </c>
      <c r="AG12" s="347" t="s">
        <v>31</v>
      </c>
      <c r="AH12" s="347" t="s">
        <v>32</v>
      </c>
    </row>
    <row r="13" spans="1:34" ht="16.5" thickTop="1" thickBot="1" x14ac:dyDescent="0.3">
      <c r="O13" s="21"/>
      <c r="P13" s="21"/>
      <c r="Q13" s="21"/>
      <c r="R13" s="21"/>
      <c r="S13" s="21"/>
      <c r="T13" s="21"/>
      <c r="U13" s="21"/>
      <c r="V13" s="337" t="s">
        <v>242</v>
      </c>
      <c r="W13" s="338">
        <v>29.25</v>
      </c>
      <c r="X13" s="97">
        <f>W13+2</f>
        <v>31.25</v>
      </c>
      <c r="Y13" s="357">
        <v>30.7</v>
      </c>
      <c r="Z13" s="342">
        <v>36</v>
      </c>
      <c r="AA13" s="344">
        <f>Y13*Z13</f>
        <v>1105.2</v>
      </c>
      <c r="AB13" s="345">
        <v>125</v>
      </c>
      <c r="AC13" s="495">
        <f>IF(AA13&gt;AH13,AA13,AH13)</f>
        <v>1105.2</v>
      </c>
      <c r="AD13" s="346">
        <v>0.02</v>
      </c>
      <c r="AE13" s="344">
        <f>AC13+AB13</f>
        <v>1230.2</v>
      </c>
      <c r="AF13" s="350">
        <f>ROUNDUP(AC13*AD13,0)</f>
        <v>23</v>
      </c>
      <c r="AG13" s="348">
        <f>AE13+AF13</f>
        <v>1253.2</v>
      </c>
      <c r="AH13" s="348">
        <v>250</v>
      </c>
    </row>
    <row r="14" spans="1:34" ht="18.75" customHeight="1" thickTop="1" thickBot="1" x14ac:dyDescent="0.4">
      <c r="A14" s="171"/>
      <c r="B14" s="172" t="s">
        <v>119</v>
      </c>
      <c r="C14" s="173"/>
      <c r="N14" s="559" t="s">
        <v>149</v>
      </c>
      <c r="O14" s="560"/>
      <c r="P14" s="561"/>
      <c r="Q14"/>
      <c r="R14" s="541" t="s">
        <v>348</v>
      </c>
      <c r="S14" s="541"/>
      <c r="T14" s="541"/>
      <c r="U14" s="541"/>
      <c r="V14" s="335" t="s">
        <v>243</v>
      </c>
      <c r="W14" s="336">
        <v>28.95</v>
      </c>
      <c r="X14" s="97">
        <f t="shared" ref="X14:X54" si="5">W14+2</f>
        <v>30.95</v>
      </c>
      <c r="Y14"/>
      <c r="Z14"/>
      <c r="AA14"/>
      <c r="AB14"/>
      <c r="AC14"/>
      <c r="AD14"/>
      <c r="AE14"/>
      <c r="AF14"/>
      <c r="AG14"/>
    </row>
    <row r="15" spans="1:34" ht="17.25" customHeight="1" thickTop="1" x14ac:dyDescent="0.25">
      <c r="A15" s="174" t="s">
        <v>32</v>
      </c>
      <c r="B15"/>
      <c r="C15" s="280">
        <v>250</v>
      </c>
      <c r="N15" s="174" t="s">
        <v>150</v>
      </c>
      <c r="O15"/>
      <c r="P15" s="176"/>
      <c r="Q15"/>
      <c r="R15" s="362" t="s">
        <v>207</v>
      </c>
      <c r="S15" s="363"/>
      <c r="T15" s="352"/>
      <c r="U15" s="364">
        <f>N6</f>
        <v>18.700000000000003</v>
      </c>
      <c r="V15" s="337" t="s">
        <v>244</v>
      </c>
      <c r="W15" s="338">
        <v>28.15</v>
      </c>
      <c r="X15" s="97">
        <f t="shared" si="5"/>
        <v>30.15</v>
      </c>
      <c r="Y15" s="351" t="s">
        <v>359</v>
      </c>
      <c r="Z15" s="352"/>
      <c r="AA15" s="352"/>
      <c r="AB15" s="489">
        <f>Y13</f>
        <v>30.7</v>
      </c>
      <c r="AC15"/>
      <c r="AD15" s="351" t="s">
        <v>285</v>
      </c>
      <c r="AE15" s="352"/>
      <c r="AF15" s="352"/>
      <c r="AG15" s="489">
        <f>AC13</f>
        <v>1105.2</v>
      </c>
    </row>
    <row r="16" spans="1:34" ht="15.75" x14ac:dyDescent="0.25">
      <c r="A16" s="174" t="s">
        <v>120</v>
      </c>
      <c r="B16"/>
      <c r="C16" s="280" t="s">
        <v>160</v>
      </c>
      <c r="N16" s="174" t="s">
        <v>151</v>
      </c>
      <c r="O16"/>
      <c r="P16" s="176"/>
      <c r="Q16"/>
      <c r="R16" s="365" t="s">
        <v>208</v>
      </c>
      <c r="T16"/>
      <c r="U16" s="366">
        <f>P6</f>
        <v>35</v>
      </c>
      <c r="V16" s="335" t="s">
        <v>245</v>
      </c>
      <c r="W16" s="336">
        <v>27.95</v>
      </c>
      <c r="X16" s="97">
        <f t="shared" si="5"/>
        <v>29.95</v>
      </c>
      <c r="Y16" s="373" t="s">
        <v>286</v>
      </c>
      <c r="Z16"/>
      <c r="AA16"/>
      <c r="AB16" s="374">
        <f>Z13</f>
        <v>36</v>
      </c>
      <c r="AD16" s="373" t="s">
        <v>286</v>
      </c>
      <c r="AE16"/>
      <c r="AF16"/>
      <c r="AG16" s="374">
        <f>Z13</f>
        <v>36</v>
      </c>
    </row>
    <row r="17" spans="1:33" ht="15.75" x14ac:dyDescent="0.25">
      <c r="A17" s="174" t="s">
        <v>36</v>
      </c>
      <c r="B17"/>
      <c r="C17" s="200" t="s">
        <v>122</v>
      </c>
      <c r="N17" s="174"/>
      <c r="O17"/>
      <c r="P17" s="176"/>
      <c r="Q17"/>
      <c r="R17" s="365" t="s">
        <v>209</v>
      </c>
      <c r="T17"/>
      <c r="U17" s="367">
        <f>R6</f>
        <v>654.50000000000011</v>
      </c>
      <c r="V17" s="337" t="s">
        <v>246</v>
      </c>
      <c r="W17" s="338">
        <v>27.55</v>
      </c>
      <c r="X17" s="97">
        <f t="shared" si="5"/>
        <v>29.55</v>
      </c>
      <c r="Y17" s="490" t="s">
        <v>411</v>
      </c>
      <c r="AB17" s="491">
        <f>AB13</f>
        <v>125</v>
      </c>
      <c r="AD17" s="490" t="s">
        <v>411</v>
      </c>
      <c r="AG17" s="491">
        <f>AB13</f>
        <v>125</v>
      </c>
    </row>
    <row r="18" spans="1:33" ht="15.75" x14ac:dyDescent="0.25">
      <c r="A18" s="174" t="s">
        <v>121</v>
      </c>
      <c r="B18"/>
      <c r="C18" s="200" t="s">
        <v>123</v>
      </c>
      <c r="N18" s="174" t="s">
        <v>152</v>
      </c>
      <c r="O18"/>
      <c r="P18" s="176"/>
      <c r="Q18"/>
      <c r="R18" s="365" t="s">
        <v>210</v>
      </c>
      <c r="T18"/>
      <c r="U18" s="367">
        <f>V6</f>
        <v>14</v>
      </c>
      <c r="V18" s="335" t="s">
        <v>247</v>
      </c>
      <c r="W18" s="336">
        <v>27.25</v>
      </c>
      <c r="X18" s="97">
        <f t="shared" si="5"/>
        <v>29.25</v>
      </c>
      <c r="Y18" s="373" t="s">
        <v>36</v>
      </c>
      <c r="Z18"/>
      <c r="AA18"/>
      <c r="AB18" s="492">
        <f>AF13</f>
        <v>23</v>
      </c>
      <c r="AD18" s="373" t="s">
        <v>36</v>
      </c>
      <c r="AE18"/>
      <c r="AF18"/>
      <c r="AG18" s="492">
        <f>AF13</f>
        <v>23</v>
      </c>
    </row>
    <row r="19" spans="1:33" ht="15.75" x14ac:dyDescent="0.25">
      <c r="A19" s="177" t="s">
        <v>124</v>
      </c>
      <c r="B19" s="178"/>
      <c r="C19" s="201" t="s">
        <v>160</v>
      </c>
      <c r="N19" s="174" t="s">
        <v>153</v>
      </c>
      <c r="O19"/>
      <c r="P19" s="176"/>
      <c r="Q19"/>
      <c r="R19" s="365" t="s">
        <v>216</v>
      </c>
      <c r="S19"/>
      <c r="T19"/>
      <c r="U19" s="368">
        <f>S6</f>
        <v>0</v>
      </c>
      <c r="V19" s="337" t="s">
        <v>248</v>
      </c>
      <c r="W19" s="338">
        <v>26.95</v>
      </c>
      <c r="X19" s="97">
        <f t="shared" si="5"/>
        <v>28.95</v>
      </c>
      <c r="Y19" s="373" t="s">
        <v>414</v>
      </c>
      <c r="Z19"/>
      <c r="AA19"/>
      <c r="AB19" s="492">
        <f>AG13</f>
        <v>1253.2</v>
      </c>
      <c r="AD19" s="373" t="s">
        <v>414</v>
      </c>
      <c r="AE19"/>
      <c r="AF19"/>
      <c r="AG19" s="492">
        <f>AG13</f>
        <v>1253.2</v>
      </c>
    </row>
    <row r="20" spans="1:33" ht="16.5" thickBot="1" x14ac:dyDescent="0.3">
      <c r="N20" s="174"/>
      <c r="O20"/>
      <c r="P20" s="176"/>
      <c r="Q20"/>
      <c r="R20" s="365" t="s">
        <v>211</v>
      </c>
      <c r="T20"/>
      <c r="U20" s="367">
        <f>W6</f>
        <v>668.50000000000011</v>
      </c>
      <c r="V20" s="335" t="s">
        <v>249</v>
      </c>
      <c r="W20" s="336">
        <v>27</v>
      </c>
      <c r="X20" s="97">
        <f t="shared" si="5"/>
        <v>29</v>
      </c>
      <c r="Y20" s="353" t="s">
        <v>309</v>
      </c>
      <c r="Z20" s="354"/>
      <c r="AA20" s="354"/>
      <c r="AB20" s="493" t="s">
        <v>310</v>
      </c>
      <c r="AD20" s="353" t="s">
        <v>309</v>
      </c>
      <c r="AE20" s="354"/>
      <c r="AF20" s="354"/>
      <c r="AG20" s="493" t="s">
        <v>310</v>
      </c>
    </row>
    <row r="21" spans="1:33" ht="17.25" thickTop="1" thickBot="1" x14ac:dyDescent="0.3">
      <c r="N21" s="174" t="s">
        <v>154</v>
      </c>
      <c r="O21"/>
      <c r="P21" s="176"/>
      <c r="Q21"/>
      <c r="R21" s="369" t="s">
        <v>346</v>
      </c>
      <c r="S21" s="354"/>
      <c r="T21" s="539" t="s">
        <v>347</v>
      </c>
      <c r="U21" s="540"/>
      <c r="V21" s="337" t="s">
        <v>250</v>
      </c>
      <c r="W21" s="338">
        <v>30.75</v>
      </c>
      <c r="X21" s="97">
        <f t="shared" si="5"/>
        <v>32.75</v>
      </c>
      <c r="Y21"/>
      <c r="Z21"/>
      <c r="AA21"/>
      <c r="AF21"/>
      <c r="AG21"/>
    </row>
    <row r="22" spans="1:33" ht="15.75" thickTop="1" x14ac:dyDescent="0.25">
      <c r="N22" s="177" t="s">
        <v>155</v>
      </c>
      <c r="O22" s="178"/>
      <c r="P22" s="199"/>
      <c r="Q22"/>
      <c r="R22"/>
      <c r="S22"/>
      <c r="V22" s="335" t="s">
        <v>251</v>
      </c>
      <c r="W22" s="336">
        <v>32.15</v>
      </c>
      <c r="X22" s="97">
        <f t="shared" si="5"/>
        <v>34.15</v>
      </c>
      <c r="Y22"/>
      <c r="Z22"/>
      <c r="AA22"/>
      <c r="AB22"/>
      <c r="AC22"/>
      <c r="AD22"/>
      <c r="AE22"/>
      <c r="AF22"/>
      <c r="AG22"/>
    </row>
    <row r="23" spans="1:33" ht="24" thickBot="1" x14ac:dyDescent="0.4">
      <c r="R23" s="541" t="s">
        <v>284</v>
      </c>
      <c r="S23" s="541"/>
      <c r="T23" s="541"/>
      <c r="U23" s="541"/>
      <c r="V23" s="337" t="s">
        <v>252</v>
      </c>
      <c r="W23" s="338">
        <v>34.75</v>
      </c>
      <c r="X23" s="97">
        <f t="shared" si="5"/>
        <v>36.75</v>
      </c>
      <c r="Y23"/>
      <c r="Z23"/>
      <c r="AA23"/>
      <c r="AB23"/>
      <c r="AC23"/>
      <c r="AD23"/>
      <c r="AE23"/>
      <c r="AF23"/>
      <c r="AG23"/>
    </row>
    <row r="24" spans="1:33" ht="16.5" thickTop="1" x14ac:dyDescent="0.25">
      <c r="R24" s="362" t="s">
        <v>207</v>
      </c>
      <c r="S24" s="363"/>
      <c r="T24" s="352"/>
      <c r="U24" s="364">
        <f>N10</f>
        <v>30.700000000000003</v>
      </c>
      <c r="V24" s="335" t="s">
        <v>253</v>
      </c>
      <c r="W24" s="336">
        <v>37</v>
      </c>
      <c r="X24" s="97">
        <f t="shared" si="5"/>
        <v>39</v>
      </c>
      <c r="Y24"/>
      <c r="Z24"/>
      <c r="AA24"/>
      <c r="AB24"/>
      <c r="AC24"/>
      <c r="AD24"/>
      <c r="AE24"/>
      <c r="AF24"/>
      <c r="AG24"/>
    </row>
    <row r="25" spans="1:33" ht="15.75" x14ac:dyDescent="0.25">
      <c r="R25" s="365" t="s">
        <v>208</v>
      </c>
      <c r="T25"/>
      <c r="U25" s="366">
        <f>P10</f>
        <v>36</v>
      </c>
      <c r="V25" s="337" t="s">
        <v>254</v>
      </c>
      <c r="W25" s="338">
        <v>38.75</v>
      </c>
      <c r="X25" s="97">
        <f t="shared" si="5"/>
        <v>40.75</v>
      </c>
      <c r="Y25"/>
      <c r="Z25"/>
      <c r="AA25"/>
      <c r="AB25"/>
      <c r="AC25"/>
      <c r="AD25"/>
      <c r="AE25"/>
      <c r="AF25"/>
      <c r="AG25"/>
    </row>
    <row r="26" spans="1:33" ht="15.75" x14ac:dyDescent="0.25">
      <c r="R26" s="365" t="s">
        <v>209</v>
      </c>
      <c r="T26"/>
      <c r="U26" s="367">
        <f>R10</f>
        <v>1105.2</v>
      </c>
      <c r="V26" s="335" t="s">
        <v>255</v>
      </c>
      <c r="W26" s="336">
        <v>42</v>
      </c>
      <c r="X26" s="97">
        <f t="shared" si="5"/>
        <v>44</v>
      </c>
      <c r="Y26"/>
      <c r="Z26"/>
      <c r="AA26"/>
      <c r="AB26"/>
      <c r="AC26"/>
      <c r="AD26"/>
      <c r="AE26"/>
      <c r="AF26"/>
      <c r="AG26"/>
    </row>
    <row r="27" spans="1:33" ht="15.75" x14ac:dyDescent="0.25">
      <c r="R27" s="365" t="s">
        <v>210</v>
      </c>
      <c r="T27"/>
      <c r="U27" s="367">
        <f>V10</f>
        <v>23</v>
      </c>
      <c r="V27" s="337" t="s">
        <v>256</v>
      </c>
      <c r="W27" s="338">
        <v>46.25</v>
      </c>
      <c r="X27" s="97">
        <f t="shared" si="5"/>
        <v>48.25</v>
      </c>
      <c r="Y27"/>
      <c r="Z27"/>
      <c r="AA27"/>
      <c r="AB27"/>
      <c r="AC27"/>
      <c r="AD27"/>
      <c r="AE27"/>
      <c r="AF27"/>
      <c r="AG27"/>
    </row>
    <row r="28" spans="1:33" ht="15.75" x14ac:dyDescent="0.25">
      <c r="R28" s="365" t="s">
        <v>216</v>
      </c>
      <c r="S28"/>
      <c r="T28"/>
      <c r="U28" s="368">
        <f>S10</f>
        <v>0</v>
      </c>
      <c r="V28" s="335" t="s">
        <v>257</v>
      </c>
      <c r="W28" s="336">
        <v>50.9</v>
      </c>
      <c r="X28" s="97">
        <f t="shared" si="5"/>
        <v>52.9</v>
      </c>
      <c r="Y28"/>
      <c r="Z28"/>
      <c r="AA28"/>
      <c r="AB28"/>
      <c r="AC28"/>
      <c r="AD28"/>
      <c r="AE28"/>
      <c r="AF28"/>
      <c r="AG28"/>
    </row>
    <row r="29" spans="1:33" ht="15.75" x14ac:dyDescent="0.25">
      <c r="R29" s="365" t="s">
        <v>211</v>
      </c>
      <c r="T29"/>
      <c r="U29" s="367">
        <f>W10</f>
        <v>1128.2</v>
      </c>
      <c r="V29" s="337" t="s">
        <v>258</v>
      </c>
      <c r="W29" s="338">
        <v>52.85</v>
      </c>
      <c r="X29" s="97">
        <f t="shared" si="5"/>
        <v>54.85</v>
      </c>
      <c r="Y29"/>
      <c r="Z29"/>
      <c r="AA29"/>
      <c r="AB29"/>
      <c r="AC29"/>
      <c r="AD29"/>
      <c r="AE29"/>
      <c r="AF29"/>
      <c r="AG29"/>
    </row>
    <row r="30" spans="1:33" ht="16.5" thickBot="1" x14ac:dyDescent="0.3">
      <c r="R30" s="369" t="s">
        <v>346</v>
      </c>
      <c r="S30" s="354"/>
      <c r="T30" s="539" t="s">
        <v>347</v>
      </c>
      <c r="U30" s="540"/>
      <c r="V30" s="335" t="s">
        <v>259</v>
      </c>
      <c r="W30" s="336">
        <v>55.5</v>
      </c>
      <c r="X30" s="97">
        <f t="shared" si="5"/>
        <v>57.5</v>
      </c>
      <c r="Y30"/>
      <c r="Z30"/>
      <c r="AA30"/>
      <c r="AB30"/>
      <c r="AC30"/>
      <c r="AD30"/>
      <c r="AE30"/>
      <c r="AF30"/>
      <c r="AG30"/>
    </row>
    <row r="31" spans="1:33" ht="15.75" thickTop="1" x14ac:dyDescent="0.25">
      <c r="V31" s="337" t="s">
        <v>260</v>
      </c>
      <c r="W31" s="338">
        <v>58.75</v>
      </c>
      <c r="X31" s="97">
        <f t="shared" si="5"/>
        <v>60.75</v>
      </c>
      <c r="Y31"/>
      <c r="Z31"/>
      <c r="AA31"/>
      <c r="AB31"/>
      <c r="AC31"/>
      <c r="AD31"/>
      <c r="AE31"/>
      <c r="AF31"/>
      <c r="AG31"/>
    </row>
    <row r="32" spans="1:33" x14ac:dyDescent="0.25">
      <c r="V32" s="335" t="s">
        <v>261</v>
      </c>
      <c r="W32" s="336">
        <v>61</v>
      </c>
      <c r="X32" s="97">
        <f t="shared" si="5"/>
        <v>63</v>
      </c>
      <c r="Y32"/>
      <c r="Z32"/>
      <c r="AA32"/>
      <c r="AB32"/>
      <c r="AC32"/>
      <c r="AD32"/>
      <c r="AE32"/>
      <c r="AF32"/>
      <c r="AG32"/>
    </row>
    <row r="33" spans="22:33" x14ac:dyDescent="0.25">
      <c r="V33" s="337" t="s">
        <v>262</v>
      </c>
      <c r="W33" s="338">
        <v>65.25</v>
      </c>
      <c r="X33" s="97">
        <f t="shared" si="5"/>
        <v>67.25</v>
      </c>
      <c r="Y33"/>
      <c r="Z33"/>
      <c r="AA33"/>
      <c r="AB33"/>
      <c r="AC33"/>
      <c r="AD33"/>
      <c r="AE33"/>
      <c r="AF33"/>
      <c r="AG33"/>
    </row>
    <row r="34" spans="22:33" x14ac:dyDescent="0.25">
      <c r="V34" s="335" t="s">
        <v>263</v>
      </c>
      <c r="W34" s="336">
        <v>70.2</v>
      </c>
      <c r="X34" s="97">
        <f t="shared" si="5"/>
        <v>72.2</v>
      </c>
      <c r="Y34"/>
      <c r="Z34"/>
      <c r="AA34"/>
      <c r="AB34"/>
      <c r="AC34"/>
      <c r="AD34"/>
      <c r="AE34"/>
      <c r="AF34"/>
      <c r="AG34"/>
    </row>
    <row r="35" spans="22:33" x14ac:dyDescent="0.25">
      <c r="V35" s="337" t="s">
        <v>264</v>
      </c>
      <c r="W35" s="338">
        <v>74.75</v>
      </c>
      <c r="X35" s="97">
        <f t="shared" si="5"/>
        <v>76.75</v>
      </c>
      <c r="Y35"/>
      <c r="Z35"/>
      <c r="AA35"/>
      <c r="AB35"/>
      <c r="AC35"/>
      <c r="AD35"/>
      <c r="AE35"/>
      <c r="AF35"/>
      <c r="AG35"/>
    </row>
    <row r="36" spans="22:33" x14ac:dyDescent="0.25">
      <c r="V36" s="335" t="s">
        <v>265</v>
      </c>
      <c r="W36" s="336">
        <v>76.5</v>
      </c>
      <c r="X36" s="97">
        <f t="shared" si="5"/>
        <v>78.5</v>
      </c>
      <c r="Y36"/>
      <c r="Z36"/>
      <c r="AA36"/>
      <c r="AB36"/>
      <c r="AC36"/>
      <c r="AD36"/>
      <c r="AE36"/>
      <c r="AF36"/>
      <c r="AG36"/>
    </row>
    <row r="37" spans="22:33" x14ac:dyDescent="0.25">
      <c r="V37" s="337" t="s">
        <v>266</v>
      </c>
      <c r="W37" s="338">
        <v>81.900000000000006</v>
      </c>
      <c r="X37" s="97">
        <f t="shared" si="5"/>
        <v>83.9</v>
      </c>
      <c r="Y37"/>
      <c r="Z37"/>
      <c r="AA37"/>
      <c r="AB37"/>
      <c r="AC37"/>
      <c r="AD37"/>
      <c r="AE37"/>
      <c r="AF37"/>
      <c r="AG37"/>
    </row>
    <row r="38" spans="22:33" x14ac:dyDescent="0.25">
      <c r="V38" s="335" t="s">
        <v>267</v>
      </c>
      <c r="W38" s="336">
        <v>90.25</v>
      </c>
      <c r="X38" s="97">
        <f t="shared" si="5"/>
        <v>92.25</v>
      </c>
      <c r="Y38"/>
      <c r="Z38"/>
      <c r="AA38"/>
      <c r="AB38"/>
      <c r="AC38"/>
      <c r="AD38"/>
      <c r="AE38"/>
      <c r="AF38"/>
      <c r="AG38"/>
    </row>
    <row r="39" spans="22:33" x14ac:dyDescent="0.25">
      <c r="V39" s="337" t="s">
        <v>268</v>
      </c>
      <c r="W39" s="338">
        <v>98.9</v>
      </c>
      <c r="X39" s="97">
        <f t="shared" si="5"/>
        <v>100.9</v>
      </c>
      <c r="Y39"/>
      <c r="Z39"/>
      <c r="AA39"/>
      <c r="AB39"/>
      <c r="AC39"/>
      <c r="AD39"/>
      <c r="AE39"/>
      <c r="AF39"/>
      <c r="AG39"/>
    </row>
    <row r="40" spans="22:33" x14ac:dyDescent="0.25">
      <c r="V40" s="335" t="s">
        <v>269</v>
      </c>
      <c r="W40" s="336">
        <v>107.25</v>
      </c>
      <c r="X40" s="97">
        <f t="shared" si="5"/>
        <v>109.25</v>
      </c>
      <c r="Y40"/>
      <c r="Z40"/>
      <c r="AA40"/>
      <c r="AB40"/>
      <c r="AC40"/>
      <c r="AD40"/>
      <c r="AE40"/>
      <c r="AF40"/>
      <c r="AG40"/>
    </row>
    <row r="41" spans="22:33" ht="28.5" customHeight="1" x14ac:dyDescent="0.25">
      <c r="V41" s="337" t="s">
        <v>270</v>
      </c>
      <c r="W41" s="338">
        <v>121.95</v>
      </c>
      <c r="X41" s="97">
        <f t="shared" si="5"/>
        <v>123.95</v>
      </c>
      <c r="Y41"/>
      <c r="Z41"/>
      <c r="AA41"/>
      <c r="AB41"/>
      <c r="AC41"/>
      <c r="AD41"/>
      <c r="AE41"/>
      <c r="AF41"/>
      <c r="AG41"/>
    </row>
    <row r="42" spans="22:33" x14ac:dyDescent="0.25">
      <c r="V42" s="335" t="s">
        <v>271</v>
      </c>
      <c r="W42" s="336">
        <v>136.25</v>
      </c>
      <c r="X42" s="97">
        <f t="shared" si="5"/>
        <v>138.25</v>
      </c>
      <c r="Y42"/>
      <c r="Z42"/>
      <c r="AA42"/>
      <c r="AB42"/>
      <c r="AC42"/>
      <c r="AD42"/>
      <c r="AE42"/>
      <c r="AF42"/>
      <c r="AG42"/>
    </row>
    <row r="43" spans="22:33" x14ac:dyDescent="0.25">
      <c r="V43" s="337" t="s">
        <v>272</v>
      </c>
      <c r="W43" s="338">
        <v>160.25</v>
      </c>
      <c r="X43" s="97">
        <f t="shared" si="5"/>
        <v>162.25</v>
      </c>
      <c r="Y43"/>
      <c r="Z43"/>
      <c r="AA43"/>
      <c r="AB43"/>
      <c r="AC43"/>
      <c r="AD43"/>
      <c r="AE43"/>
      <c r="AF43"/>
      <c r="AG43"/>
    </row>
    <row r="44" spans="22:33" x14ac:dyDescent="0.25">
      <c r="V44" s="335" t="s">
        <v>273</v>
      </c>
      <c r="W44" s="336">
        <v>180.95</v>
      </c>
      <c r="X44" s="97">
        <f>W44+2</f>
        <v>182.95</v>
      </c>
      <c r="Y44"/>
      <c r="Z44"/>
      <c r="AA44"/>
      <c r="AB44"/>
      <c r="AC44"/>
      <c r="AD44"/>
      <c r="AE44"/>
      <c r="AF44"/>
      <c r="AG44"/>
    </row>
    <row r="45" spans="22:33" x14ac:dyDescent="0.25">
      <c r="V45" s="337" t="s">
        <v>274</v>
      </c>
      <c r="W45" s="338">
        <v>194.5</v>
      </c>
      <c r="X45" s="97">
        <f t="shared" si="5"/>
        <v>196.5</v>
      </c>
      <c r="Y45"/>
      <c r="Z45"/>
      <c r="AA45"/>
      <c r="AB45"/>
      <c r="AC45"/>
      <c r="AD45"/>
      <c r="AE45"/>
      <c r="AF45"/>
      <c r="AG45"/>
    </row>
    <row r="46" spans="22:33" x14ac:dyDescent="0.25">
      <c r="V46" s="335" t="s">
        <v>275</v>
      </c>
      <c r="W46" s="336">
        <v>215.9</v>
      </c>
      <c r="X46" s="97">
        <f t="shared" si="5"/>
        <v>217.9</v>
      </c>
      <c r="Y46"/>
      <c r="Z46"/>
      <c r="AA46"/>
      <c r="AB46"/>
      <c r="AC46"/>
      <c r="AD46"/>
      <c r="AE46"/>
      <c r="AF46"/>
      <c r="AG46"/>
    </row>
    <row r="47" spans="22:33" x14ac:dyDescent="0.25">
      <c r="V47" s="337" t="s">
        <v>276</v>
      </c>
      <c r="W47" s="338">
        <v>228.65</v>
      </c>
      <c r="X47" s="97">
        <f t="shared" si="5"/>
        <v>230.65</v>
      </c>
      <c r="Y47"/>
      <c r="Z47"/>
      <c r="AA47"/>
      <c r="AB47"/>
      <c r="AC47"/>
      <c r="AD47"/>
      <c r="AE47"/>
      <c r="AF47"/>
      <c r="AG47"/>
    </row>
    <row r="48" spans="22:33" x14ac:dyDescent="0.25">
      <c r="V48" s="335" t="s">
        <v>277</v>
      </c>
      <c r="W48" s="336">
        <v>241.35</v>
      </c>
      <c r="X48" s="97">
        <f t="shared" si="5"/>
        <v>243.35</v>
      </c>
      <c r="Y48"/>
      <c r="Z48"/>
      <c r="AA48"/>
      <c r="AB48"/>
      <c r="AC48"/>
      <c r="AD48"/>
      <c r="AE48"/>
      <c r="AF48"/>
      <c r="AG48"/>
    </row>
    <row r="49" spans="22:33" x14ac:dyDescent="0.25">
      <c r="V49" s="337" t="s">
        <v>278</v>
      </c>
      <c r="W49" s="338">
        <v>254.3</v>
      </c>
      <c r="X49" s="97">
        <f t="shared" si="5"/>
        <v>256.3</v>
      </c>
      <c r="Y49"/>
      <c r="Z49"/>
      <c r="AA49"/>
      <c r="AB49"/>
      <c r="AC49"/>
      <c r="AD49"/>
      <c r="AE49"/>
      <c r="AF49"/>
      <c r="AG49"/>
    </row>
    <row r="50" spans="22:33" x14ac:dyDescent="0.25">
      <c r="V50" s="335" t="s">
        <v>279</v>
      </c>
      <c r="W50" s="336">
        <v>269</v>
      </c>
      <c r="X50" s="97">
        <f t="shared" si="5"/>
        <v>271</v>
      </c>
      <c r="Y50"/>
      <c r="Z50"/>
      <c r="AA50"/>
      <c r="AB50"/>
      <c r="AC50"/>
      <c r="AD50"/>
      <c r="AE50"/>
      <c r="AF50"/>
      <c r="AG50"/>
    </row>
    <row r="51" spans="22:33" x14ac:dyDescent="0.25">
      <c r="V51" s="337" t="s">
        <v>280</v>
      </c>
      <c r="W51" s="338">
        <v>280.5</v>
      </c>
      <c r="X51" s="97">
        <f t="shared" si="5"/>
        <v>282.5</v>
      </c>
      <c r="Y51"/>
      <c r="Z51"/>
      <c r="AA51"/>
      <c r="AB51"/>
      <c r="AC51"/>
      <c r="AD51"/>
      <c r="AE51"/>
      <c r="AF51"/>
      <c r="AG51"/>
    </row>
    <row r="52" spans="22:33" x14ac:dyDescent="0.25">
      <c r="V52" s="335" t="s">
        <v>281</v>
      </c>
      <c r="W52" s="336">
        <v>293.25</v>
      </c>
      <c r="X52" s="97">
        <f t="shared" si="5"/>
        <v>295.25</v>
      </c>
      <c r="Y52"/>
      <c r="Z52"/>
      <c r="AA52"/>
      <c r="AB52"/>
      <c r="AC52"/>
      <c r="AD52"/>
      <c r="AE52"/>
      <c r="AF52"/>
      <c r="AG52"/>
    </row>
    <row r="53" spans="22:33" x14ac:dyDescent="0.25">
      <c r="V53" s="337" t="s">
        <v>282</v>
      </c>
      <c r="W53" s="338">
        <v>305.5</v>
      </c>
      <c r="X53" s="97">
        <f t="shared" si="5"/>
        <v>307.5</v>
      </c>
      <c r="Y53"/>
      <c r="Z53"/>
      <c r="AA53"/>
      <c r="AB53"/>
      <c r="AC53"/>
      <c r="AD53"/>
      <c r="AE53"/>
      <c r="AF53"/>
      <c r="AG53"/>
    </row>
    <row r="54" spans="22:33" ht="15.75" thickBot="1" x14ac:dyDescent="0.3">
      <c r="V54" s="339" t="s">
        <v>283</v>
      </c>
      <c r="W54" s="340">
        <v>320.75</v>
      </c>
      <c r="X54" s="97">
        <f t="shared" si="5"/>
        <v>322.75</v>
      </c>
      <c r="Y54"/>
      <c r="Z54"/>
      <c r="AA54"/>
      <c r="AB54"/>
      <c r="AC54"/>
      <c r="AD54"/>
      <c r="AE54"/>
      <c r="AF54"/>
      <c r="AG54"/>
    </row>
    <row r="55" spans="22:33" ht="15.75" thickTop="1" x14ac:dyDescent="0.25"/>
  </sheetData>
  <mergeCells count="6">
    <mergeCell ref="T30:U30"/>
    <mergeCell ref="V12:W12"/>
    <mergeCell ref="N14:P14"/>
    <mergeCell ref="R14:U14"/>
    <mergeCell ref="T21:U21"/>
    <mergeCell ref="R23:U23"/>
  </mergeCell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E469-E860-481C-8D19-3004B9445C09}">
  <sheetPr>
    <tabColor rgb="FF92D050"/>
  </sheetPr>
  <dimension ref="A1:AD31"/>
  <sheetViews>
    <sheetView zoomScale="90" zoomScaleNormal="90" workbookViewId="0">
      <selection activeCell="D1" sqref="D1:M1048576"/>
    </sheetView>
  </sheetViews>
  <sheetFormatPr defaultRowHeight="15" x14ac:dyDescent="0.25"/>
  <cols>
    <col min="4" max="13" width="0" hidden="1" customWidth="1"/>
  </cols>
  <sheetData>
    <row r="1" spans="1:30" ht="26.25" x14ac:dyDescent="0.25">
      <c r="B1" s="168" t="s">
        <v>349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60"/>
      <c r="P1" s="61"/>
      <c r="Q1" s="62"/>
      <c r="R1" s="60"/>
      <c r="S1" s="60"/>
      <c r="T1" s="63"/>
      <c r="U1" s="63"/>
      <c r="V1" s="63"/>
      <c r="W1" s="63"/>
      <c r="X1" s="60"/>
      <c r="Y1" s="60"/>
      <c r="Z1" s="64"/>
    </row>
    <row r="2" spans="1:30" x14ac:dyDescent="0.25">
      <c r="B2" s="4" t="s">
        <v>13</v>
      </c>
      <c r="C2" s="4" t="s">
        <v>7</v>
      </c>
      <c r="D2" s="2" t="s">
        <v>2</v>
      </c>
      <c r="E2" s="4" t="s">
        <v>1</v>
      </c>
      <c r="F2" s="5" t="s">
        <v>20</v>
      </c>
      <c r="G2" s="4" t="s">
        <v>14</v>
      </c>
      <c r="H2" s="4" t="s">
        <v>15</v>
      </c>
      <c r="I2" s="4" t="s">
        <v>17</v>
      </c>
      <c r="J2" s="4" t="s">
        <v>16</v>
      </c>
      <c r="K2" s="4" t="s">
        <v>18</v>
      </c>
      <c r="L2" s="2" t="s">
        <v>24</v>
      </c>
      <c r="M2" s="2" t="s">
        <v>25</v>
      </c>
      <c r="N2" s="6" t="s">
        <v>19</v>
      </c>
      <c r="O2" s="40"/>
      <c r="P2" s="42" t="s">
        <v>27</v>
      </c>
      <c r="Q2" s="43" t="s">
        <v>38</v>
      </c>
      <c r="R2" s="49" t="s">
        <v>35</v>
      </c>
      <c r="S2" s="114" t="s">
        <v>287</v>
      </c>
      <c r="T2" s="52" t="s">
        <v>34</v>
      </c>
      <c r="U2" s="44" t="s">
        <v>30</v>
      </c>
      <c r="V2" s="53" t="s">
        <v>36</v>
      </c>
      <c r="W2" s="46" t="s">
        <v>37</v>
      </c>
      <c r="X2" s="21"/>
      <c r="Y2" s="37" t="s">
        <v>32</v>
      </c>
      <c r="Z2" s="37" t="s">
        <v>33</v>
      </c>
    </row>
    <row r="3" spans="1:30" x14ac:dyDescent="0.25">
      <c r="B3" s="14">
        <v>2.5</v>
      </c>
      <c r="C3" s="14">
        <v>2.5</v>
      </c>
      <c r="D3" s="66" t="s">
        <v>0</v>
      </c>
      <c r="E3" s="16">
        <v>4.4999999999999998E-2</v>
      </c>
      <c r="F3" s="16">
        <f>B3*3.14</f>
        <v>7.8500000000000005</v>
      </c>
      <c r="G3" s="17">
        <f>F3/E3</f>
        <v>174.44444444444446</v>
      </c>
      <c r="H3" s="16">
        <f>C3/10</f>
        <v>0.25</v>
      </c>
      <c r="I3" s="16">
        <v>2.75</v>
      </c>
      <c r="J3" s="19">
        <f>H3*G3/60</f>
        <v>0.72685185185185186</v>
      </c>
      <c r="K3" s="20">
        <f>J3+I3</f>
        <v>3.4768518518518521</v>
      </c>
      <c r="L3" s="68">
        <v>225</v>
      </c>
      <c r="M3" s="69">
        <f>L3/60</f>
        <v>3.75</v>
      </c>
      <c r="N3" s="18">
        <f>ROUNDUP(K3*M3,1)</f>
        <v>13.1</v>
      </c>
      <c r="O3" s="56"/>
      <c r="P3" s="30">
        <v>0</v>
      </c>
      <c r="Q3" s="71">
        <v>0.02</v>
      </c>
      <c r="R3" s="32">
        <v>60</v>
      </c>
      <c r="S3" s="35">
        <f>N3*R3</f>
        <v>786</v>
      </c>
      <c r="T3" s="33">
        <f>IF(S3&gt;Y3,S3,Y3)</f>
        <v>786</v>
      </c>
      <c r="U3" s="33">
        <f>T3+P3</f>
        <v>786</v>
      </c>
      <c r="V3" s="33">
        <f>ROUNDUP(U3*Q3,0)</f>
        <v>16</v>
      </c>
      <c r="W3" s="33">
        <f t="shared" ref="W3" si="0">U3+V3</f>
        <v>802</v>
      </c>
      <c r="X3" s="56"/>
      <c r="Y3" s="58">
        <v>225</v>
      </c>
      <c r="Z3" s="47">
        <f>ROUNDDOWN(Y3/N3,0)</f>
        <v>17</v>
      </c>
    </row>
    <row r="4" spans="1:30" ht="18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4"/>
      <c r="P4" s="28"/>
      <c r="Q4" s="29"/>
      <c r="R4" s="21"/>
      <c r="S4" s="21"/>
      <c r="T4" s="27"/>
      <c r="U4" s="27"/>
      <c r="V4" s="27"/>
      <c r="W4" s="27"/>
      <c r="X4" s="25"/>
      <c r="Y4" s="21"/>
      <c r="Z4" s="21"/>
    </row>
    <row r="5" spans="1:30" x14ac:dyDescent="0.25">
      <c r="A5" s="1"/>
    </row>
    <row r="6" spans="1:30" ht="26.25" x14ac:dyDescent="0.25">
      <c r="A6" s="134" t="s">
        <v>147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82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88"/>
    </row>
    <row r="7" spans="1:30" ht="30" x14ac:dyDescent="0.25">
      <c r="A7" s="111" t="s">
        <v>23</v>
      </c>
      <c r="B7" s="111" t="s">
        <v>8</v>
      </c>
      <c r="C7" s="111" t="s">
        <v>7</v>
      </c>
      <c r="D7" s="111" t="s">
        <v>2</v>
      </c>
      <c r="E7" s="111" t="s">
        <v>1</v>
      </c>
      <c r="F7" s="111" t="s">
        <v>6</v>
      </c>
      <c r="G7" s="111" t="s">
        <v>3</v>
      </c>
      <c r="H7" s="111" t="s">
        <v>21</v>
      </c>
      <c r="I7" s="111" t="s">
        <v>9</v>
      </c>
      <c r="J7" s="111" t="s">
        <v>4</v>
      </c>
      <c r="K7" s="111" t="s">
        <v>10</v>
      </c>
      <c r="L7" s="111" t="s">
        <v>24</v>
      </c>
      <c r="M7" s="111" t="s">
        <v>25</v>
      </c>
      <c r="N7" s="112" t="s">
        <v>5</v>
      </c>
      <c r="O7" s="39"/>
      <c r="P7" s="113" t="s">
        <v>27</v>
      </c>
      <c r="Q7" s="113" t="s">
        <v>38</v>
      </c>
      <c r="R7" s="114" t="s">
        <v>35</v>
      </c>
      <c r="S7" s="114" t="s">
        <v>287</v>
      </c>
      <c r="T7" s="114" t="s">
        <v>34</v>
      </c>
      <c r="U7" s="114" t="s">
        <v>30</v>
      </c>
      <c r="V7" s="113" t="s">
        <v>36</v>
      </c>
      <c r="W7" s="115" t="s">
        <v>31</v>
      </c>
      <c r="X7" s="113"/>
      <c r="Y7" s="113" t="s">
        <v>32</v>
      </c>
      <c r="Z7" s="114" t="s">
        <v>33</v>
      </c>
    </row>
    <row r="8" spans="1:30" x14ac:dyDescent="0.25">
      <c r="A8" s="65">
        <v>0.5</v>
      </c>
      <c r="B8" s="65">
        <v>1.5</v>
      </c>
      <c r="C8" s="65">
        <v>1.5</v>
      </c>
      <c r="D8" s="66">
        <v>0.125</v>
      </c>
      <c r="E8" s="66">
        <v>4.4999999999999998E-2</v>
      </c>
      <c r="F8" s="66">
        <f>(A8+B8)*C8</f>
        <v>3</v>
      </c>
      <c r="G8" s="66">
        <f>(A8+B8)/E8</f>
        <v>44.444444444444443</v>
      </c>
      <c r="H8" s="66">
        <f t="shared" ref="H8" si="1">C8/10</f>
        <v>0.15</v>
      </c>
      <c r="I8" s="66">
        <v>3.5</v>
      </c>
      <c r="J8" s="67">
        <f t="shared" ref="J8" si="2">H8*G8/60</f>
        <v>0.1111111111111111</v>
      </c>
      <c r="K8" s="67">
        <f>J8+I8</f>
        <v>3.6111111111111112</v>
      </c>
      <c r="L8" s="68">
        <v>250</v>
      </c>
      <c r="M8" s="69">
        <f>L8/60</f>
        <v>4.166666666666667</v>
      </c>
      <c r="N8" s="70">
        <f>ROUNDUP(K8*M8,1)</f>
        <v>15.1</v>
      </c>
      <c r="O8" s="56"/>
      <c r="P8" s="30">
        <v>125</v>
      </c>
      <c r="Q8" s="71">
        <v>0.02</v>
      </c>
      <c r="R8" s="32">
        <v>50</v>
      </c>
      <c r="S8" s="35">
        <f>N8*R8</f>
        <v>755</v>
      </c>
      <c r="T8" s="33">
        <f>IF(S8&gt;Y8,S8,Y8)</f>
        <v>755</v>
      </c>
      <c r="U8" s="33">
        <f>T8+P8</f>
        <v>880</v>
      </c>
      <c r="V8" s="33">
        <f>ROUNDUP(U8*Q8,0)</f>
        <v>18</v>
      </c>
      <c r="W8" s="33">
        <f>U8+V8</f>
        <v>898</v>
      </c>
      <c r="X8" s="34"/>
      <c r="Y8" s="57">
        <v>250</v>
      </c>
      <c r="Z8" s="36">
        <f>ROUNDDOWN(Y8/N8,0)</f>
        <v>16</v>
      </c>
    </row>
    <row r="9" spans="1:30" ht="26.25" x14ac:dyDescent="0.25">
      <c r="A9" s="1"/>
      <c r="B9" s="168" t="s">
        <v>148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60"/>
      <c r="P9" s="61"/>
      <c r="Q9" s="62"/>
      <c r="R9" s="60"/>
      <c r="S9" s="60"/>
      <c r="T9" s="63"/>
      <c r="U9" s="63"/>
      <c r="V9" s="63"/>
      <c r="W9" s="63"/>
      <c r="X9" s="60"/>
      <c r="Y9" s="60"/>
      <c r="Z9" s="64"/>
    </row>
    <row r="10" spans="1:30" x14ac:dyDescent="0.25">
      <c r="A10" s="1"/>
      <c r="B10" s="4" t="s">
        <v>13</v>
      </c>
      <c r="C10" s="4" t="s">
        <v>7</v>
      </c>
      <c r="D10" s="2" t="s">
        <v>2</v>
      </c>
      <c r="E10" s="4" t="s">
        <v>1</v>
      </c>
      <c r="F10" s="5" t="s">
        <v>20</v>
      </c>
      <c r="G10" s="4" t="s">
        <v>14</v>
      </c>
      <c r="H10" s="4" t="s">
        <v>15</v>
      </c>
      <c r="I10" s="4" t="s">
        <v>17</v>
      </c>
      <c r="J10" s="4" t="s">
        <v>16</v>
      </c>
      <c r="K10" s="4" t="s">
        <v>18</v>
      </c>
      <c r="L10" s="2" t="s">
        <v>24</v>
      </c>
      <c r="M10" s="2" t="s">
        <v>25</v>
      </c>
      <c r="N10" s="6" t="s">
        <v>19</v>
      </c>
      <c r="O10" s="40"/>
      <c r="P10" s="42" t="s">
        <v>27</v>
      </c>
      <c r="Q10" s="43" t="s">
        <v>38</v>
      </c>
      <c r="R10" s="49" t="s">
        <v>35</v>
      </c>
      <c r="S10" s="114" t="s">
        <v>287</v>
      </c>
      <c r="T10" s="52" t="s">
        <v>34</v>
      </c>
      <c r="U10" s="44" t="s">
        <v>30</v>
      </c>
      <c r="V10" s="53" t="s">
        <v>36</v>
      </c>
      <c r="W10" s="46" t="s">
        <v>37</v>
      </c>
      <c r="X10" s="21"/>
      <c r="Y10" s="37" t="s">
        <v>32</v>
      </c>
      <c r="Z10" s="37" t="s">
        <v>33</v>
      </c>
    </row>
    <row r="11" spans="1:30" x14ac:dyDescent="0.25">
      <c r="A11" s="1"/>
      <c r="B11" s="14">
        <v>9.5</v>
      </c>
      <c r="C11" s="14">
        <v>2</v>
      </c>
      <c r="D11" s="66" t="s">
        <v>0</v>
      </c>
      <c r="E11" s="16">
        <v>4.4999999999999998E-2</v>
      </c>
      <c r="F11" s="16">
        <f>B11*3.14</f>
        <v>29.830000000000002</v>
      </c>
      <c r="G11" s="17">
        <f>F11/E11</f>
        <v>662.88888888888891</v>
      </c>
      <c r="H11" s="16">
        <f>C11/10</f>
        <v>0.2</v>
      </c>
      <c r="I11" s="16">
        <v>4</v>
      </c>
      <c r="J11" s="19">
        <f>H11*G11/60</f>
        <v>2.2096296296296298</v>
      </c>
      <c r="K11" s="20">
        <f>J11+I11</f>
        <v>6.2096296296296298</v>
      </c>
      <c r="L11" s="68">
        <v>250</v>
      </c>
      <c r="M11" s="69">
        <f>L11/60</f>
        <v>4.166666666666667</v>
      </c>
      <c r="N11" s="18">
        <f>ROUNDUP(K11*M11,1)</f>
        <v>25.900000000000002</v>
      </c>
      <c r="O11" s="56"/>
      <c r="P11" s="30">
        <v>125</v>
      </c>
      <c r="Q11" s="71">
        <v>0.02</v>
      </c>
      <c r="R11" s="32">
        <v>1</v>
      </c>
      <c r="S11" s="35">
        <f>N11*R11</f>
        <v>25.900000000000002</v>
      </c>
      <c r="T11" s="33">
        <f>IF(S11&gt;Y11,S11,Y11)</f>
        <v>250</v>
      </c>
      <c r="U11" s="33">
        <f>T11+P11</f>
        <v>375</v>
      </c>
      <c r="V11" s="33">
        <f>ROUNDUP(U11*Q11,0)</f>
        <v>8</v>
      </c>
      <c r="W11" s="33">
        <f t="shared" ref="W11" si="3">U11+V11</f>
        <v>383</v>
      </c>
      <c r="X11" s="56"/>
      <c r="Y11" s="58">
        <v>250</v>
      </c>
      <c r="Z11" s="47">
        <f>ROUNDDOWN(Y11/N11,0)</f>
        <v>9</v>
      </c>
    </row>
    <row r="13" spans="1:30" ht="15.75" thickBot="1" x14ac:dyDescent="0.3"/>
    <row r="14" spans="1:30" ht="24.75" thickTop="1" thickBot="1" x14ac:dyDescent="0.4">
      <c r="A14" s="351"/>
      <c r="B14" s="372" t="s">
        <v>119</v>
      </c>
      <c r="C14" s="359"/>
      <c r="I14" s="1"/>
      <c r="J14" s="1"/>
      <c r="K14" s="1"/>
      <c r="L14" s="1"/>
      <c r="M14" s="1"/>
      <c r="N14" s="351"/>
      <c r="O14" s="352"/>
      <c r="P14" s="372" t="s">
        <v>149</v>
      </c>
      <c r="Q14" s="352"/>
      <c r="R14" s="352"/>
      <c r="S14" s="372" t="s">
        <v>149</v>
      </c>
      <c r="T14" s="359"/>
      <c r="V14" s="436" t="s">
        <v>348</v>
      </c>
      <c r="W14" s="436"/>
      <c r="X14" s="436"/>
      <c r="Y14" s="436"/>
      <c r="Z14" s="1"/>
      <c r="AA14" s="460" t="s">
        <v>362</v>
      </c>
      <c r="AB14" s="461"/>
      <c r="AC14" s="461"/>
      <c r="AD14" s="461"/>
    </row>
    <row r="15" spans="1:30" ht="16.5" thickTop="1" x14ac:dyDescent="0.25">
      <c r="A15" s="373" t="s">
        <v>32</v>
      </c>
      <c r="C15" s="376">
        <v>225</v>
      </c>
      <c r="I15" s="1"/>
      <c r="J15" s="1"/>
      <c r="K15" s="1"/>
      <c r="L15" s="1"/>
      <c r="M15" s="1"/>
      <c r="N15" s="373" t="s">
        <v>150</v>
      </c>
      <c r="T15" s="374"/>
      <c r="V15" s="362" t="s">
        <v>207</v>
      </c>
      <c r="W15" s="363"/>
      <c r="X15" s="352"/>
      <c r="Y15" s="364" t="e">
        <f>#REF!</f>
        <v>#REF!</v>
      </c>
      <c r="Z15" s="1"/>
      <c r="AA15" s="462" t="s">
        <v>207</v>
      </c>
      <c r="AB15" s="463"/>
      <c r="AC15" s="383"/>
      <c r="AD15" s="470" t="e">
        <f>#REF!</f>
        <v>#REF!</v>
      </c>
    </row>
    <row r="16" spans="1:30" ht="15.75" x14ac:dyDescent="0.25">
      <c r="A16" s="373" t="s">
        <v>120</v>
      </c>
      <c r="C16" s="376">
        <v>125</v>
      </c>
      <c r="I16" s="1"/>
      <c r="J16" s="1"/>
      <c r="K16" s="1"/>
      <c r="L16" s="1"/>
      <c r="M16" s="1"/>
      <c r="N16" s="373" t="s">
        <v>151</v>
      </c>
      <c r="T16" s="374"/>
      <c r="V16" s="365" t="s">
        <v>208</v>
      </c>
      <c r="W16" s="1"/>
      <c r="Y16" s="366" t="e">
        <f>#REF!</f>
        <v>#REF!</v>
      </c>
      <c r="Z16" s="1"/>
      <c r="AA16" s="464" t="s">
        <v>208</v>
      </c>
      <c r="AB16" s="1"/>
      <c r="AD16" s="471" t="e">
        <f>#REF!</f>
        <v>#REF!</v>
      </c>
    </row>
    <row r="17" spans="1:30" ht="15.75" x14ac:dyDescent="0.25">
      <c r="A17" s="373" t="s">
        <v>36</v>
      </c>
      <c r="C17" s="377" t="s">
        <v>122</v>
      </c>
      <c r="I17" s="1"/>
      <c r="J17" s="1"/>
      <c r="K17" s="1"/>
      <c r="L17" s="1"/>
      <c r="M17" s="1"/>
      <c r="N17" s="373"/>
      <c r="T17" s="374"/>
      <c r="V17" s="365" t="s">
        <v>209</v>
      </c>
      <c r="W17" s="1"/>
      <c r="Y17" s="367" t="e">
        <f>#REF!</f>
        <v>#REF!</v>
      </c>
      <c r="Z17" s="1"/>
      <c r="AA17" s="464" t="s">
        <v>209</v>
      </c>
      <c r="AB17" s="1"/>
      <c r="AD17" s="469" t="e">
        <f>#REF!</f>
        <v>#REF!</v>
      </c>
    </row>
    <row r="18" spans="1:30" ht="15.75" x14ac:dyDescent="0.25">
      <c r="A18" s="373" t="s">
        <v>121</v>
      </c>
      <c r="C18" s="377" t="s">
        <v>123</v>
      </c>
      <c r="I18" s="1"/>
      <c r="J18" s="1"/>
      <c r="K18" s="1"/>
      <c r="L18" s="1"/>
      <c r="M18" s="1"/>
      <c r="N18" s="373" t="s">
        <v>152</v>
      </c>
      <c r="T18" s="374"/>
      <c r="V18" s="365" t="s">
        <v>210</v>
      </c>
      <c r="W18" s="1"/>
      <c r="Y18" s="367" t="e">
        <f>#REF!</f>
        <v>#REF!</v>
      </c>
      <c r="Z18" s="1"/>
      <c r="AA18" s="464" t="s">
        <v>210</v>
      </c>
      <c r="AB18" s="1"/>
      <c r="AD18" s="469" t="e">
        <f>#REF!</f>
        <v>#REF!</v>
      </c>
    </row>
    <row r="19" spans="1:30" ht="16.5" thickBot="1" x14ac:dyDescent="0.3">
      <c r="A19" s="353" t="s">
        <v>124</v>
      </c>
      <c r="B19" s="354"/>
      <c r="C19" s="378" t="s">
        <v>156</v>
      </c>
      <c r="I19" s="1"/>
      <c r="J19" s="1"/>
      <c r="K19" s="1"/>
      <c r="L19" s="1"/>
      <c r="M19" s="1"/>
      <c r="N19" s="373" t="s">
        <v>153</v>
      </c>
      <c r="T19" s="374"/>
      <c r="V19" s="365" t="s">
        <v>216</v>
      </c>
      <c r="Y19" s="368" t="e">
        <f>#REF!</f>
        <v>#REF!</v>
      </c>
      <c r="Z19" s="1"/>
      <c r="AA19" s="464" t="s">
        <v>216</v>
      </c>
      <c r="AD19" s="465" t="e">
        <f>-#REF!</f>
        <v>#REF!</v>
      </c>
    </row>
    <row r="20" spans="1:30" ht="16.5" thickTop="1" x14ac:dyDescent="0.25">
      <c r="I20" s="1"/>
      <c r="J20" s="1"/>
      <c r="K20" s="1"/>
      <c r="L20" s="1"/>
      <c r="M20" s="1"/>
      <c r="N20" s="373"/>
      <c r="T20" s="374"/>
      <c r="V20" s="365" t="s">
        <v>211</v>
      </c>
      <c r="W20" s="1"/>
      <c r="Y20" s="367" t="e">
        <f>#REF!</f>
        <v>#REF!</v>
      </c>
      <c r="Z20" s="1"/>
      <c r="AA20" s="464" t="s">
        <v>211</v>
      </c>
      <c r="AB20" s="1"/>
      <c r="AD20" s="469" t="e">
        <f>#REF!</f>
        <v>#REF!</v>
      </c>
    </row>
    <row r="21" spans="1:30" ht="16.5" thickBot="1" x14ac:dyDescent="0.3">
      <c r="I21" s="1"/>
      <c r="J21" s="1"/>
      <c r="K21" s="1"/>
      <c r="L21" s="1"/>
      <c r="M21" s="1"/>
      <c r="N21" s="373" t="s">
        <v>154</v>
      </c>
      <c r="T21" s="374"/>
      <c r="V21" s="369" t="s">
        <v>346</v>
      </c>
      <c r="W21" s="354"/>
      <c r="X21" s="437"/>
      <c r="Y21" s="438" t="s">
        <v>347</v>
      </c>
      <c r="Z21" s="1"/>
      <c r="AA21" s="466" t="s">
        <v>346</v>
      </c>
      <c r="AB21" s="388"/>
      <c r="AC21" s="467"/>
      <c r="AD21" s="468" t="s">
        <v>347</v>
      </c>
    </row>
    <row r="22" spans="1:30" ht="16.5" thickTop="1" thickBot="1" x14ac:dyDescent="0.3">
      <c r="I22" s="1"/>
      <c r="J22" s="1"/>
      <c r="K22" s="1"/>
      <c r="L22" s="1"/>
      <c r="M22" s="1"/>
      <c r="N22" s="353" t="s">
        <v>155</v>
      </c>
      <c r="O22" s="354"/>
      <c r="P22" s="354"/>
      <c r="Q22" s="354"/>
      <c r="R22" s="354"/>
      <c r="S22" s="354"/>
      <c r="T22" s="375"/>
      <c r="X22" s="1"/>
      <c r="Y22" s="1"/>
      <c r="Z22" s="1"/>
    </row>
    <row r="23" spans="1:30" ht="24.75" thickTop="1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541" t="s">
        <v>284</v>
      </c>
      <c r="W23" s="541"/>
      <c r="X23" s="541"/>
      <c r="Y23" s="541"/>
      <c r="Z23" s="1"/>
    </row>
    <row r="24" spans="1:30" ht="16.5" thickTop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362" t="s">
        <v>207</v>
      </c>
      <c r="W24" s="363"/>
      <c r="X24" s="352"/>
      <c r="Y24" s="364">
        <f>N3</f>
        <v>13.1</v>
      </c>
      <c r="Z24" s="1"/>
    </row>
    <row r="25" spans="1:30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365" t="s">
        <v>208</v>
      </c>
      <c r="W25" s="1"/>
      <c r="Y25" s="366">
        <f>R3</f>
        <v>60</v>
      </c>
      <c r="Z25" s="1"/>
    </row>
    <row r="26" spans="1:30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365" t="s">
        <v>209</v>
      </c>
      <c r="W26" s="1"/>
      <c r="Y26" s="367">
        <f>T3</f>
        <v>786</v>
      </c>
      <c r="Z26" s="1"/>
    </row>
    <row r="27" spans="1:30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365" t="s">
        <v>210</v>
      </c>
      <c r="W27" s="1"/>
      <c r="Y27" s="367">
        <f>V3</f>
        <v>16</v>
      </c>
      <c r="Z27" s="1"/>
    </row>
    <row r="28" spans="1:30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365" t="s">
        <v>216</v>
      </c>
      <c r="Y28" s="368">
        <f>P3</f>
        <v>0</v>
      </c>
      <c r="Z28" s="1"/>
    </row>
    <row r="29" spans="1:30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365" t="s">
        <v>211</v>
      </c>
      <c r="W29" s="1"/>
      <c r="Y29" s="367">
        <f>W3</f>
        <v>802</v>
      </c>
      <c r="Z29" s="1"/>
    </row>
    <row r="30" spans="1:30" ht="16.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9" t="s">
        <v>346</v>
      </c>
      <c r="W30" s="354"/>
      <c r="X30" s="539" t="s">
        <v>347</v>
      </c>
      <c r="Y30" s="540"/>
      <c r="Z30" s="1"/>
    </row>
    <row r="31" spans="1:30" ht="15.75" thickTop="1" x14ac:dyDescent="0.25"/>
  </sheetData>
  <mergeCells count="2">
    <mergeCell ref="V23:Y23"/>
    <mergeCell ref="X30:Y30"/>
  </mergeCell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148C-55CA-4A95-A532-EDA2C03E8CB1}">
  <sheetPr>
    <tabColor rgb="FF92D050"/>
  </sheetPr>
  <dimension ref="A1:AD41"/>
  <sheetViews>
    <sheetView zoomScale="85" zoomScaleNormal="85" workbookViewId="0">
      <selection activeCell="E16" sqref="E16"/>
    </sheetView>
  </sheetViews>
  <sheetFormatPr defaultRowHeight="15" x14ac:dyDescent="0.25"/>
  <cols>
    <col min="4" max="13" width="9.140625" customWidth="1"/>
    <col min="14" max="14" width="15.85546875" bestFit="1" customWidth="1"/>
    <col min="19" max="19" width="14.140625" hidden="1" customWidth="1"/>
    <col min="20" max="20" width="12" bestFit="1" customWidth="1"/>
    <col min="21" max="21" width="10.5703125" bestFit="1" customWidth="1"/>
    <col min="23" max="23" width="12.85546875" customWidth="1"/>
    <col min="24" max="24" width="15.5703125" customWidth="1"/>
    <col min="25" max="25" width="13.85546875" customWidth="1"/>
    <col min="29" max="29" width="16" customWidth="1"/>
    <col min="30" max="30" width="18" customWidth="1"/>
    <col min="31" max="31" width="13.28515625" customWidth="1"/>
  </cols>
  <sheetData>
    <row r="1" spans="1:26" ht="26.25" x14ac:dyDescent="0.25">
      <c r="A1" s="134" t="s">
        <v>350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0.625</v>
      </c>
      <c r="B3" s="65">
        <v>48</v>
      </c>
      <c r="C3" s="65">
        <v>96</v>
      </c>
      <c r="D3" s="66">
        <v>0.125</v>
      </c>
      <c r="E3" s="66">
        <v>7.4999999999999997E-2</v>
      </c>
      <c r="F3" s="66">
        <f>(A3+B3)*C3</f>
        <v>4668</v>
      </c>
      <c r="G3" s="66">
        <f>(A3+B3)/E3</f>
        <v>648.33333333333337</v>
      </c>
      <c r="H3" s="66">
        <f t="shared" ref="H3" si="0">C3/10</f>
        <v>9.6</v>
      </c>
      <c r="I3" s="66">
        <v>6</v>
      </c>
      <c r="J3" s="67">
        <f t="shared" ref="J3" si="1">H3*G3/60</f>
        <v>103.73333333333333</v>
      </c>
      <c r="K3" s="67">
        <f>J3+I3</f>
        <v>109.73333333333333</v>
      </c>
      <c r="L3" s="68">
        <v>225</v>
      </c>
      <c r="M3" s="69">
        <f>L3/60</f>
        <v>3.75</v>
      </c>
      <c r="N3" s="70">
        <f>ROUNDUP(K3*M3,1)</f>
        <v>411.5</v>
      </c>
      <c r="O3" s="56"/>
      <c r="P3" s="30">
        <v>0</v>
      </c>
      <c r="Q3" s="71">
        <v>0.02</v>
      </c>
      <c r="R3" s="32">
        <v>9</v>
      </c>
      <c r="S3" s="35">
        <f>N3*R3</f>
        <v>3703.5</v>
      </c>
      <c r="T3" s="33">
        <f>IF(S3&gt;Y3, S3, Y3)</f>
        <v>3703.5</v>
      </c>
      <c r="U3" s="33">
        <f>T3+P3</f>
        <v>3703.5</v>
      </c>
      <c r="V3" s="33">
        <f>ROUNDUP(U3*Q3,0)</f>
        <v>75</v>
      </c>
      <c r="W3" s="33">
        <f>U3+V3</f>
        <v>3778.5</v>
      </c>
      <c r="X3" s="34"/>
      <c r="Y3" s="57">
        <v>225</v>
      </c>
      <c r="Z3" s="36">
        <f>ROUNDDOWN(Y3/N3,0)</f>
        <v>0</v>
      </c>
    </row>
    <row r="5" spans="1:26" ht="26.25" x14ac:dyDescent="0.25">
      <c r="A5" s="134" t="s">
        <v>11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82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88"/>
    </row>
    <row r="6" spans="1:26" ht="30" x14ac:dyDescent="0.25">
      <c r="A6" s="111" t="s">
        <v>23</v>
      </c>
      <c r="B6" s="111" t="s">
        <v>8</v>
      </c>
      <c r="C6" s="111" t="s">
        <v>7</v>
      </c>
      <c r="D6" s="111" t="s">
        <v>2</v>
      </c>
      <c r="E6" s="111" t="s">
        <v>1</v>
      </c>
      <c r="F6" s="111" t="s">
        <v>6</v>
      </c>
      <c r="G6" s="111" t="s">
        <v>3</v>
      </c>
      <c r="H6" s="111" t="s">
        <v>21</v>
      </c>
      <c r="I6" s="111" t="s">
        <v>9</v>
      </c>
      <c r="J6" s="111" t="s">
        <v>4</v>
      </c>
      <c r="K6" s="111" t="s">
        <v>10</v>
      </c>
      <c r="L6" s="111" t="s">
        <v>24</v>
      </c>
      <c r="M6" s="111" t="s">
        <v>25</v>
      </c>
      <c r="N6" s="112" t="s">
        <v>5</v>
      </c>
      <c r="O6" s="39"/>
      <c r="P6" s="113" t="s">
        <v>27</v>
      </c>
      <c r="Q6" s="113" t="s">
        <v>38</v>
      </c>
      <c r="R6" s="114" t="s">
        <v>35</v>
      </c>
      <c r="S6" s="114" t="s">
        <v>204</v>
      </c>
      <c r="T6" s="114" t="s">
        <v>34</v>
      </c>
      <c r="U6" s="114" t="s">
        <v>30</v>
      </c>
      <c r="V6" s="113" t="s">
        <v>36</v>
      </c>
      <c r="W6" s="115" t="s">
        <v>31</v>
      </c>
      <c r="X6" s="113"/>
      <c r="Y6" s="113" t="s">
        <v>32</v>
      </c>
      <c r="Z6" s="114" t="s">
        <v>33</v>
      </c>
    </row>
    <row r="7" spans="1:26" x14ac:dyDescent="0.25">
      <c r="A7" s="65">
        <v>0.75</v>
      </c>
      <c r="B7" s="65">
        <v>10</v>
      </c>
      <c r="C7" s="65">
        <v>22.5</v>
      </c>
      <c r="D7" s="66">
        <v>0.125</v>
      </c>
      <c r="E7" s="66">
        <v>6.5000000000000002E-2</v>
      </c>
      <c r="F7" s="66">
        <f>(A7+B7)*C7</f>
        <v>241.875</v>
      </c>
      <c r="G7" s="66">
        <f>(A7+B7)/E7</f>
        <v>165.38461538461539</v>
      </c>
      <c r="H7" s="66">
        <f t="shared" ref="H7" si="2">C7/10</f>
        <v>2.25</v>
      </c>
      <c r="I7" s="66">
        <v>3</v>
      </c>
      <c r="J7" s="67">
        <f t="shared" ref="J7" si="3">H7*G7/60</f>
        <v>6.2019230769230775</v>
      </c>
      <c r="K7" s="67">
        <f>J7+I7</f>
        <v>9.2019230769230766</v>
      </c>
      <c r="L7" s="68">
        <v>225</v>
      </c>
      <c r="M7" s="69">
        <f>L7/60</f>
        <v>3.75</v>
      </c>
      <c r="N7" s="70">
        <f>ROUNDUP(K7*M7,1)</f>
        <v>34.6</v>
      </c>
      <c r="O7" s="56"/>
      <c r="P7" s="30">
        <v>125</v>
      </c>
      <c r="Q7" s="71">
        <v>0.02</v>
      </c>
      <c r="R7" s="32">
        <v>6</v>
      </c>
      <c r="S7" s="35">
        <f>N7*R7</f>
        <v>207.60000000000002</v>
      </c>
      <c r="T7" s="33">
        <f>IF(S7&gt;Y7, S7, Y7)</f>
        <v>225</v>
      </c>
      <c r="U7" s="33">
        <f>T7+P7</f>
        <v>350</v>
      </c>
      <c r="V7" s="33">
        <f>ROUNDUP(U7*Q7,0)</f>
        <v>7</v>
      </c>
      <c r="W7" s="33">
        <f>U7+V7</f>
        <v>357</v>
      </c>
      <c r="X7" s="34"/>
      <c r="Y7" s="57">
        <v>225</v>
      </c>
      <c r="Z7" s="36">
        <f>ROUNDDOWN(Y7/N7,0)</f>
        <v>6</v>
      </c>
    </row>
    <row r="8" spans="1:26" ht="26.25" x14ac:dyDescent="0.25">
      <c r="B8" s="168" t="s">
        <v>12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0"/>
      <c r="P8" s="61"/>
      <c r="Q8" s="62"/>
      <c r="R8" s="60"/>
      <c r="S8" s="60"/>
      <c r="T8" s="63"/>
      <c r="U8" s="63"/>
      <c r="V8" s="63"/>
      <c r="W8" s="63"/>
      <c r="X8" s="60"/>
      <c r="Y8" s="60"/>
      <c r="Z8" s="64"/>
    </row>
    <row r="9" spans="1:26" x14ac:dyDescent="0.25">
      <c r="B9" s="4" t="s">
        <v>13</v>
      </c>
      <c r="C9" s="4" t="s">
        <v>7</v>
      </c>
      <c r="D9" s="2" t="s">
        <v>2</v>
      </c>
      <c r="E9" s="4" t="s">
        <v>1</v>
      </c>
      <c r="F9" s="5" t="s">
        <v>20</v>
      </c>
      <c r="G9" s="4" t="s">
        <v>14</v>
      </c>
      <c r="H9" s="4" t="s">
        <v>15</v>
      </c>
      <c r="I9" s="4" t="s">
        <v>17</v>
      </c>
      <c r="J9" s="4" t="s">
        <v>16</v>
      </c>
      <c r="K9" s="4" t="s">
        <v>18</v>
      </c>
      <c r="L9" s="2" t="s">
        <v>24</v>
      </c>
      <c r="M9" s="2" t="s">
        <v>25</v>
      </c>
      <c r="N9" s="6" t="s">
        <v>19</v>
      </c>
      <c r="O9" s="40"/>
      <c r="P9" s="42" t="s">
        <v>27</v>
      </c>
      <c r="Q9" s="43" t="s">
        <v>38</v>
      </c>
      <c r="R9" s="49" t="s">
        <v>35</v>
      </c>
      <c r="S9" s="49" t="s">
        <v>204</v>
      </c>
      <c r="T9" s="52" t="s">
        <v>34</v>
      </c>
      <c r="U9" s="44" t="s">
        <v>30</v>
      </c>
      <c r="V9" s="53" t="s">
        <v>36</v>
      </c>
      <c r="W9" s="46" t="s">
        <v>37</v>
      </c>
      <c r="X9" s="21"/>
      <c r="Y9" s="37" t="s">
        <v>32</v>
      </c>
      <c r="Z9" s="37" t="s">
        <v>33</v>
      </c>
    </row>
    <row r="10" spans="1:26" x14ac:dyDescent="0.25">
      <c r="B10" s="14">
        <v>6</v>
      </c>
      <c r="C10" s="14">
        <v>6.125</v>
      </c>
      <c r="D10" s="66" t="s">
        <v>0</v>
      </c>
      <c r="E10" s="16">
        <v>6.5000000000000002E-2</v>
      </c>
      <c r="F10" s="16">
        <f>B10*3.14</f>
        <v>18.84</v>
      </c>
      <c r="G10" s="17">
        <f>F10/E10</f>
        <v>289.84615384615381</v>
      </c>
      <c r="H10" s="16">
        <f>C10/10</f>
        <v>0.61250000000000004</v>
      </c>
      <c r="I10" s="16">
        <v>3</v>
      </c>
      <c r="J10" s="19">
        <f>H10*G10/60</f>
        <v>2.9588461538461535</v>
      </c>
      <c r="K10" s="20">
        <f>J10+I10</f>
        <v>5.958846153846153</v>
      </c>
      <c r="L10" s="68">
        <v>225</v>
      </c>
      <c r="M10" s="69">
        <f>L10/60</f>
        <v>3.75</v>
      </c>
      <c r="N10" s="414">
        <f>ROUNDUP(K10*M10,1)</f>
        <v>22.400000000000002</v>
      </c>
      <c r="O10" s="56"/>
      <c r="P10" s="30">
        <v>125</v>
      </c>
      <c r="Q10" s="71">
        <v>0.02</v>
      </c>
      <c r="R10" s="32">
        <v>24</v>
      </c>
      <c r="S10" s="51">
        <f>N10*R10</f>
        <v>537.6</v>
      </c>
      <c r="T10" s="55">
        <f>IF(S10&gt;Y10, S10, Y10)</f>
        <v>537.6</v>
      </c>
      <c r="U10" s="33">
        <f>T10+P10</f>
        <v>662.6</v>
      </c>
      <c r="V10" s="33">
        <f>ROUNDUP(U10*Q10,0)</f>
        <v>14</v>
      </c>
      <c r="W10" s="33">
        <f t="shared" ref="W10" si="4">U10+V10</f>
        <v>676.6</v>
      </c>
      <c r="X10" s="56"/>
      <c r="Y10" s="58">
        <v>250</v>
      </c>
      <c r="Z10" s="47">
        <f>ROUNDDOWN(Y10/N10,0)</f>
        <v>11</v>
      </c>
    </row>
    <row r="11" spans="1:26" ht="18.7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4"/>
      <c r="P11" s="28"/>
      <c r="Q11" s="29"/>
      <c r="R11" s="21"/>
      <c r="S11" s="21"/>
      <c r="T11" s="27"/>
      <c r="U11" s="27"/>
      <c r="V11" s="27"/>
      <c r="W11" s="27"/>
      <c r="X11" s="25"/>
      <c r="Y11" s="21"/>
      <c r="Z11" s="21"/>
    </row>
    <row r="12" spans="1:26" x14ac:dyDescent="0.25">
      <c r="A12" s="1"/>
    </row>
    <row r="13" spans="1:26" ht="26.25" x14ac:dyDescent="0.25">
      <c r="A13" s="134" t="s">
        <v>147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82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88"/>
    </row>
    <row r="14" spans="1:26" ht="30" x14ac:dyDescent="0.25">
      <c r="A14" s="111" t="s">
        <v>23</v>
      </c>
      <c r="B14" s="111" t="s">
        <v>8</v>
      </c>
      <c r="C14" s="111" t="s">
        <v>7</v>
      </c>
      <c r="D14" s="111" t="s">
        <v>2</v>
      </c>
      <c r="E14" s="111" t="s">
        <v>1</v>
      </c>
      <c r="F14" s="111" t="s">
        <v>6</v>
      </c>
      <c r="G14" s="111" t="s">
        <v>3</v>
      </c>
      <c r="H14" s="111" t="s">
        <v>21</v>
      </c>
      <c r="I14" s="111" t="s">
        <v>9</v>
      </c>
      <c r="J14" s="111" t="s">
        <v>4</v>
      </c>
      <c r="K14" s="111" t="s">
        <v>10</v>
      </c>
      <c r="L14" s="111" t="s">
        <v>24</v>
      </c>
      <c r="M14" s="111" t="s">
        <v>25</v>
      </c>
      <c r="N14" s="112" t="s">
        <v>5</v>
      </c>
      <c r="O14" s="39"/>
      <c r="P14" s="113" t="s">
        <v>27</v>
      </c>
      <c r="Q14" s="113" t="s">
        <v>38</v>
      </c>
      <c r="R14" s="114" t="s">
        <v>35</v>
      </c>
      <c r="S14" s="114" t="s">
        <v>204</v>
      </c>
      <c r="T14" s="114" t="s">
        <v>34</v>
      </c>
      <c r="U14" s="114" t="s">
        <v>30</v>
      </c>
      <c r="V14" s="113" t="s">
        <v>36</v>
      </c>
      <c r="W14" s="115" t="s">
        <v>31</v>
      </c>
      <c r="X14" s="113"/>
      <c r="Y14" s="113" t="s">
        <v>32</v>
      </c>
      <c r="Z14" s="114" t="s">
        <v>33</v>
      </c>
    </row>
    <row r="15" spans="1:26" x14ac:dyDescent="0.25">
      <c r="A15" s="65">
        <v>0.625</v>
      </c>
      <c r="B15" s="65">
        <v>48</v>
      </c>
      <c r="C15" s="65">
        <v>96</v>
      </c>
      <c r="D15" s="66">
        <v>0.125</v>
      </c>
      <c r="E15" s="66">
        <v>6.5000000000000002E-2</v>
      </c>
      <c r="F15" s="66">
        <f>(A15+B15)*C15</f>
        <v>4668</v>
      </c>
      <c r="G15" s="66">
        <f>(A15+B15)/E15</f>
        <v>748.07692307692309</v>
      </c>
      <c r="H15" s="66">
        <f t="shared" ref="H15" si="5">C15/10</f>
        <v>9.6</v>
      </c>
      <c r="I15" s="66">
        <v>6</v>
      </c>
      <c r="J15" s="67">
        <f t="shared" ref="J15" si="6">H15*G15/60</f>
        <v>119.69230769230769</v>
      </c>
      <c r="K15" s="67">
        <f>J15+I15</f>
        <v>125.69230769230769</v>
      </c>
      <c r="L15" s="68">
        <v>250</v>
      </c>
      <c r="M15" s="69">
        <f>L15/60</f>
        <v>4.166666666666667</v>
      </c>
      <c r="N15" s="70">
        <f>ROUNDUP(K15*M15,1)</f>
        <v>523.80000000000007</v>
      </c>
      <c r="O15" s="56"/>
      <c r="P15" s="30">
        <v>0</v>
      </c>
      <c r="Q15" s="71">
        <v>0.02</v>
      </c>
      <c r="R15" s="32">
        <v>9</v>
      </c>
      <c r="S15" s="51">
        <f>N15*R15</f>
        <v>4714.2000000000007</v>
      </c>
      <c r="T15" s="55">
        <f>IF(S15&gt;Y15, S15, Y15)</f>
        <v>4714.2000000000007</v>
      </c>
      <c r="U15" s="33">
        <f>T15+P15</f>
        <v>4714.2000000000007</v>
      </c>
      <c r="V15" s="33">
        <f>ROUNDUP(U15*Q15,0)</f>
        <v>95</v>
      </c>
      <c r="W15" s="33">
        <f>U15+V15</f>
        <v>4809.2000000000007</v>
      </c>
      <c r="X15" s="34"/>
      <c r="Y15" s="57">
        <v>250</v>
      </c>
      <c r="Z15" s="36">
        <f>ROUNDDOWN(Y15/N15,0)</f>
        <v>0</v>
      </c>
    </row>
    <row r="16" spans="1:26" ht="26.25" x14ac:dyDescent="0.25">
      <c r="A16" s="1"/>
      <c r="B16" s="168" t="s">
        <v>148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0"/>
      <c r="P16" s="61"/>
      <c r="Q16" s="62"/>
      <c r="R16" s="60"/>
      <c r="S16" s="60"/>
      <c r="T16" s="63"/>
      <c r="U16" s="63"/>
      <c r="V16" s="63"/>
      <c r="W16" s="63"/>
      <c r="X16" s="60"/>
      <c r="Y16" s="60"/>
      <c r="Z16" s="64"/>
    </row>
    <row r="17" spans="1:30" x14ac:dyDescent="0.25">
      <c r="A17" s="1"/>
      <c r="B17" s="4" t="s">
        <v>13</v>
      </c>
      <c r="C17" s="4" t="s">
        <v>7</v>
      </c>
      <c r="D17" s="2" t="s">
        <v>2</v>
      </c>
      <c r="E17" s="4" t="s">
        <v>1</v>
      </c>
      <c r="F17" s="5" t="s">
        <v>20</v>
      </c>
      <c r="G17" s="4" t="s">
        <v>14</v>
      </c>
      <c r="H17" s="4" t="s">
        <v>15</v>
      </c>
      <c r="I17" s="4" t="s">
        <v>17</v>
      </c>
      <c r="J17" s="4" t="s">
        <v>16</v>
      </c>
      <c r="K17" s="4" t="s">
        <v>18</v>
      </c>
      <c r="L17" s="2" t="s">
        <v>24</v>
      </c>
      <c r="M17" s="2" t="s">
        <v>25</v>
      </c>
      <c r="N17" s="6" t="s">
        <v>19</v>
      </c>
      <c r="O17" s="40"/>
      <c r="P17" s="42" t="s">
        <v>27</v>
      </c>
      <c r="Q17" s="43" t="s">
        <v>38</v>
      </c>
      <c r="R17" s="49" t="s">
        <v>35</v>
      </c>
      <c r="S17" s="49" t="s">
        <v>204</v>
      </c>
      <c r="T17" s="52" t="s">
        <v>34</v>
      </c>
      <c r="U17" s="44" t="s">
        <v>30</v>
      </c>
      <c r="V17" s="53" t="s">
        <v>36</v>
      </c>
      <c r="W17" s="46" t="s">
        <v>37</v>
      </c>
      <c r="X17" s="21"/>
      <c r="Y17" s="37" t="s">
        <v>32</v>
      </c>
      <c r="Z17" s="37" t="s">
        <v>33</v>
      </c>
    </row>
    <row r="18" spans="1:30" x14ac:dyDescent="0.25">
      <c r="A18" s="1"/>
      <c r="B18" s="14">
        <v>3</v>
      </c>
      <c r="C18" s="14">
        <v>0.875</v>
      </c>
      <c r="D18" s="66" t="s">
        <v>0</v>
      </c>
      <c r="E18" s="16">
        <v>6.5000000000000002E-2</v>
      </c>
      <c r="F18" s="16">
        <f>B18*3.14</f>
        <v>9.42</v>
      </c>
      <c r="G18" s="17">
        <f>F18/E18</f>
        <v>144.92307692307691</v>
      </c>
      <c r="H18" s="16">
        <f>C18/10</f>
        <v>8.7499999999999994E-2</v>
      </c>
      <c r="I18" s="16">
        <v>3</v>
      </c>
      <c r="J18" s="19">
        <f>H18*G18/60</f>
        <v>0.21134615384615382</v>
      </c>
      <c r="K18" s="20">
        <f>J18+I18</f>
        <v>3.2113461538461539</v>
      </c>
      <c r="L18" s="68">
        <v>250</v>
      </c>
      <c r="M18" s="69">
        <f>L18/60</f>
        <v>4.166666666666667</v>
      </c>
      <c r="N18" s="18">
        <f>ROUNDUP(K18*M18,1)</f>
        <v>13.4</v>
      </c>
      <c r="O18" s="56"/>
      <c r="P18" s="30">
        <v>125</v>
      </c>
      <c r="Q18" s="71">
        <v>0.02</v>
      </c>
      <c r="R18" s="32">
        <v>52</v>
      </c>
      <c r="S18" s="51">
        <f>N18*R18</f>
        <v>696.80000000000007</v>
      </c>
      <c r="T18" s="55">
        <f>IF(S18&gt;Y18, S18, Y18)</f>
        <v>696.80000000000007</v>
      </c>
      <c r="U18" s="33">
        <f>T18+P18</f>
        <v>821.80000000000007</v>
      </c>
      <c r="V18" s="33">
        <f>ROUNDUP(U18*Q18,0)</f>
        <v>17</v>
      </c>
      <c r="W18" s="33">
        <f t="shared" ref="W18" si="7">U18+V18</f>
        <v>838.80000000000007</v>
      </c>
      <c r="X18" s="56"/>
      <c r="Y18" s="58">
        <v>250</v>
      </c>
      <c r="Z18" s="47">
        <f>ROUNDDOWN(Y18/N18,0)</f>
        <v>18</v>
      </c>
    </row>
    <row r="20" spans="1:30" ht="26.25" x14ac:dyDescent="0.25">
      <c r="A20" s="134" t="s">
        <v>202</v>
      </c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82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88"/>
    </row>
    <row r="21" spans="1:30" ht="30" x14ac:dyDescent="0.25">
      <c r="A21" s="111" t="s">
        <v>23</v>
      </c>
      <c r="B21" s="111" t="s">
        <v>8</v>
      </c>
      <c r="C21" s="111" t="s">
        <v>7</v>
      </c>
      <c r="D21" s="111" t="s">
        <v>2</v>
      </c>
      <c r="E21" s="111" t="s">
        <v>1</v>
      </c>
      <c r="F21" s="111" t="s">
        <v>6</v>
      </c>
      <c r="G21" s="111" t="s">
        <v>3</v>
      </c>
      <c r="H21" s="111" t="s">
        <v>21</v>
      </c>
      <c r="I21" s="111" t="s">
        <v>9</v>
      </c>
      <c r="J21" s="111" t="s">
        <v>4</v>
      </c>
      <c r="K21" s="111" t="s">
        <v>10</v>
      </c>
      <c r="L21" s="111" t="s">
        <v>24</v>
      </c>
      <c r="M21" s="111" t="s">
        <v>25</v>
      </c>
      <c r="N21" s="112" t="s">
        <v>5</v>
      </c>
      <c r="O21" s="39"/>
      <c r="P21" s="113" t="s">
        <v>27</v>
      </c>
      <c r="Q21" s="113" t="s">
        <v>38</v>
      </c>
      <c r="R21" s="114" t="s">
        <v>35</v>
      </c>
      <c r="S21" s="114" t="s">
        <v>204</v>
      </c>
      <c r="T21" s="114" t="s">
        <v>34</v>
      </c>
      <c r="U21" s="114" t="s">
        <v>30</v>
      </c>
      <c r="V21" s="113" t="s">
        <v>36</v>
      </c>
      <c r="W21" s="115" t="s">
        <v>31</v>
      </c>
      <c r="X21" s="113"/>
      <c r="Y21" s="113" t="s">
        <v>32</v>
      </c>
      <c r="Z21" s="114" t="s">
        <v>33</v>
      </c>
    </row>
    <row r="22" spans="1:30" x14ac:dyDescent="0.25">
      <c r="A22" s="65">
        <v>0.25</v>
      </c>
      <c r="B22" s="65">
        <v>48</v>
      </c>
      <c r="C22" s="65">
        <v>144</v>
      </c>
      <c r="D22" s="66">
        <v>0.125</v>
      </c>
      <c r="E22" s="66">
        <v>0.1</v>
      </c>
      <c r="F22" s="66">
        <f>(A22+B22)*C22</f>
        <v>6948</v>
      </c>
      <c r="G22" s="66">
        <f>(A22+B22)/E22</f>
        <v>482.5</v>
      </c>
      <c r="H22" s="66">
        <f t="shared" ref="H22" si="8">C22/10</f>
        <v>14.4</v>
      </c>
      <c r="I22" s="66">
        <v>8</v>
      </c>
      <c r="J22" s="67">
        <f t="shared" ref="J22" si="9">H22*G22/60</f>
        <v>115.8</v>
      </c>
      <c r="K22" s="67">
        <f>J22+I22</f>
        <v>123.8</v>
      </c>
      <c r="L22" s="68">
        <v>225</v>
      </c>
      <c r="M22" s="69">
        <f>L22/60</f>
        <v>3.75</v>
      </c>
      <c r="N22" s="70">
        <f>ROUNDUP(K22*M22*2,1)</f>
        <v>928.5</v>
      </c>
      <c r="O22" s="56"/>
      <c r="P22" s="30">
        <v>125</v>
      </c>
      <c r="Q22" s="71">
        <v>0.02</v>
      </c>
      <c r="R22" s="32">
        <v>50</v>
      </c>
      <c r="S22" s="51">
        <f>N22*R22</f>
        <v>46425</v>
      </c>
      <c r="T22" s="55">
        <f>IF(S22&gt;Y22, S22, Y22)</f>
        <v>46425</v>
      </c>
      <c r="U22" s="33">
        <f>T22+P22</f>
        <v>46550</v>
      </c>
      <c r="V22" s="33">
        <f>ROUNDUP(U22*Q22,0)</f>
        <v>931</v>
      </c>
      <c r="W22" s="33">
        <f>U22+V22</f>
        <v>47481</v>
      </c>
      <c r="X22" s="34"/>
      <c r="Y22" s="57">
        <v>250</v>
      </c>
      <c r="Z22" s="36">
        <f>ROUNDDOWN(Y22/N22,0)</f>
        <v>0</v>
      </c>
    </row>
    <row r="23" spans="1:30" ht="21" x14ac:dyDescent="0.35">
      <c r="A23" s="171"/>
      <c r="B23" s="172" t="s">
        <v>119</v>
      </c>
      <c r="C23" s="173"/>
      <c r="I23" s="171"/>
      <c r="J23" s="198"/>
      <c r="K23" s="198"/>
      <c r="L23" s="198"/>
      <c r="M23" s="198"/>
      <c r="N23" s="172" t="s">
        <v>149</v>
      </c>
      <c r="O23" s="198"/>
      <c r="P23" s="198"/>
      <c r="Q23" s="198"/>
      <c r="R23" s="173"/>
    </row>
    <row r="24" spans="1:30" ht="24" thickBot="1" x14ac:dyDescent="0.4">
      <c r="A24" s="174" t="s">
        <v>32</v>
      </c>
      <c r="C24" s="175">
        <v>225</v>
      </c>
      <c r="N24" s="174" t="s">
        <v>150</v>
      </c>
      <c r="V24" s="541" t="s">
        <v>348</v>
      </c>
      <c r="W24" s="541"/>
      <c r="X24" s="541"/>
      <c r="Y24" s="541"/>
      <c r="AA24" s="541" t="s">
        <v>362</v>
      </c>
      <c r="AB24" s="541"/>
      <c r="AC24" s="541"/>
      <c r="AD24" s="541"/>
    </row>
    <row r="25" spans="1:30" ht="16.5" thickTop="1" x14ac:dyDescent="0.25">
      <c r="A25" s="174" t="s">
        <v>120</v>
      </c>
      <c r="C25" s="175">
        <v>125</v>
      </c>
      <c r="N25" s="174" t="s">
        <v>151</v>
      </c>
      <c r="V25" s="362" t="s">
        <v>207</v>
      </c>
      <c r="W25" s="363"/>
      <c r="X25" s="352"/>
      <c r="Y25" s="364">
        <f>N7</f>
        <v>34.6</v>
      </c>
      <c r="AA25" s="362" t="s">
        <v>413</v>
      </c>
      <c r="AB25" s="363"/>
      <c r="AC25" s="352"/>
      <c r="AD25" s="364">
        <f>N3</f>
        <v>411.5</v>
      </c>
    </row>
    <row r="26" spans="1:30" ht="15.75" x14ac:dyDescent="0.25">
      <c r="A26" s="174" t="s">
        <v>36</v>
      </c>
      <c r="C26" s="200" t="s">
        <v>122</v>
      </c>
      <c r="N26" s="174"/>
      <c r="V26" s="365" t="s">
        <v>208</v>
      </c>
      <c r="W26" s="1"/>
      <c r="Y26" s="366">
        <f>R7</f>
        <v>6</v>
      </c>
      <c r="AA26" s="365" t="s">
        <v>208</v>
      </c>
      <c r="AB26" s="1"/>
      <c r="AD26" s="366">
        <f>R3</f>
        <v>9</v>
      </c>
    </row>
    <row r="27" spans="1:30" ht="15.75" x14ac:dyDescent="0.25">
      <c r="A27" s="174" t="s">
        <v>121</v>
      </c>
      <c r="C27" s="176" t="s">
        <v>123</v>
      </c>
      <c r="N27" s="174" t="s">
        <v>152</v>
      </c>
      <c r="V27" s="365" t="s">
        <v>209</v>
      </c>
      <c r="W27" s="1"/>
      <c r="Y27" s="367">
        <f>T7</f>
        <v>225</v>
      </c>
      <c r="AA27" s="365" t="s">
        <v>209</v>
      </c>
      <c r="AB27" s="1"/>
      <c r="AD27" s="367">
        <f>S3</f>
        <v>3703.5</v>
      </c>
    </row>
    <row r="28" spans="1:30" ht="15.75" x14ac:dyDescent="0.25">
      <c r="A28" s="177" t="s">
        <v>124</v>
      </c>
      <c r="B28" s="178"/>
      <c r="C28" s="179">
        <v>100</v>
      </c>
      <c r="N28" s="174" t="s">
        <v>153</v>
      </c>
      <c r="V28" s="365" t="s">
        <v>210</v>
      </c>
      <c r="W28" s="1"/>
      <c r="Y28" s="367">
        <f>V7</f>
        <v>7</v>
      </c>
      <c r="AA28" s="365" t="s">
        <v>210</v>
      </c>
      <c r="AB28" s="1"/>
      <c r="AD28" s="367">
        <f>V3</f>
        <v>75</v>
      </c>
    </row>
    <row r="29" spans="1:30" ht="15.75" x14ac:dyDescent="0.25">
      <c r="N29" s="174"/>
      <c r="V29" s="365" t="s">
        <v>216</v>
      </c>
      <c r="Y29" s="368">
        <f>P7</f>
        <v>125</v>
      </c>
      <c r="AA29" s="365" t="s">
        <v>216</v>
      </c>
      <c r="AD29" s="368">
        <f>P3</f>
        <v>0</v>
      </c>
    </row>
    <row r="30" spans="1:30" ht="15.75" x14ac:dyDescent="0.25">
      <c r="N30" s="174" t="s">
        <v>154</v>
      </c>
      <c r="V30" s="365" t="s">
        <v>211</v>
      </c>
      <c r="W30" s="1"/>
      <c r="Y30" s="367">
        <f>W7</f>
        <v>357</v>
      </c>
      <c r="AA30" s="365" t="s">
        <v>211</v>
      </c>
      <c r="AB30" s="1"/>
      <c r="AD30" s="367">
        <f>W3</f>
        <v>3778.5</v>
      </c>
    </row>
    <row r="31" spans="1:30" ht="16.5" thickBot="1" x14ac:dyDescent="0.3">
      <c r="N31" s="177" t="s">
        <v>155</v>
      </c>
      <c r="O31" s="178"/>
      <c r="P31" s="178"/>
      <c r="Q31" s="178"/>
      <c r="R31" s="178"/>
      <c r="V31" s="369" t="s">
        <v>346</v>
      </c>
      <c r="W31" s="354"/>
      <c r="X31" s="539" t="s">
        <v>347</v>
      </c>
      <c r="Y31" s="540"/>
      <c r="AA31" s="369" t="s">
        <v>346</v>
      </c>
      <c r="AB31" s="354"/>
      <c r="AC31" s="539" t="s">
        <v>347</v>
      </c>
      <c r="AD31" s="540"/>
    </row>
    <row r="32" spans="1:30" ht="15.75" thickTop="1" x14ac:dyDescent="0.25">
      <c r="X32" s="1"/>
      <c r="Y32" s="1"/>
    </row>
    <row r="33" spans="22:30" ht="24" thickBot="1" x14ac:dyDescent="0.4">
      <c r="V33" s="541" t="s">
        <v>284</v>
      </c>
      <c r="W33" s="541"/>
      <c r="X33" s="541"/>
      <c r="Y33" s="541"/>
      <c r="AA33" s="541" t="s">
        <v>433</v>
      </c>
      <c r="AB33" s="541"/>
      <c r="AC33" s="541"/>
      <c r="AD33" s="541"/>
    </row>
    <row r="34" spans="22:30" ht="16.5" thickTop="1" x14ac:dyDescent="0.25">
      <c r="V34" s="362" t="s">
        <v>207</v>
      </c>
      <c r="W34" s="363"/>
      <c r="X34" s="352"/>
      <c r="Y34" s="364">
        <f>N10</f>
        <v>22.400000000000002</v>
      </c>
      <c r="AA34" s="362" t="s">
        <v>413</v>
      </c>
      <c r="AB34" s="363"/>
      <c r="AC34" s="352"/>
      <c r="AD34" s="364">
        <f>N22</f>
        <v>928.5</v>
      </c>
    </row>
    <row r="35" spans="22:30" ht="15.75" x14ac:dyDescent="0.25">
      <c r="V35" s="365" t="s">
        <v>208</v>
      </c>
      <c r="W35" s="1"/>
      <c r="Y35" s="366">
        <f>R10</f>
        <v>24</v>
      </c>
      <c r="AA35" s="365" t="s">
        <v>208</v>
      </c>
      <c r="AB35" s="1"/>
      <c r="AD35" s="366">
        <f>R22</f>
        <v>50</v>
      </c>
    </row>
    <row r="36" spans="22:30" ht="15.75" x14ac:dyDescent="0.25">
      <c r="V36" s="365" t="s">
        <v>209</v>
      </c>
      <c r="W36" s="1"/>
      <c r="Y36" s="367">
        <f>T10</f>
        <v>537.6</v>
      </c>
      <c r="AA36" s="365" t="s">
        <v>209</v>
      </c>
      <c r="AB36" s="1"/>
      <c r="AD36" s="367">
        <f>T22</f>
        <v>46425</v>
      </c>
    </row>
    <row r="37" spans="22:30" ht="15.75" x14ac:dyDescent="0.25">
      <c r="V37" s="365" t="s">
        <v>210</v>
      </c>
      <c r="W37" s="1"/>
      <c r="Y37" s="367">
        <f>V10</f>
        <v>14</v>
      </c>
      <c r="AA37" s="365" t="s">
        <v>210</v>
      </c>
      <c r="AB37" s="1"/>
      <c r="AD37" s="367">
        <f>V22</f>
        <v>931</v>
      </c>
    </row>
    <row r="38" spans="22:30" ht="15.75" x14ac:dyDescent="0.25">
      <c r="V38" s="365" t="s">
        <v>216</v>
      </c>
      <c r="Y38" s="368">
        <f>P10</f>
        <v>125</v>
      </c>
      <c r="AA38" s="365" t="s">
        <v>216</v>
      </c>
      <c r="AD38" s="368">
        <f>P22</f>
        <v>125</v>
      </c>
    </row>
    <row r="39" spans="22:30" ht="15.75" x14ac:dyDescent="0.25">
      <c r="V39" s="365" t="s">
        <v>211</v>
      </c>
      <c r="W39" s="1"/>
      <c r="Y39" s="367">
        <f>W10</f>
        <v>676.6</v>
      </c>
      <c r="AA39" s="365" t="s">
        <v>211</v>
      </c>
      <c r="AB39" s="1"/>
      <c r="AD39" s="367">
        <f>W22</f>
        <v>47481</v>
      </c>
    </row>
    <row r="40" spans="22:30" ht="16.5" thickBot="1" x14ac:dyDescent="0.3">
      <c r="V40" s="369" t="s">
        <v>346</v>
      </c>
      <c r="W40" s="354"/>
      <c r="X40" s="539" t="s">
        <v>347</v>
      </c>
      <c r="Y40" s="540"/>
      <c r="AA40" s="369" t="s">
        <v>346</v>
      </c>
      <c r="AB40" s="354"/>
      <c r="AC40" s="539" t="s">
        <v>347</v>
      </c>
      <c r="AD40" s="540"/>
    </row>
    <row r="41" spans="22:30" ht="15.75" thickTop="1" x14ac:dyDescent="0.25"/>
  </sheetData>
  <mergeCells count="8">
    <mergeCell ref="AA33:AD33"/>
    <mergeCell ref="AC40:AD40"/>
    <mergeCell ref="V24:Y24"/>
    <mergeCell ref="X31:Y31"/>
    <mergeCell ref="V33:Y33"/>
    <mergeCell ref="X40:Y40"/>
    <mergeCell ref="AA24:AD24"/>
    <mergeCell ref="AC31:AD31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C17F-22FA-4AEB-A956-675289F0CEF3}">
  <sheetPr>
    <tabColor rgb="FF92D050"/>
  </sheetPr>
  <dimension ref="A1:AD37"/>
  <sheetViews>
    <sheetView workbookViewId="0">
      <selection activeCell="A7" sqref="A7"/>
    </sheetView>
  </sheetViews>
  <sheetFormatPr defaultRowHeight="15" x14ac:dyDescent="0.25"/>
  <cols>
    <col min="4" max="13" width="9.140625" hidden="1" customWidth="1"/>
    <col min="17" max="17" width="0" hidden="1" customWidth="1"/>
    <col min="19" max="19" width="0" hidden="1" customWidth="1"/>
    <col min="20" max="20" width="11.140625" customWidth="1"/>
    <col min="21" max="21" width="11.7109375" customWidth="1"/>
    <col min="24" max="24" width="15.7109375" customWidth="1"/>
    <col min="25" max="25" width="22" customWidth="1"/>
    <col min="29" max="29" width="14.5703125" customWidth="1"/>
    <col min="30" max="30" width="18.2851562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0.25</v>
      </c>
      <c r="B3" s="65">
        <v>16</v>
      </c>
      <c r="C3" s="65">
        <v>16.25</v>
      </c>
      <c r="D3" s="66">
        <v>0.125</v>
      </c>
      <c r="E3" s="66">
        <v>0.1</v>
      </c>
      <c r="F3" s="66">
        <f>(A3+B3)*C3</f>
        <v>264.0625</v>
      </c>
      <c r="G3" s="66">
        <f>(A3+B3)/E3</f>
        <v>162.5</v>
      </c>
      <c r="H3" s="66">
        <f t="shared" ref="H3" si="0">C3/10</f>
        <v>1.625</v>
      </c>
      <c r="I3" s="66">
        <v>3.5</v>
      </c>
      <c r="J3" s="67">
        <f t="shared" ref="J3" si="1">H3*G3/60</f>
        <v>4.401041666666667</v>
      </c>
      <c r="K3" s="67">
        <f>J3+I3</f>
        <v>7.901041666666667</v>
      </c>
      <c r="L3" s="68">
        <v>250</v>
      </c>
      <c r="M3" s="69">
        <f>L3/60</f>
        <v>4.166666666666667</v>
      </c>
      <c r="N3" s="70">
        <f>ROUNDUP(K3*M3,1)</f>
        <v>33</v>
      </c>
      <c r="O3" s="56"/>
      <c r="P3" s="30">
        <v>0</v>
      </c>
      <c r="Q3" s="71">
        <v>0.02</v>
      </c>
      <c r="R3" s="32">
        <v>5</v>
      </c>
      <c r="S3" s="35">
        <f>N3*R3</f>
        <v>165</v>
      </c>
      <c r="T3" s="33">
        <f>IF(S3&gt;Y3,S3,Y3)</f>
        <v>250</v>
      </c>
      <c r="U3" s="33">
        <f>T3+P3</f>
        <v>250</v>
      </c>
      <c r="V3" s="33">
        <f>ROUNDUP(U3*Q3,0)</f>
        <v>5</v>
      </c>
      <c r="W3" s="33">
        <f>U3+V3</f>
        <v>255</v>
      </c>
      <c r="X3" s="34"/>
      <c r="Y3" s="57">
        <v>250</v>
      </c>
      <c r="Z3" s="36">
        <f>ROUNDDOWN(Y3/N3,0)</f>
        <v>7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1.25</v>
      </c>
      <c r="B6" s="65">
        <v>21</v>
      </c>
      <c r="C6" s="65">
        <v>8</v>
      </c>
      <c r="D6" s="66">
        <v>0.125</v>
      </c>
      <c r="E6" s="66">
        <v>4.4999999999999998E-2</v>
      </c>
      <c r="F6" s="66">
        <f>(A6+B6)*C6</f>
        <v>178</v>
      </c>
      <c r="G6" s="66">
        <f>(A6+B6)/E6</f>
        <v>494.44444444444446</v>
      </c>
      <c r="H6" s="66">
        <f t="shared" ref="H6" si="2">C6/10</f>
        <v>0.8</v>
      </c>
      <c r="I6" s="66">
        <v>3.5</v>
      </c>
      <c r="J6" s="67">
        <f t="shared" ref="J6" si="3">H6*G6/60</f>
        <v>6.5925925925925934</v>
      </c>
      <c r="K6" s="67">
        <f>J6+I6</f>
        <v>10.092592592592593</v>
      </c>
      <c r="L6" s="68">
        <v>250</v>
      </c>
      <c r="M6" s="69">
        <f>L6/60</f>
        <v>4.166666666666667</v>
      </c>
      <c r="N6" s="70">
        <f>ROUNDUP(K6*M6,1)</f>
        <v>42.1</v>
      </c>
      <c r="O6" s="56"/>
      <c r="P6" s="30">
        <v>125</v>
      </c>
      <c r="Q6" s="71">
        <v>0.02</v>
      </c>
      <c r="R6" s="32">
        <v>5</v>
      </c>
      <c r="S6" s="35">
        <f>N6*R6</f>
        <v>210.5</v>
      </c>
      <c r="T6" s="33">
        <f>IF(S6&gt;Y6,S6,Y6)</f>
        <v>250</v>
      </c>
      <c r="U6" s="33">
        <f>T6+P6</f>
        <v>375</v>
      </c>
      <c r="V6" s="33">
        <f>ROUNDUP(U6*Q6,0)</f>
        <v>8</v>
      </c>
      <c r="W6" s="33">
        <f>U6+V6</f>
        <v>383</v>
      </c>
      <c r="X6" s="34"/>
      <c r="Y6" s="57">
        <v>250</v>
      </c>
      <c r="Z6" s="36">
        <f>ROUNDDOWN(Y6/N6,0)</f>
        <v>5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15.36</v>
      </c>
      <c r="C9" s="14">
        <v>4</v>
      </c>
      <c r="D9" s="66" t="s">
        <v>0</v>
      </c>
      <c r="E9" s="16">
        <v>4.4999999999999998E-2</v>
      </c>
      <c r="F9" s="16">
        <f>B9*3.14</f>
        <v>48.230400000000003</v>
      </c>
      <c r="G9" s="17">
        <f>F9/E9</f>
        <v>1071.7866666666669</v>
      </c>
      <c r="H9" s="16">
        <f>C9/10</f>
        <v>0.4</v>
      </c>
      <c r="I9" s="16">
        <v>2</v>
      </c>
      <c r="J9" s="19">
        <f>H9*G9/60</f>
        <v>7.1452444444444456</v>
      </c>
      <c r="K9" s="20">
        <f>J9+I9</f>
        <v>9.1452444444444456</v>
      </c>
      <c r="L9" s="68">
        <v>250</v>
      </c>
      <c r="M9" s="69">
        <f>L9/60</f>
        <v>4.166666666666667</v>
      </c>
      <c r="N9" s="18">
        <f>ROUNDUP(K9*M9,1)</f>
        <v>38.200000000000003</v>
      </c>
      <c r="O9" s="56"/>
      <c r="P9" s="30">
        <v>125</v>
      </c>
      <c r="Q9" s="71">
        <v>0.02</v>
      </c>
      <c r="R9" s="32">
        <v>16</v>
      </c>
      <c r="S9" s="35">
        <f>N9*R9</f>
        <v>611.20000000000005</v>
      </c>
      <c r="T9" s="33">
        <f>IF(S9&gt;Y9,S9,Y9)</f>
        <v>611.20000000000005</v>
      </c>
      <c r="U9" s="33">
        <f>T9+P9</f>
        <v>736.2</v>
      </c>
      <c r="V9" s="33">
        <f>ROUNDUP(U9*Q9,0)</f>
        <v>15</v>
      </c>
      <c r="W9" s="33">
        <f t="shared" ref="W9" si="4">U9+V9</f>
        <v>751.2</v>
      </c>
      <c r="X9" s="56"/>
      <c r="Y9" s="58">
        <v>250</v>
      </c>
      <c r="Z9" s="47">
        <f>ROUNDDOWN(Y9/N9,0)</f>
        <v>6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3.5</v>
      </c>
      <c r="J14" s="67">
        <f t="shared" ref="J14" si="6">H14*G14/60</f>
        <v>0.1111111111111111</v>
      </c>
      <c r="K14" s="67">
        <f>J14+I14</f>
        <v>3.6111111111111112</v>
      </c>
      <c r="L14" s="68">
        <v>275</v>
      </c>
      <c r="M14" s="69">
        <f>L14/60</f>
        <v>4.583333333333333</v>
      </c>
      <c r="N14" s="70">
        <f>ROUNDUP(K14*M14,1)</f>
        <v>16.600000000000001</v>
      </c>
      <c r="O14" s="56"/>
      <c r="P14" s="30">
        <v>125</v>
      </c>
      <c r="Q14" s="71">
        <v>0.02</v>
      </c>
      <c r="R14" s="32">
        <v>50</v>
      </c>
      <c r="S14" s="35">
        <f>N14*R14</f>
        <v>830.00000000000011</v>
      </c>
      <c r="T14" s="33">
        <f>IF(S14&gt;Y14,S14,Y14)</f>
        <v>830.00000000000011</v>
      </c>
      <c r="U14" s="33">
        <f>T14+P14</f>
        <v>955.00000000000011</v>
      </c>
      <c r="V14" s="33">
        <f>ROUNDUP(U14*Q14,0)</f>
        <v>20</v>
      </c>
      <c r="W14" s="33">
        <f>U14+V14</f>
        <v>975.00000000000011</v>
      </c>
      <c r="X14" s="34"/>
      <c r="Y14" s="57">
        <v>275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A17" s="1"/>
      <c r="B17" s="14">
        <v>5.52</v>
      </c>
      <c r="C17" s="14">
        <v>63</v>
      </c>
      <c r="D17" s="66" t="s">
        <v>0</v>
      </c>
      <c r="E17" s="16">
        <v>4.4999999999999998E-2</v>
      </c>
      <c r="F17" s="16">
        <f>B17*3.14</f>
        <v>17.332799999999999</v>
      </c>
      <c r="G17" s="17">
        <f>F17/E17</f>
        <v>385.17333333333335</v>
      </c>
      <c r="H17" s="16">
        <f>C17/10</f>
        <v>6.3</v>
      </c>
      <c r="I17" s="16">
        <v>4</v>
      </c>
      <c r="J17" s="19">
        <f>H17*G17/60</f>
        <v>40.443200000000004</v>
      </c>
      <c r="K17" s="20">
        <f>J17+I17</f>
        <v>44.443200000000004</v>
      </c>
      <c r="L17" s="68">
        <v>275</v>
      </c>
      <c r="M17" s="69">
        <f>L17/60</f>
        <v>4.583333333333333</v>
      </c>
      <c r="N17" s="18">
        <f>ROUNDUP(K17*M17,1)</f>
        <v>203.7</v>
      </c>
      <c r="O17" s="56"/>
      <c r="P17" s="30">
        <v>125</v>
      </c>
      <c r="Q17" s="71">
        <v>0.02</v>
      </c>
      <c r="R17" s="32">
        <v>1</v>
      </c>
      <c r="S17" s="35">
        <f>N17*R17</f>
        <v>203.7</v>
      </c>
      <c r="T17" s="33">
        <f>IF(S17&gt;Y17,S17,Y17)</f>
        <v>275</v>
      </c>
      <c r="U17" s="33">
        <f>T17+P17</f>
        <v>400</v>
      </c>
      <c r="V17" s="33">
        <f>ROUNDUP(U17*Q17,0)</f>
        <v>8</v>
      </c>
      <c r="W17" s="33">
        <f t="shared" ref="W17" si="7">U17+V17</f>
        <v>408</v>
      </c>
      <c r="X17" s="56"/>
      <c r="Y17" s="58">
        <v>275</v>
      </c>
      <c r="Z17" s="47">
        <f>ROUNDDOWN(Y17/N17,0)</f>
        <v>1</v>
      </c>
    </row>
    <row r="19" spans="1:30" ht="15.75" thickBot="1" x14ac:dyDescent="0.3"/>
    <row r="20" spans="1:30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436" t="s">
        <v>348</v>
      </c>
      <c r="W20" s="436"/>
      <c r="X20" s="436"/>
      <c r="Y20" s="436"/>
      <c r="Z20" s="1"/>
      <c r="AA20" s="460" t="s">
        <v>362</v>
      </c>
      <c r="AB20" s="461"/>
      <c r="AC20" s="461"/>
      <c r="AD20" s="461"/>
    </row>
    <row r="21" spans="1:30" ht="16.5" thickTop="1" x14ac:dyDescent="0.25">
      <c r="A21" s="373" t="s">
        <v>32</v>
      </c>
      <c r="C21" s="376">
        <v>250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42.1</v>
      </c>
      <c r="Z21" s="1"/>
      <c r="AA21" s="462" t="s">
        <v>207</v>
      </c>
      <c r="AB21" s="463"/>
      <c r="AC21" s="383"/>
      <c r="AD21" s="470">
        <f>N3</f>
        <v>33</v>
      </c>
    </row>
    <row r="22" spans="1:30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5</v>
      </c>
      <c r="Z22" s="1"/>
      <c r="AA22" s="464" t="s">
        <v>208</v>
      </c>
      <c r="AB22" s="1"/>
      <c r="AD22" s="471">
        <f>R3</f>
        <v>5</v>
      </c>
    </row>
    <row r="23" spans="1:30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250</v>
      </c>
      <c r="Z23" s="1"/>
      <c r="AA23" s="464" t="s">
        <v>209</v>
      </c>
      <c r="AB23" s="1"/>
      <c r="AD23" s="469">
        <f>T3</f>
        <v>250</v>
      </c>
    </row>
    <row r="24" spans="1:30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8</v>
      </c>
      <c r="Z24" s="1"/>
      <c r="AA24" s="464" t="s">
        <v>210</v>
      </c>
      <c r="AB24" s="1"/>
      <c r="AD24" s="469">
        <f>V3</f>
        <v>5</v>
      </c>
    </row>
    <row r="25" spans="1:30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  <c r="AA25" s="464" t="s">
        <v>216</v>
      </c>
      <c r="AD25" s="465">
        <f>-P3</f>
        <v>0</v>
      </c>
    </row>
    <row r="26" spans="1:30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383</v>
      </c>
      <c r="Z26" s="1"/>
      <c r="AA26" s="464" t="s">
        <v>211</v>
      </c>
      <c r="AB26" s="1"/>
      <c r="AD26" s="469">
        <f>W3</f>
        <v>255</v>
      </c>
    </row>
    <row r="27" spans="1:30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7"/>
      <c r="AD27" s="468" t="s">
        <v>347</v>
      </c>
    </row>
    <row r="28" spans="1:30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30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30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38.200000000000003</v>
      </c>
      <c r="Z30" s="1"/>
    </row>
    <row r="31" spans="1:30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16</v>
      </c>
      <c r="Z31" s="1"/>
    </row>
    <row r="32" spans="1:30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611.20000000000005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15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751.2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2">
    <mergeCell ref="V29:Y29"/>
    <mergeCell ref="X36:Y36"/>
  </mergeCell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FCFE-DB95-42E0-AFB8-461CEA0899E2}">
  <sheetPr>
    <tabColor rgb="FF92D050"/>
  </sheetPr>
  <dimension ref="A1:AB38"/>
  <sheetViews>
    <sheetView zoomScale="110" zoomScaleNormal="110" workbookViewId="0">
      <selection activeCell="B21" sqref="B21"/>
    </sheetView>
  </sheetViews>
  <sheetFormatPr defaultColWidth="9.140625" defaultRowHeight="15" x14ac:dyDescent="0.25"/>
  <cols>
    <col min="1" max="1" width="9.140625" style="1"/>
    <col min="2" max="3" width="13.28515625" style="1" customWidth="1"/>
    <col min="4" max="5" width="13.28515625" style="1" hidden="1" customWidth="1"/>
    <col min="6" max="6" width="21" style="1" hidden="1" customWidth="1"/>
    <col min="7" max="7" width="22.7109375" style="1" hidden="1" customWidth="1"/>
    <col min="8" max="8" width="14.85546875" style="1" hidden="1" customWidth="1"/>
    <col min="9" max="9" width="11.5703125" style="1" hidden="1" customWidth="1"/>
    <col min="10" max="10" width="12.42578125" style="1" hidden="1" customWidth="1"/>
    <col min="11" max="13" width="26" style="1" hidden="1" customWidth="1"/>
    <col min="14" max="14" width="18.5703125" style="1" customWidth="1"/>
    <col min="15" max="15" width="16.42578125" style="1" customWidth="1"/>
    <col min="16" max="17" width="13.85546875" style="1" customWidth="1"/>
    <col min="18" max="18" width="11.85546875" style="1" bestFit="1" customWidth="1"/>
    <col min="19" max="19" width="14.7109375" style="1" customWidth="1"/>
    <col min="20" max="20" width="8.7109375" style="1" hidden="1" customWidth="1"/>
    <col min="21" max="21" width="10.5703125" style="1" bestFit="1" customWidth="1"/>
    <col min="22" max="22" width="23.42578125" style="8" customWidth="1"/>
    <col min="23" max="23" width="13.140625" style="1" customWidth="1"/>
    <col min="24" max="24" width="12.28515625" style="1" bestFit="1" customWidth="1"/>
    <col min="25" max="25" width="10.42578125" style="1" bestFit="1" customWidth="1"/>
    <col min="26" max="16384" width="9.140625" style="1"/>
  </cols>
  <sheetData>
    <row r="1" spans="1:28" ht="36" customHeight="1" x14ac:dyDescent="0.25">
      <c r="A1" s="80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82"/>
      <c r="Q1" s="82"/>
      <c r="R1" s="181"/>
      <c r="S1" s="181"/>
      <c r="T1" s="181"/>
      <c r="U1" s="181"/>
      <c r="V1" s="282"/>
      <c r="W1" s="181"/>
      <c r="X1" s="181"/>
      <c r="Y1" s="88"/>
      <c r="Z1" s="22"/>
      <c r="AA1" s="21"/>
      <c r="AB1" s="21"/>
    </row>
    <row r="2" spans="1:28" ht="30" customHeight="1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3" t="s">
        <v>5</v>
      </c>
      <c r="O2" s="34"/>
      <c r="P2" s="38" t="s">
        <v>29</v>
      </c>
      <c r="Q2" s="38" t="s">
        <v>203</v>
      </c>
      <c r="R2" s="37" t="s">
        <v>34</v>
      </c>
      <c r="S2" s="37" t="s">
        <v>27</v>
      </c>
      <c r="T2" s="38" t="s">
        <v>39</v>
      </c>
      <c r="U2" s="38" t="s">
        <v>30</v>
      </c>
      <c r="V2" s="74" t="s">
        <v>36</v>
      </c>
      <c r="W2" s="38" t="s">
        <v>31</v>
      </c>
      <c r="X2" s="37" t="s">
        <v>32</v>
      </c>
      <c r="Y2" s="41" t="s">
        <v>33</v>
      </c>
      <c r="Z2" s="21"/>
      <c r="AA2" s="21"/>
      <c r="AB2" s="21"/>
    </row>
    <row r="3" spans="1:28" x14ac:dyDescent="0.25">
      <c r="A3" s="65">
        <v>5.74</v>
      </c>
      <c r="B3" s="65">
        <v>6.29</v>
      </c>
      <c r="C3" s="65">
        <v>127.5</v>
      </c>
      <c r="D3" s="7" t="s">
        <v>0</v>
      </c>
      <c r="E3" s="66">
        <v>0.125</v>
      </c>
      <c r="F3" s="7">
        <f>(A3+B3)*C3</f>
        <v>1533.825</v>
      </c>
      <c r="G3" s="7">
        <f>(A3+B3)/E3</f>
        <v>96.240000000000009</v>
      </c>
      <c r="H3" s="7">
        <f t="shared" ref="H3" si="0">C3/10</f>
        <v>12.75</v>
      </c>
      <c r="I3" s="66">
        <v>4</v>
      </c>
      <c r="J3" s="13">
        <f t="shared" ref="J3" si="1">H3*G3/60</f>
        <v>20.451000000000004</v>
      </c>
      <c r="K3" s="13">
        <f>J3+I3</f>
        <v>24.451000000000004</v>
      </c>
      <c r="L3" s="11">
        <v>225</v>
      </c>
      <c r="M3" s="12">
        <f>L3/60</f>
        <v>3.75</v>
      </c>
      <c r="N3" s="70">
        <f>ROUNDUP(K3*M3,1)</f>
        <v>91.699999999999989</v>
      </c>
      <c r="O3" s="23" t="s">
        <v>22</v>
      </c>
      <c r="P3" s="32">
        <v>8</v>
      </c>
      <c r="Q3" s="33">
        <f>N3*P3</f>
        <v>733.59999999999991</v>
      </c>
      <c r="R3" s="33">
        <f>IF(Q3&gt;X3, Q3, X3)</f>
        <v>733.59999999999991</v>
      </c>
      <c r="S3" s="30">
        <v>0</v>
      </c>
      <c r="T3" s="79">
        <v>0.02</v>
      </c>
      <c r="U3" s="33">
        <f>R3+S3</f>
        <v>733.59999999999991</v>
      </c>
      <c r="V3" s="77">
        <f>ROUNDUP(U3*T3,0)</f>
        <v>15</v>
      </c>
      <c r="W3" s="33">
        <f>U3+V3</f>
        <v>748.59999999999991</v>
      </c>
      <c r="X3" s="57">
        <v>225</v>
      </c>
      <c r="Y3" s="78">
        <f>ROUNDDOWN(X3/N3,0)</f>
        <v>2</v>
      </c>
      <c r="Z3" s="21"/>
      <c r="AA3" s="21"/>
      <c r="AB3" s="21"/>
    </row>
    <row r="4" spans="1:28" ht="18.75" x14ac:dyDescent="0.25">
      <c r="O4" s="24"/>
      <c r="P4" s="21"/>
      <c r="Q4" s="21"/>
      <c r="R4" s="27"/>
      <c r="S4" s="28"/>
      <c r="T4" s="72"/>
      <c r="U4" s="27"/>
      <c r="V4" s="76"/>
      <c r="W4" s="27"/>
      <c r="X4" s="25"/>
      <c r="Y4" s="26"/>
      <c r="Z4" s="21"/>
      <c r="AA4" s="21"/>
      <c r="AB4" s="21"/>
    </row>
    <row r="5" spans="1:28" ht="21" x14ac:dyDescent="0.25">
      <c r="B5" s="80" t="s">
        <v>12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2"/>
      <c r="P5" s="82"/>
      <c r="Q5" s="82"/>
      <c r="R5" s="83"/>
      <c r="S5" s="84"/>
      <c r="T5" s="85"/>
      <c r="U5" s="83"/>
      <c r="V5" s="86"/>
      <c r="W5" s="83"/>
      <c r="X5" s="82"/>
      <c r="Y5" s="87"/>
      <c r="Z5" s="21"/>
      <c r="AA5" s="21"/>
      <c r="AB5" s="21"/>
    </row>
    <row r="6" spans="1:28" ht="30" x14ac:dyDescent="0.25">
      <c r="B6" s="4" t="s">
        <v>13</v>
      </c>
      <c r="C6" s="4" t="s">
        <v>7</v>
      </c>
      <c r="D6" s="2" t="s">
        <v>2</v>
      </c>
      <c r="E6" s="4" t="s">
        <v>1</v>
      </c>
      <c r="F6" s="5" t="s">
        <v>20</v>
      </c>
      <c r="G6" s="4" t="s">
        <v>14</v>
      </c>
      <c r="H6" s="4" t="s">
        <v>15</v>
      </c>
      <c r="I6" s="4" t="s">
        <v>17</v>
      </c>
      <c r="J6" s="4" t="s">
        <v>16</v>
      </c>
      <c r="K6" s="4" t="s">
        <v>18</v>
      </c>
      <c r="L6" s="2" t="s">
        <v>24</v>
      </c>
      <c r="M6" s="2" t="s">
        <v>25</v>
      </c>
      <c r="N6" s="6" t="s">
        <v>19</v>
      </c>
      <c r="O6" s="37"/>
      <c r="P6" s="38" t="s">
        <v>29</v>
      </c>
      <c r="Q6" s="38" t="s">
        <v>203</v>
      </c>
      <c r="R6" s="44" t="s">
        <v>34</v>
      </c>
      <c r="S6" s="42" t="s">
        <v>27</v>
      </c>
      <c r="T6" s="73" t="s">
        <v>39</v>
      </c>
      <c r="U6" s="44" t="s">
        <v>30</v>
      </c>
      <c r="V6" s="45" t="s">
        <v>36</v>
      </c>
      <c r="W6" s="44" t="s">
        <v>31</v>
      </c>
      <c r="X6" s="37" t="s">
        <v>32</v>
      </c>
      <c r="Y6" s="41" t="s">
        <v>33</v>
      </c>
      <c r="Z6" s="21"/>
      <c r="AA6" s="21"/>
      <c r="AB6" s="21"/>
    </row>
    <row r="7" spans="1:28" x14ac:dyDescent="0.25">
      <c r="B7" s="14">
        <v>5</v>
      </c>
      <c r="C7" s="14">
        <v>1.25</v>
      </c>
      <c r="D7" s="7" t="s">
        <v>0</v>
      </c>
      <c r="E7" s="16">
        <v>0.125</v>
      </c>
      <c r="F7" s="16">
        <f>B7*3.14</f>
        <v>15.700000000000001</v>
      </c>
      <c r="G7" s="17">
        <f>F7/E7</f>
        <v>125.60000000000001</v>
      </c>
      <c r="H7" s="16">
        <f>C7/10</f>
        <v>0.125</v>
      </c>
      <c r="I7" s="16">
        <v>3</v>
      </c>
      <c r="J7" s="19">
        <f>H7*G7/60</f>
        <v>0.26166666666666666</v>
      </c>
      <c r="K7" s="20">
        <f>J7+I7</f>
        <v>3.2616666666666667</v>
      </c>
      <c r="L7" s="11">
        <v>225</v>
      </c>
      <c r="M7" s="12">
        <f>L7/60</f>
        <v>3.75</v>
      </c>
      <c r="N7" s="18">
        <f>ROUNDUP(K7*M7,1)</f>
        <v>12.299999999999999</v>
      </c>
      <c r="O7" s="21" t="s">
        <v>22</v>
      </c>
      <c r="P7" s="32">
        <v>108</v>
      </c>
      <c r="Q7" s="35">
        <f>N7*P7</f>
        <v>1328.3999999999999</v>
      </c>
      <c r="R7" s="33">
        <f>N7*P7</f>
        <v>1328.3999999999999</v>
      </c>
      <c r="S7" s="30">
        <v>0</v>
      </c>
      <c r="T7" s="79">
        <v>0.02</v>
      </c>
      <c r="U7" s="33">
        <f>IF(R7&gt;X7, R7, X7)</f>
        <v>1328.3999999999999</v>
      </c>
      <c r="V7" s="77">
        <f>ROUNDUP(U7*T7,0)</f>
        <v>27</v>
      </c>
      <c r="W7" s="33">
        <f t="shared" ref="W7" si="2">U7+V7</f>
        <v>1355.3999999999999</v>
      </c>
      <c r="X7" s="57">
        <v>225</v>
      </c>
      <c r="Y7" s="78">
        <f>ROUNDDOWN(X7/N7,0)</f>
        <v>18</v>
      </c>
      <c r="Z7" s="21"/>
      <c r="AA7" s="21"/>
      <c r="AB7" s="21"/>
    </row>
    <row r="8" spans="1:28" x14ac:dyDescent="0.25">
      <c r="O8" s="21"/>
      <c r="P8" s="21"/>
      <c r="Q8" s="21"/>
      <c r="R8" s="21"/>
      <c r="S8" s="21"/>
      <c r="T8" s="21"/>
      <c r="U8" s="21"/>
      <c r="V8" s="26"/>
      <c r="W8" s="21"/>
      <c r="X8" s="21"/>
      <c r="Y8" s="21"/>
      <c r="Z8" s="21"/>
      <c r="AA8" s="21"/>
      <c r="AB8" s="21"/>
    </row>
    <row r="9" spans="1:28" x14ac:dyDescent="0.25">
      <c r="O9" s="21"/>
      <c r="P9" s="21"/>
      <c r="Q9" s="21"/>
      <c r="R9" s="21"/>
      <c r="S9" s="21"/>
      <c r="T9" s="21"/>
      <c r="U9" s="21"/>
      <c r="V9" s="26"/>
      <c r="W9" s="21"/>
      <c r="X9" s="21"/>
      <c r="Y9" s="21"/>
      <c r="Z9" s="21"/>
      <c r="AA9" s="21"/>
      <c r="AB9" s="21"/>
    </row>
    <row r="10" spans="1:28" x14ac:dyDescent="0.25">
      <c r="O10" s="21"/>
      <c r="P10" s="21"/>
      <c r="Q10" s="21"/>
      <c r="R10" s="21"/>
      <c r="S10" s="21"/>
      <c r="T10" s="21"/>
      <c r="U10" s="21"/>
      <c r="V10" s="26"/>
      <c r="W10" s="21"/>
      <c r="X10" s="21"/>
      <c r="Y10" s="21"/>
      <c r="Z10" s="21"/>
      <c r="AA10" s="21"/>
      <c r="AB10" s="21"/>
    </row>
    <row r="11" spans="1:28" ht="30" customHeight="1" x14ac:dyDescent="0.25">
      <c r="O11" s="21"/>
      <c r="P11" s="21"/>
      <c r="Q11" s="21"/>
      <c r="R11" s="21"/>
      <c r="S11" s="21"/>
      <c r="T11" s="21"/>
      <c r="U11" s="21"/>
      <c r="V11" s="26"/>
      <c r="W11" s="21"/>
      <c r="X11" s="21"/>
      <c r="Y11" s="21"/>
      <c r="Z11" s="21"/>
      <c r="AA11" s="21"/>
      <c r="AB11" s="21"/>
    </row>
    <row r="12" spans="1:28" ht="30" customHeight="1" thickBot="1" x14ac:dyDescent="0.5">
      <c r="O12" s="21"/>
      <c r="P12" s="21"/>
      <c r="Q12" s="21"/>
      <c r="R12" s="21"/>
      <c r="S12" s="21"/>
      <c r="T12" s="21"/>
      <c r="U12" s="288"/>
      <c r="V12" s="380" t="s">
        <v>305</v>
      </c>
      <c r="W12" s="290"/>
      <c r="X12" s="290"/>
      <c r="Y12" s="64"/>
      <c r="Z12" s="21"/>
      <c r="AA12" s="21"/>
      <c r="AB12" s="21"/>
    </row>
    <row r="13" spans="1:28" ht="21.75" thickTop="1" x14ac:dyDescent="0.35">
      <c r="A13" s="171"/>
      <c r="B13" s="172" t="s">
        <v>119</v>
      </c>
      <c r="C13" s="173"/>
      <c r="O13" s="171"/>
      <c r="P13" s="198"/>
      <c r="Q13" s="172" t="s">
        <v>149</v>
      </c>
      <c r="R13" s="173"/>
      <c r="S13"/>
      <c r="T13"/>
      <c r="U13" s="287"/>
      <c r="V13" s="362" t="s">
        <v>207</v>
      </c>
      <c r="W13" s="363"/>
      <c r="X13" s="364">
        <f>N3</f>
        <v>91.699999999999989</v>
      </c>
      <c r="Y13" s="205"/>
      <c r="Z13" s="21"/>
      <c r="AA13" s="21"/>
      <c r="AB13" s="21"/>
    </row>
    <row r="14" spans="1:28" ht="15.75" x14ac:dyDescent="0.25">
      <c r="A14" s="174" t="s">
        <v>32</v>
      </c>
      <c r="B14"/>
      <c r="C14" s="280">
        <v>225</v>
      </c>
      <c r="O14" s="174" t="s">
        <v>150</v>
      </c>
      <c r="P14"/>
      <c r="Q14"/>
      <c r="R14" s="176"/>
      <c r="S14"/>
      <c r="T14"/>
      <c r="U14"/>
      <c r="V14" s="365" t="s">
        <v>208</v>
      </c>
      <c r="X14" s="366">
        <f>P3</f>
        <v>8</v>
      </c>
      <c r="Y14" s="205"/>
      <c r="Z14" s="21"/>
      <c r="AA14" s="21"/>
      <c r="AB14" s="21"/>
    </row>
    <row r="15" spans="1:28" ht="15.75" x14ac:dyDescent="0.25">
      <c r="A15" s="174" t="s">
        <v>120</v>
      </c>
      <c r="B15"/>
      <c r="C15" s="280" t="s">
        <v>160</v>
      </c>
      <c r="O15" s="174" t="s">
        <v>151</v>
      </c>
      <c r="P15"/>
      <c r="Q15"/>
      <c r="R15" s="176"/>
      <c r="S15"/>
      <c r="T15"/>
      <c r="U15"/>
      <c r="V15" s="365" t="s">
        <v>209</v>
      </c>
      <c r="X15" s="367">
        <f>U3</f>
        <v>733.59999999999991</v>
      </c>
      <c r="Y15" s="205"/>
      <c r="Z15" s="21"/>
      <c r="AA15" s="21"/>
      <c r="AB15" s="21"/>
    </row>
    <row r="16" spans="1:28" ht="15.75" x14ac:dyDescent="0.25">
      <c r="A16" s="174" t="s">
        <v>36</v>
      </c>
      <c r="B16"/>
      <c r="C16" s="200" t="s">
        <v>122</v>
      </c>
      <c r="O16" s="174"/>
      <c r="P16"/>
      <c r="Q16"/>
      <c r="R16" s="176"/>
      <c r="S16"/>
      <c r="T16"/>
      <c r="U16"/>
      <c r="V16" s="365" t="s">
        <v>210</v>
      </c>
      <c r="X16" s="367">
        <f>V3</f>
        <v>15</v>
      </c>
      <c r="Y16" s="205"/>
      <c r="Z16" s="21"/>
      <c r="AA16" s="21"/>
      <c r="AB16" s="21"/>
    </row>
    <row r="17" spans="1:25" ht="16.5" thickBot="1" x14ac:dyDescent="0.3">
      <c r="A17" s="174" t="s">
        <v>121</v>
      </c>
      <c r="B17"/>
      <c r="C17" s="200" t="s">
        <v>123</v>
      </c>
      <c r="O17" s="174" t="s">
        <v>152</v>
      </c>
      <c r="P17"/>
      <c r="Q17"/>
      <c r="R17" s="176"/>
      <c r="S17"/>
      <c r="T17"/>
      <c r="U17"/>
      <c r="V17" s="369" t="s">
        <v>211</v>
      </c>
      <c r="W17" s="370"/>
      <c r="X17" s="371">
        <f>W3</f>
        <v>748.59999999999991</v>
      </c>
      <c r="Y17" s="206"/>
    </row>
    <row r="18" spans="1:25" ht="16.5" thickTop="1" x14ac:dyDescent="0.25">
      <c r="A18" s="177" t="s">
        <v>124</v>
      </c>
      <c r="B18" s="178"/>
      <c r="C18" s="201" t="s">
        <v>160</v>
      </c>
      <c r="O18" s="174" t="s">
        <v>153</v>
      </c>
      <c r="P18"/>
      <c r="Q18"/>
      <c r="R18" s="176"/>
      <c r="S18"/>
      <c r="T18"/>
      <c r="U18"/>
      <c r="V18" s="291"/>
      <c r="W18" s="289"/>
      <c r="X18" s="289"/>
      <c r="Y18" s="206"/>
    </row>
    <row r="19" spans="1:25" ht="15.75" x14ac:dyDescent="0.25">
      <c r="A19" s="281" t="s">
        <v>199</v>
      </c>
      <c r="O19" s="174"/>
      <c r="P19"/>
      <c r="Q19"/>
      <c r="R19" s="176"/>
      <c r="S19"/>
      <c r="T19"/>
      <c r="U19"/>
      <c r="V19" s="177"/>
      <c r="W19" s="178"/>
      <c r="X19" s="178"/>
      <c r="Y19" s="208"/>
    </row>
    <row r="20" spans="1:25" x14ac:dyDescent="0.25">
      <c r="O20" s="174" t="s">
        <v>154</v>
      </c>
      <c r="P20"/>
      <c r="Q20"/>
      <c r="R20" s="176"/>
      <c r="S20"/>
      <c r="T20"/>
      <c r="U20"/>
      <c r="V20"/>
      <c r="W20"/>
      <c r="X20"/>
    </row>
    <row r="21" spans="1:25" x14ac:dyDescent="0.25">
      <c r="O21" s="177" t="s">
        <v>155</v>
      </c>
      <c r="P21" s="178"/>
      <c r="Q21" s="178"/>
      <c r="R21" s="199"/>
      <c r="S21"/>
      <c r="T21"/>
      <c r="U21"/>
      <c r="V21"/>
      <c r="W21"/>
      <c r="X21"/>
    </row>
    <row r="22" spans="1:25" ht="15.75" thickBot="1" x14ac:dyDescent="0.3">
      <c r="W22" s="182"/>
    </row>
    <row r="23" spans="1:25" ht="16.5" thickTop="1" x14ac:dyDescent="0.25">
      <c r="O23" s="362" t="s">
        <v>207</v>
      </c>
      <c r="P23" s="363"/>
      <c r="Q23" s="364">
        <f>N7</f>
        <v>12.299999999999999</v>
      </c>
      <c r="W23" s="183"/>
    </row>
    <row r="24" spans="1:25" ht="15.75" x14ac:dyDescent="0.25">
      <c r="O24" s="365" t="s">
        <v>208</v>
      </c>
      <c r="Q24" s="366">
        <f>P7</f>
        <v>108</v>
      </c>
    </row>
    <row r="25" spans="1:25" ht="15.75" x14ac:dyDescent="0.25">
      <c r="O25" s="365" t="s">
        <v>209</v>
      </c>
      <c r="Q25" s="367">
        <f>R7</f>
        <v>1328.3999999999999</v>
      </c>
    </row>
    <row r="26" spans="1:25" ht="15.75" x14ac:dyDescent="0.25">
      <c r="O26" s="365" t="s">
        <v>210</v>
      </c>
      <c r="Q26" s="367">
        <f>V7</f>
        <v>27</v>
      </c>
    </row>
    <row r="27" spans="1:25" ht="16.5" thickBot="1" x14ac:dyDescent="0.3">
      <c r="O27" s="369" t="s">
        <v>211</v>
      </c>
      <c r="P27" s="370"/>
      <c r="Q27" s="371">
        <f>W7</f>
        <v>1355.3999999999999</v>
      </c>
    </row>
    <row r="28" spans="1:25" ht="29.25" thickTop="1" x14ac:dyDescent="0.45">
      <c r="O28" s="379" t="s">
        <v>284</v>
      </c>
    </row>
    <row r="38" ht="28.5" customHeight="1" x14ac:dyDescent="0.25"/>
  </sheetData>
  <pageMargins left="0.7" right="0.7" top="0.75" bottom="0.75" header="0.3" footer="0.3"/>
  <pageSetup orientation="portrait" r:id="rId1"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95F9-0F01-42AB-94D1-B0BF7C9C9020}">
  <sheetPr>
    <tabColor rgb="FF92D050"/>
  </sheetPr>
  <dimension ref="A1:AP54"/>
  <sheetViews>
    <sheetView topLeftCell="Y6" zoomScale="115" zoomScaleNormal="115" workbookViewId="0">
      <selection activeCell="AL14" sqref="AL14:AO19"/>
    </sheetView>
  </sheetViews>
  <sheetFormatPr defaultRowHeight="15" x14ac:dyDescent="0.25"/>
  <cols>
    <col min="4" max="12" width="9.140625" hidden="1" customWidth="1"/>
    <col min="13" max="13" width="0" hidden="1" customWidth="1"/>
    <col min="15" max="15" width="9.140625" customWidth="1"/>
    <col min="17" max="17" width="11.5703125" customWidth="1"/>
    <col min="18" max="18" width="13.5703125" hidden="1" customWidth="1"/>
    <col min="19" max="19" width="9.140625" customWidth="1"/>
    <col min="20" max="20" width="9.140625" hidden="1" customWidth="1"/>
    <col min="21" max="21" width="10.5703125" bestFit="1" customWidth="1"/>
    <col min="23" max="23" width="13.7109375" bestFit="1" customWidth="1"/>
    <col min="27" max="27" width="13" customWidth="1"/>
    <col min="28" max="28" width="18" customWidth="1"/>
    <col min="30" max="30" width="17.42578125" customWidth="1"/>
    <col min="31" max="31" width="22.140625" customWidth="1"/>
    <col min="36" max="36" width="13" customWidth="1"/>
    <col min="41" max="41" width="13" customWidth="1"/>
    <col min="42" max="42" width="14.28515625" customWidth="1"/>
  </cols>
  <sheetData>
    <row r="1" spans="1:42" ht="21" x14ac:dyDescent="0.25">
      <c r="A1" s="9" t="s">
        <v>311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1"/>
      <c r="P1" s="21"/>
      <c r="Q1" s="22"/>
      <c r="R1" s="22"/>
      <c r="S1" s="22"/>
      <c r="T1" s="22"/>
      <c r="U1" s="22"/>
      <c r="V1" s="75"/>
      <c r="W1" s="22"/>
      <c r="X1" s="22"/>
      <c r="Y1" s="22"/>
    </row>
    <row r="2" spans="1:42" ht="45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3" t="s">
        <v>5</v>
      </c>
      <c r="O2" s="34"/>
      <c r="P2" s="38" t="s">
        <v>29</v>
      </c>
      <c r="Q2" s="37" t="s">
        <v>34</v>
      </c>
      <c r="R2" s="37" t="s">
        <v>289</v>
      </c>
      <c r="S2" s="37" t="s">
        <v>27</v>
      </c>
      <c r="T2" s="38" t="s">
        <v>39</v>
      </c>
      <c r="U2" s="38" t="s">
        <v>30</v>
      </c>
      <c r="V2" s="74" t="s">
        <v>36</v>
      </c>
      <c r="W2" s="38" t="s">
        <v>31</v>
      </c>
      <c r="X2" s="37" t="s">
        <v>32</v>
      </c>
      <c r="Y2" s="41" t="s">
        <v>33</v>
      </c>
    </row>
    <row r="3" spans="1:42" x14ac:dyDescent="0.25">
      <c r="A3" s="65">
        <v>2.5</v>
      </c>
      <c r="B3" s="65">
        <v>3</v>
      </c>
      <c r="C3" s="65">
        <v>6</v>
      </c>
      <c r="D3" s="66" t="s">
        <v>0</v>
      </c>
      <c r="E3" s="66">
        <v>6.5000000000000002E-2</v>
      </c>
      <c r="F3" s="66">
        <f>(A3+B3)*C3</f>
        <v>33</v>
      </c>
      <c r="G3" s="66">
        <f>(A3+B3)/E3</f>
        <v>84.615384615384613</v>
      </c>
      <c r="H3" s="7">
        <f t="shared" ref="H3" si="0">C3/10</f>
        <v>0.6</v>
      </c>
      <c r="I3" s="66">
        <v>4</v>
      </c>
      <c r="J3" s="13">
        <f t="shared" ref="J3" si="1">H3*G3/60</f>
        <v>0.84615384615384615</v>
      </c>
      <c r="K3" s="13">
        <f>J3+I3</f>
        <v>4.8461538461538458</v>
      </c>
      <c r="L3" s="11">
        <v>250</v>
      </c>
      <c r="M3" s="12">
        <f>L3/60</f>
        <v>4.166666666666667</v>
      </c>
      <c r="N3" s="70">
        <f>ROUNDUP(K3*M3,1)</f>
        <v>20.200000000000003</v>
      </c>
      <c r="O3" s="23" t="s">
        <v>191</v>
      </c>
      <c r="P3" s="32">
        <v>5</v>
      </c>
      <c r="Q3" s="33">
        <f>IF(R3&gt;X3,R3,X3)</f>
        <v>250</v>
      </c>
      <c r="R3" s="33">
        <f>N3*P3</f>
        <v>101.00000000000001</v>
      </c>
      <c r="S3" s="30">
        <v>125</v>
      </c>
      <c r="T3" s="79">
        <v>0.02</v>
      </c>
      <c r="U3" s="33">
        <f>Q3+S3</f>
        <v>375</v>
      </c>
      <c r="V3" s="77">
        <f>ROUNDUP(U3*T3,0)</f>
        <v>8</v>
      </c>
      <c r="W3" s="33">
        <f>U3+V3</f>
        <v>383</v>
      </c>
      <c r="X3" s="57">
        <v>250</v>
      </c>
      <c r="Y3" s="78">
        <f>ROUNDDOWN(X3/N3,0)</f>
        <v>12</v>
      </c>
    </row>
    <row r="4" spans="1:42" ht="21" x14ac:dyDescent="0.25">
      <c r="A4" s="9" t="s">
        <v>312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21"/>
      <c r="P4" s="21"/>
      <c r="Q4" s="22"/>
      <c r="R4" s="22"/>
      <c r="S4" s="22"/>
      <c r="T4" s="22"/>
      <c r="U4" s="22"/>
      <c r="V4" s="75"/>
      <c r="W4" s="22"/>
      <c r="X4" s="22"/>
      <c r="Y4" s="22"/>
    </row>
    <row r="5" spans="1:42" ht="45" x14ac:dyDescent="0.25">
      <c r="A5" s="2" t="s">
        <v>23</v>
      </c>
      <c r="B5" s="2" t="s">
        <v>8</v>
      </c>
      <c r="C5" s="2" t="s">
        <v>7</v>
      </c>
      <c r="D5" s="2" t="s">
        <v>2</v>
      </c>
      <c r="E5" s="2" t="s">
        <v>1</v>
      </c>
      <c r="F5" s="2" t="s">
        <v>6</v>
      </c>
      <c r="G5" s="2" t="s">
        <v>3</v>
      </c>
      <c r="H5" s="2" t="s">
        <v>21</v>
      </c>
      <c r="I5" s="2" t="s">
        <v>9</v>
      </c>
      <c r="J5" s="2" t="s">
        <v>4</v>
      </c>
      <c r="K5" s="2" t="s">
        <v>10</v>
      </c>
      <c r="L5" s="2" t="s">
        <v>24</v>
      </c>
      <c r="M5" s="2" t="s">
        <v>25</v>
      </c>
      <c r="N5" s="3" t="s">
        <v>5</v>
      </c>
      <c r="O5" s="34"/>
      <c r="P5" s="38" t="s">
        <v>29</v>
      </c>
      <c r="Q5" s="37" t="s">
        <v>34</v>
      </c>
      <c r="R5" s="37" t="s">
        <v>289</v>
      </c>
      <c r="S5" s="37" t="s">
        <v>27</v>
      </c>
      <c r="T5" s="38" t="s">
        <v>39</v>
      </c>
      <c r="U5" s="38" t="s">
        <v>30</v>
      </c>
      <c r="V5" s="74" t="s">
        <v>36</v>
      </c>
      <c r="W5" s="38" t="s">
        <v>31</v>
      </c>
      <c r="X5" s="37" t="s">
        <v>32</v>
      </c>
      <c r="Y5" s="41" t="s">
        <v>33</v>
      </c>
    </row>
    <row r="6" spans="1:42" x14ac:dyDescent="0.25">
      <c r="A6" s="65">
        <v>2.5</v>
      </c>
      <c r="B6" s="65">
        <v>3</v>
      </c>
      <c r="C6" s="65">
        <v>6</v>
      </c>
      <c r="D6" s="66" t="s">
        <v>0</v>
      </c>
      <c r="E6" s="66">
        <v>6.5000000000000002E-2</v>
      </c>
      <c r="F6" s="66">
        <f>(A6+B6)*C6</f>
        <v>33</v>
      </c>
      <c r="G6" s="66">
        <f>(A6+B6)/E6</f>
        <v>84.615384615384613</v>
      </c>
      <c r="H6" s="7">
        <f t="shared" ref="H6" si="2">C6/10</f>
        <v>0.6</v>
      </c>
      <c r="I6" s="66">
        <v>4</v>
      </c>
      <c r="J6" s="13">
        <f t="shared" ref="J6" si="3">H6*G6/60</f>
        <v>0.84615384615384615</v>
      </c>
      <c r="K6" s="13">
        <f>J6+I6</f>
        <v>4.8461538461538458</v>
      </c>
      <c r="L6" s="11">
        <v>250</v>
      </c>
      <c r="M6" s="12">
        <f>L6/60</f>
        <v>4.166666666666667</v>
      </c>
      <c r="N6" s="70">
        <f>ROUNDUP(K6*M6,1)</f>
        <v>20.200000000000003</v>
      </c>
      <c r="O6" s="23" t="s">
        <v>191</v>
      </c>
      <c r="P6" s="32">
        <v>6</v>
      </c>
      <c r="Q6" s="33">
        <f>IF(R6&gt;X6,R6,X6)</f>
        <v>250</v>
      </c>
      <c r="R6" s="33">
        <f>N6*P6</f>
        <v>121.20000000000002</v>
      </c>
      <c r="S6" s="30">
        <v>125</v>
      </c>
      <c r="T6" s="79">
        <v>0.02</v>
      </c>
      <c r="U6" s="33">
        <f>Q6+S6</f>
        <v>375</v>
      </c>
      <c r="V6" s="77">
        <f>ROUNDUP(U6*T6,0)</f>
        <v>8</v>
      </c>
      <c r="W6" s="33">
        <f>U6+V6</f>
        <v>383</v>
      </c>
      <c r="X6" s="57">
        <v>250</v>
      </c>
      <c r="Y6" s="78">
        <f>ROUNDDOWN(X6/N6,0)</f>
        <v>12</v>
      </c>
    </row>
    <row r="7" spans="1:42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1"/>
      <c r="Q7" s="27"/>
      <c r="R7" s="27"/>
      <c r="S7" s="28"/>
      <c r="T7" s="72"/>
      <c r="U7" s="27"/>
      <c r="V7" s="76"/>
      <c r="W7" s="27"/>
      <c r="X7" s="25"/>
      <c r="Y7" s="26"/>
    </row>
    <row r="8" spans="1:42" ht="21" x14ac:dyDescent="0.25">
      <c r="A8" s="1"/>
      <c r="B8" s="15" t="s">
        <v>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1"/>
      <c r="P8" s="21"/>
      <c r="Q8" s="27"/>
      <c r="R8" s="27"/>
      <c r="S8" s="28"/>
      <c r="T8" s="72"/>
      <c r="U8" s="27"/>
      <c r="V8" s="76"/>
      <c r="W8" s="27"/>
      <c r="X8" s="21"/>
      <c r="Y8" s="26"/>
    </row>
    <row r="9" spans="1:42" ht="61.5" x14ac:dyDescent="0.9">
      <c r="A9" s="1"/>
      <c r="B9" s="4" t="s">
        <v>13</v>
      </c>
      <c r="C9" s="4" t="s">
        <v>7</v>
      </c>
      <c r="D9" s="2" t="s">
        <v>2</v>
      </c>
      <c r="E9" s="4" t="s">
        <v>1</v>
      </c>
      <c r="F9" s="5" t="s">
        <v>20</v>
      </c>
      <c r="G9" s="4" t="s">
        <v>14</v>
      </c>
      <c r="H9" s="4" t="s">
        <v>15</v>
      </c>
      <c r="I9" s="4" t="s">
        <v>17</v>
      </c>
      <c r="J9" s="4" t="s">
        <v>16</v>
      </c>
      <c r="K9" s="4" t="s">
        <v>18</v>
      </c>
      <c r="L9" s="2" t="s">
        <v>24</v>
      </c>
      <c r="M9" s="2" t="s">
        <v>25</v>
      </c>
      <c r="N9" s="6" t="s">
        <v>19</v>
      </c>
      <c r="O9" s="37"/>
      <c r="P9" s="38" t="s">
        <v>29</v>
      </c>
      <c r="Q9" s="44" t="s">
        <v>34</v>
      </c>
      <c r="R9" s="44" t="s">
        <v>431</v>
      </c>
      <c r="S9" s="42" t="s">
        <v>27</v>
      </c>
      <c r="T9" s="73" t="s">
        <v>39</v>
      </c>
      <c r="U9" s="44" t="s">
        <v>30</v>
      </c>
      <c r="V9" s="45" t="s">
        <v>36</v>
      </c>
      <c r="W9" s="44" t="s">
        <v>31</v>
      </c>
      <c r="X9" s="37" t="s">
        <v>32</v>
      </c>
      <c r="Y9" s="41" t="s">
        <v>33</v>
      </c>
      <c r="AD9" s="574" t="s">
        <v>434</v>
      </c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</row>
    <row r="10" spans="1:42" ht="15.75" thickBot="1" x14ac:dyDescent="0.3">
      <c r="A10" s="1"/>
      <c r="B10" s="14">
        <v>2</v>
      </c>
      <c r="C10" s="14">
        <v>70</v>
      </c>
      <c r="D10" s="66" t="s">
        <v>0</v>
      </c>
      <c r="E10" s="16">
        <v>6.5000000000000002E-2</v>
      </c>
      <c r="F10" s="16">
        <f>B10*3.14</f>
        <v>6.28</v>
      </c>
      <c r="G10" s="17">
        <f>F10/E10</f>
        <v>96.615384615384613</v>
      </c>
      <c r="H10" s="16">
        <f>C10/10</f>
        <v>7</v>
      </c>
      <c r="I10" s="16">
        <v>3.5</v>
      </c>
      <c r="J10" s="19">
        <f>H10*G10/60</f>
        <v>11.271794871794871</v>
      </c>
      <c r="K10" s="20">
        <f>J10+I10</f>
        <v>14.771794871794871</v>
      </c>
      <c r="L10" s="11">
        <v>250</v>
      </c>
      <c r="M10" s="12">
        <f>L10/60</f>
        <v>4.166666666666667</v>
      </c>
      <c r="N10" s="18">
        <f>ROUNDUP(K10*M10,1)</f>
        <v>61.6</v>
      </c>
      <c r="O10" s="21" t="s">
        <v>191</v>
      </c>
      <c r="P10" s="32">
        <v>1</v>
      </c>
      <c r="Q10" s="33">
        <f>IF(R10&gt;X10,R10,X10)</f>
        <v>250</v>
      </c>
      <c r="R10" s="33">
        <f>N10*P10</f>
        <v>61.6</v>
      </c>
      <c r="S10" s="30">
        <v>0</v>
      </c>
      <c r="T10" s="79">
        <v>0.02</v>
      </c>
      <c r="U10" s="33">
        <f>Q10+S10</f>
        <v>250</v>
      </c>
      <c r="V10" s="77">
        <f>ROUNDUP(U10*T10,0)</f>
        <v>5</v>
      </c>
      <c r="W10" s="33">
        <f t="shared" ref="W10" si="4">U10+V10</f>
        <v>255</v>
      </c>
      <c r="X10" s="57">
        <v>250</v>
      </c>
      <c r="Y10" s="78">
        <f>ROUNDDOWN(X10/N10,0)</f>
        <v>4</v>
      </c>
    </row>
    <row r="11" spans="1:42" ht="47.25" thickTop="1" thickBot="1" x14ac:dyDescent="0.35">
      <c r="AD11" s="557" t="s">
        <v>421</v>
      </c>
      <c r="AE11" s="558"/>
      <c r="AF11" t="s">
        <v>450</v>
      </c>
      <c r="AG11" s="356" t="s">
        <v>422</v>
      </c>
      <c r="AH11" s="358" t="s">
        <v>29</v>
      </c>
      <c r="AI11" s="341" t="s">
        <v>204</v>
      </c>
      <c r="AJ11" s="343" t="s">
        <v>27</v>
      </c>
      <c r="AK11" s="343" t="s">
        <v>34</v>
      </c>
      <c r="AL11" s="341" t="s">
        <v>39</v>
      </c>
      <c r="AM11" s="341" t="s">
        <v>30</v>
      </c>
      <c r="AN11" s="349" t="s">
        <v>36</v>
      </c>
      <c r="AO11" s="347" t="s">
        <v>31</v>
      </c>
      <c r="AP11" s="347" t="s">
        <v>32</v>
      </c>
    </row>
    <row r="12" spans="1:42" ht="16.5" thickTop="1" thickBot="1" x14ac:dyDescent="0.3">
      <c r="AD12" s="337" t="s">
        <v>242</v>
      </c>
      <c r="AE12" s="338">
        <v>29.25</v>
      </c>
      <c r="AF12" s="97">
        <f>AE12+2</f>
        <v>31.25</v>
      </c>
      <c r="AG12" s="357">
        <v>35.25</v>
      </c>
      <c r="AH12" s="342">
        <v>13</v>
      </c>
      <c r="AI12" s="344">
        <f>AG12*AH12</f>
        <v>458.25</v>
      </c>
      <c r="AJ12" s="345">
        <v>125</v>
      </c>
      <c r="AK12" s="495">
        <f>IF(AI12&gt;AP12,AI12,AP12)</f>
        <v>458.25</v>
      </c>
      <c r="AL12" s="346">
        <v>0.02</v>
      </c>
      <c r="AM12" s="344">
        <f>AK12+AJ12</f>
        <v>583.25</v>
      </c>
      <c r="AN12" s="350">
        <f>ROUNDUP(AM12*AL12,0)</f>
        <v>12</v>
      </c>
      <c r="AO12" s="348">
        <f>AM12+AN12</f>
        <v>595.25</v>
      </c>
      <c r="AP12" s="348">
        <v>250</v>
      </c>
    </row>
    <row r="13" spans="1:42" ht="16.5" thickTop="1" thickBot="1" x14ac:dyDescent="0.3">
      <c r="AD13" s="335" t="s">
        <v>243</v>
      </c>
      <c r="AE13" s="336">
        <v>28.95</v>
      </c>
      <c r="AF13" s="97">
        <f t="shared" ref="AF13:AF53" si="5">AE13+2</f>
        <v>30.95</v>
      </c>
      <c r="AP13" s="1"/>
    </row>
    <row r="14" spans="1:42" ht="24.75" thickTop="1" thickBot="1" x14ac:dyDescent="0.4">
      <c r="A14" s="171"/>
      <c r="B14" s="172" t="s">
        <v>119</v>
      </c>
      <c r="C14" s="173"/>
      <c r="D14" s="1"/>
      <c r="E14" s="1"/>
      <c r="F14" s="1"/>
      <c r="G14" s="1"/>
      <c r="H14" s="1"/>
      <c r="I14" s="1"/>
      <c r="J14" s="1"/>
      <c r="K14" s="1"/>
      <c r="L14" s="1"/>
      <c r="M14" s="1"/>
      <c r="N14" s="171"/>
      <c r="O14" s="198"/>
      <c r="P14" s="198"/>
      <c r="Q14" s="198"/>
      <c r="R14" s="198"/>
      <c r="S14" s="198"/>
      <c r="T14" s="172" t="s">
        <v>149</v>
      </c>
      <c r="U14" s="198"/>
      <c r="V14" s="198"/>
      <c r="W14" s="173"/>
      <c r="Y14" s="541" t="s">
        <v>348</v>
      </c>
      <c r="Z14" s="541"/>
      <c r="AA14" s="541"/>
      <c r="AB14" s="541"/>
      <c r="AD14" s="337" t="s">
        <v>244</v>
      </c>
      <c r="AE14" s="338">
        <v>28.15</v>
      </c>
      <c r="AF14" s="97">
        <f t="shared" si="5"/>
        <v>30.15</v>
      </c>
      <c r="AG14" s="351" t="s">
        <v>359</v>
      </c>
      <c r="AH14" s="352"/>
      <c r="AI14" s="352"/>
      <c r="AJ14" s="489">
        <f>AG12</f>
        <v>35.25</v>
      </c>
      <c r="AL14" s="351" t="s">
        <v>285</v>
      </c>
      <c r="AM14" s="352"/>
      <c r="AN14" s="352"/>
      <c r="AO14" s="489">
        <f>AK12</f>
        <v>458.25</v>
      </c>
      <c r="AP14" s="1"/>
    </row>
    <row r="15" spans="1:42" ht="16.5" thickTop="1" x14ac:dyDescent="0.25">
      <c r="A15" s="174" t="s">
        <v>32</v>
      </c>
      <c r="C15" s="175">
        <v>250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74" t="s">
        <v>150</v>
      </c>
      <c r="W15" s="176"/>
      <c r="Y15" s="362" t="s">
        <v>207</v>
      </c>
      <c r="Z15" s="363"/>
      <c r="AA15" s="352"/>
      <c r="AB15" s="364">
        <f>N6</f>
        <v>20.200000000000003</v>
      </c>
      <c r="AD15" s="335" t="s">
        <v>245</v>
      </c>
      <c r="AE15" s="336">
        <v>27.95</v>
      </c>
      <c r="AF15" s="97">
        <f t="shared" si="5"/>
        <v>29.95</v>
      </c>
      <c r="AG15" s="373" t="s">
        <v>286</v>
      </c>
      <c r="AJ15" s="374">
        <f>AH12</f>
        <v>13</v>
      </c>
      <c r="AK15" s="1"/>
      <c r="AL15" s="373" t="s">
        <v>286</v>
      </c>
      <c r="AO15" s="374">
        <f>AH12</f>
        <v>13</v>
      </c>
      <c r="AP15" s="1"/>
    </row>
    <row r="16" spans="1:42" ht="15.75" x14ac:dyDescent="0.25">
      <c r="A16" s="174" t="s">
        <v>120</v>
      </c>
      <c r="C16" s="175">
        <v>125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74" t="s">
        <v>151</v>
      </c>
      <c r="W16" s="176"/>
      <c r="Y16" s="365" t="s">
        <v>208</v>
      </c>
      <c r="Z16" s="1"/>
      <c r="AB16" s="366">
        <f>P6</f>
        <v>6</v>
      </c>
      <c r="AD16" s="337" t="s">
        <v>246</v>
      </c>
      <c r="AE16" s="338">
        <v>27.55</v>
      </c>
      <c r="AF16" s="97">
        <f t="shared" si="5"/>
        <v>29.55</v>
      </c>
      <c r="AG16" s="490" t="s">
        <v>411</v>
      </c>
      <c r="AH16" s="1"/>
      <c r="AI16" s="1"/>
      <c r="AJ16" s="491">
        <f>AJ12</f>
        <v>125</v>
      </c>
      <c r="AK16" s="1"/>
      <c r="AL16" s="490" t="s">
        <v>411</v>
      </c>
      <c r="AM16" s="1"/>
      <c r="AN16" s="1"/>
      <c r="AO16" s="491">
        <f>AJ12</f>
        <v>125</v>
      </c>
      <c r="AP16" s="1"/>
    </row>
    <row r="17" spans="1:42" ht="15.75" x14ac:dyDescent="0.25">
      <c r="A17" s="174" t="s">
        <v>36</v>
      </c>
      <c r="C17" s="200" t="s">
        <v>122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74"/>
      <c r="W17" s="176"/>
      <c r="Y17" s="365" t="s">
        <v>209</v>
      </c>
      <c r="Z17" s="1"/>
      <c r="AB17" s="367">
        <f>Q6</f>
        <v>250</v>
      </c>
      <c r="AD17" s="335" t="s">
        <v>247</v>
      </c>
      <c r="AE17" s="336">
        <v>27.25</v>
      </c>
      <c r="AF17" s="97">
        <f t="shared" si="5"/>
        <v>29.25</v>
      </c>
      <c r="AG17" s="373" t="s">
        <v>36</v>
      </c>
      <c r="AJ17" s="492">
        <f>AN12</f>
        <v>12</v>
      </c>
      <c r="AK17" s="1"/>
      <c r="AL17" s="373" t="s">
        <v>36</v>
      </c>
      <c r="AO17" s="492">
        <f>AN12</f>
        <v>12</v>
      </c>
      <c r="AP17" s="1"/>
    </row>
    <row r="18" spans="1:42" ht="15.75" x14ac:dyDescent="0.25">
      <c r="A18" s="174" t="s">
        <v>121</v>
      </c>
      <c r="C18" s="200" t="s">
        <v>123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74" t="s">
        <v>152</v>
      </c>
      <c r="W18" s="176"/>
      <c r="Y18" s="365" t="s">
        <v>210</v>
      </c>
      <c r="Z18" s="1"/>
      <c r="AB18" s="367">
        <f>V6</f>
        <v>8</v>
      </c>
      <c r="AD18" s="337" t="s">
        <v>248</v>
      </c>
      <c r="AE18" s="338">
        <v>26.95</v>
      </c>
      <c r="AF18" s="97">
        <f t="shared" si="5"/>
        <v>28.95</v>
      </c>
      <c r="AG18" s="373" t="s">
        <v>414</v>
      </c>
      <c r="AJ18" s="492">
        <f>AO12</f>
        <v>595.25</v>
      </c>
      <c r="AK18" s="1"/>
      <c r="AL18" s="373" t="s">
        <v>414</v>
      </c>
      <c r="AO18" s="492">
        <f>AO12</f>
        <v>595.25</v>
      </c>
      <c r="AP18" s="1"/>
    </row>
    <row r="19" spans="1:42" ht="16.5" thickBot="1" x14ac:dyDescent="0.3">
      <c r="A19" s="177" t="s">
        <v>124</v>
      </c>
      <c r="B19" s="178"/>
      <c r="C19" s="179" t="s">
        <v>125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74" t="s">
        <v>153</v>
      </c>
      <c r="W19" s="176"/>
      <c r="Y19" s="365" t="s">
        <v>216</v>
      </c>
      <c r="AB19" s="368">
        <f>S6</f>
        <v>125</v>
      </c>
      <c r="AD19" s="335" t="s">
        <v>249</v>
      </c>
      <c r="AE19" s="336">
        <v>27</v>
      </c>
      <c r="AF19" s="97">
        <f t="shared" si="5"/>
        <v>29</v>
      </c>
      <c r="AG19" s="353" t="s">
        <v>309</v>
      </c>
      <c r="AH19" s="354"/>
      <c r="AI19" s="354"/>
      <c r="AJ19" s="493" t="s">
        <v>310</v>
      </c>
      <c r="AK19" s="1"/>
      <c r="AL19" s="353" t="s">
        <v>309</v>
      </c>
      <c r="AM19" s="354"/>
      <c r="AN19" s="354"/>
      <c r="AO19" s="493" t="s">
        <v>310</v>
      </c>
      <c r="AP19" s="1"/>
    </row>
    <row r="20" spans="1:42" ht="16.5" thickTop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4"/>
      <c r="W20" s="176"/>
      <c r="Y20" s="365" t="s">
        <v>211</v>
      </c>
      <c r="Z20" s="1"/>
      <c r="AB20" s="367">
        <f>W6</f>
        <v>383</v>
      </c>
      <c r="AD20" s="337" t="s">
        <v>250</v>
      </c>
      <c r="AE20" s="338">
        <v>30.75</v>
      </c>
      <c r="AF20" s="97">
        <f t="shared" si="5"/>
        <v>32.75</v>
      </c>
      <c r="AJ20" s="1"/>
      <c r="AK20" s="1"/>
      <c r="AL20" s="1"/>
      <c r="AM20" s="1"/>
      <c r="AP20" s="1"/>
    </row>
    <row r="21" spans="1:42" ht="16.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4" t="s">
        <v>154</v>
      </c>
      <c r="W21" s="176"/>
      <c r="Y21" s="369" t="s">
        <v>346</v>
      </c>
      <c r="Z21" s="354"/>
      <c r="AA21" s="539" t="s">
        <v>347</v>
      </c>
      <c r="AB21" s="540"/>
      <c r="AD21" s="335" t="s">
        <v>251</v>
      </c>
      <c r="AE21" s="336">
        <v>32.15</v>
      </c>
      <c r="AF21" s="97">
        <f t="shared" si="5"/>
        <v>34.15</v>
      </c>
      <c r="AP21" s="1"/>
    </row>
    <row r="22" spans="1:42" ht="15.75" thickTop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7" t="s">
        <v>155</v>
      </c>
      <c r="O22" s="178"/>
      <c r="P22" s="178"/>
      <c r="Q22" s="178"/>
      <c r="R22" s="178"/>
      <c r="S22" s="178"/>
      <c r="T22" s="178"/>
      <c r="U22" s="178"/>
      <c r="V22" s="178"/>
      <c r="W22" s="199"/>
      <c r="AA22" s="1"/>
      <c r="AB22" s="1"/>
      <c r="AD22" s="337" t="s">
        <v>252</v>
      </c>
      <c r="AE22" s="338">
        <v>34.75</v>
      </c>
      <c r="AF22" s="97">
        <f t="shared" si="5"/>
        <v>36.75</v>
      </c>
      <c r="AP22" s="1"/>
    </row>
    <row r="23" spans="1:42" ht="24" thickBot="1" x14ac:dyDescent="0.4">
      <c r="Y23" s="541" t="s">
        <v>284</v>
      </c>
      <c r="Z23" s="541"/>
      <c r="AA23" s="541"/>
      <c r="AB23" s="541"/>
      <c r="AD23" s="335" t="s">
        <v>253</v>
      </c>
      <c r="AE23" s="336">
        <v>37</v>
      </c>
      <c r="AF23" s="97">
        <f t="shared" si="5"/>
        <v>39</v>
      </c>
      <c r="AJ23" s="385"/>
      <c r="AP23" s="1"/>
    </row>
    <row r="24" spans="1:42" ht="16.5" thickTop="1" x14ac:dyDescent="0.25">
      <c r="Y24" s="362" t="s">
        <v>207</v>
      </c>
      <c r="Z24" s="363"/>
      <c r="AA24" s="352"/>
      <c r="AB24" s="364">
        <f>N10</f>
        <v>61.6</v>
      </c>
      <c r="AD24" s="337" t="s">
        <v>254</v>
      </c>
      <c r="AE24" s="338">
        <v>38.75</v>
      </c>
      <c r="AF24" s="97">
        <f t="shared" si="5"/>
        <v>40.75</v>
      </c>
      <c r="AP24" s="1"/>
    </row>
    <row r="25" spans="1:42" ht="15.75" x14ac:dyDescent="0.25">
      <c r="Y25" s="365" t="s">
        <v>208</v>
      </c>
      <c r="Z25" s="1"/>
      <c r="AB25" s="366">
        <f>P10</f>
        <v>1</v>
      </c>
      <c r="AD25" s="335" t="s">
        <v>255</v>
      </c>
      <c r="AE25" s="336">
        <v>42</v>
      </c>
      <c r="AF25" s="97">
        <f t="shared" si="5"/>
        <v>44</v>
      </c>
      <c r="AP25" s="1"/>
    </row>
    <row r="26" spans="1:42" ht="15.75" x14ac:dyDescent="0.25">
      <c r="Y26" s="365" t="s">
        <v>209</v>
      </c>
      <c r="Z26" s="1"/>
      <c r="AB26" s="367">
        <f>Q10</f>
        <v>250</v>
      </c>
      <c r="AD26" s="337" t="s">
        <v>256</v>
      </c>
      <c r="AE26" s="338">
        <v>46.25</v>
      </c>
      <c r="AF26" s="97">
        <f t="shared" si="5"/>
        <v>48.25</v>
      </c>
      <c r="AP26" s="1"/>
    </row>
    <row r="27" spans="1:42" ht="15.75" x14ac:dyDescent="0.25">
      <c r="Y27" s="365" t="s">
        <v>210</v>
      </c>
      <c r="Z27" s="1"/>
      <c r="AB27" s="367">
        <f>V10</f>
        <v>5</v>
      </c>
      <c r="AD27" s="335" t="s">
        <v>257</v>
      </c>
      <c r="AE27" s="336">
        <v>50.9</v>
      </c>
      <c r="AF27" s="97">
        <f t="shared" si="5"/>
        <v>52.9</v>
      </c>
      <c r="AP27" s="1"/>
    </row>
    <row r="28" spans="1:42" ht="15.75" x14ac:dyDescent="0.25">
      <c r="Y28" s="365" t="s">
        <v>216</v>
      </c>
      <c r="AB28" s="368">
        <f>S10</f>
        <v>0</v>
      </c>
      <c r="AD28" s="337" t="s">
        <v>258</v>
      </c>
      <c r="AE28" s="338">
        <v>52.85</v>
      </c>
      <c r="AF28" s="97">
        <f t="shared" si="5"/>
        <v>54.85</v>
      </c>
      <c r="AP28" s="1"/>
    </row>
    <row r="29" spans="1:42" ht="15.75" x14ac:dyDescent="0.25">
      <c r="Y29" s="365" t="s">
        <v>211</v>
      </c>
      <c r="Z29" s="1"/>
      <c r="AB29" s="367">
        <f>W10</f>
        <v>255</v>
      </c>
      <c r="AD29" s="335" t="s">
        <v>259</v>
      </c>
      <c r="AE29" s="336">
        <v>55.5</v>
      </c>
      <c r="AF29" s="97">
        <f t="shared" si="5"/>
        <v>57.5</v>
      </c>
      <c r="AP29" s="1"/>
    </row>
    <row r="30" spans="1:42" ht="16.5" thickBot="1" x14ac:dyDescent="0.3">
      <c r="Y30" s="369" t="s">
        <v>346</v>
      </c>
      <c r="Z30" s="354"/>
      <c r="AA30" s="539" t="s">
        <v>347</v>
      </c>
      <c r="AB30" s="540"/>
      <c r="AD30" s="337" t="s">
        <v>260</v>
      </c>
      <c r="AE30" s="338">
        <v>58.75</v>
      </c>
      <c r="AF30" s="97">
        <f t="shared" si="5"/>
        <v>60.75</v>
      </c>
      <c r="AP30" s="1"/>
    </row>
    <row r="31" spans="1:42" ht="15.75" thickTop="1" x14ac:dyDescent="0.25">
      <c r="AD31" s="335" t="s">
        <v>261</v>
      </c>
      <c r="AE31" s="336">
        <v>61</v>
      </c>
      <c r="AF31" s="97">
        <f t="shared" si="5"/>
        <v>63</v>
      </c>
      <c r="AP31" s="1"/>
    </row>
    <row r="32" spans="1:42" ht="24" thickBot="1" x14ac:dyDescent="0.4">
      <c r="Y32" s="541" t="s">
        <v>348</v>
      </c>
      <c r="Z32" s="541"/>
      <c r="AA32" s="541"/>
      <c r="AB32" s="541"/>
      <c r="AD32" s="337" t="s">
        <v>262</v>
      </c>
      <c r="AE32" s="338">
        <v>65.25</v>
      </c>
      <c r="AF32" s="97">
        <f t="shared" si="5"/>
        <v>67.25</v>
      </c>
      <c r="AP32" s="1"/>
    </row>
    <row r="33" spans="25:42" ht="16.5" thickTop="1" x14ac:dyDescent="0.25">
      <c r="Y33" s="362" t="s">
        <v>207</v>
      </c>
      <c r="Z33" s="363"/>
      <c r="AA33" s="352"/>
      <c r="AB33" s="364">
        <f>N3</f>
        <v>20.200000000000003</v>
      </c>
      <c r="AD33" s="335" t="s">
        <v>263</v>
      </c>
      <c r="AE33" s="336">
        <v>70.2</v>
      </c>
      <c r="AF33" s="97">
        <f t="shared" si="5"/>
        <v>72.2</v>
      </c>
      <c r="AP33" s="1"/>
    </row>
    <row r="34" spans="25:42" ht="15.75" x14ac:dyDescent="0.25">
      <c r="Y34" s="365" t="s">
        <v>208</v>
      </c>
      <c r="Z34" s="1"/>
      <c r="AB34" s="366">
        <f>P3</f>
        <v>5</v>
      </c>
      <c r="AD34" s="337" t="s">
        <v>264</v>
      </c>
      <c r="AE34" s="338">
        <v>74.75</v>
      </c>
      <c r="AF34" s="97">
        <f t="shared" si="5"/>
        <v>76.75</v>
      </c>
      <c r="AP34" s="1"/>
    </row>
    <row r="35" spans="25:42" ht="15.75" x14ac:dyDescent="0.25">
      <c r="Y35" s="365" t="s">
        <v>209</v>
      </c>
      <c r="Z35" s="1"/>
      <c r="AB35" s="367">
        <f>Q3</f>
        <v>250</v>
      </c>
      <c r="AD35" s="335" t="s">
        <v>265</v>
      </c>
      <c r="AE35" s="336">
        <v>76.5</v>
      </c>
      <c r="AF35" s="97">
        <f t="shared" si="5"/>
        <v>78.5</v>
      </c>
      <c r="AP35" s="1"/>
    </row>
    <row r="36" spans="25:42" ht="15.75" x14ac:dyDescent="0.25">
      <c r="Y36" s="365" t="s">
        <v>210</v>
      </c>
      <c r="Z36" s="1"/>
      <c r="AB36" s="367">
        <f>V3</f>
        <v>8</v>
      </c>
      <c r="AD36" s="337" t="s">
        <v>266</v>
      </c>
      <c r="AE36" s="338">
        <v>81.900000000000006</v>
      </c>
      <c r="AF36" s="97">
        <f t="shared" si="5"/>
        <v>83.9</v>
      </c>
      <c r="AP36" s="1"/>
    </row>
    <row r="37" spans="25:42" ht="15.75" x14ac:dyDescent="0.25">
      <c r="Y37" s="365" t="s">
        <v>216</v>
      </c>
      <c r="AB37" s="368">
        <f>S3</f>
        <v>125</v>
      </c>
      <c r="AD37" s="335" t="s">
        <v>267</v>
      </c>
      <c r="AE37" s="336">
        <v>90.25</v>
      </c>
      <c r="AF37" s="97">
        <f t="shared" si="5"/>
        <v>92.25</v>
      </c>
      <c r="AP37" s="1"/>
    </row>
    <row r="38" spans="25:42" ht="15.75" x14ac:dyDescent="0.25">
      <c r="Y38" s="365" t="s">
        <v>211</v>
      </c>
      <c r="Z38" s="1"/>
      <c r="AB38" s="367">
        <f>W3</f>
        <v>383</v>
      </c>
      <c r="AD38" s="337" t="s">
        <v>268</v>
      </c>
      <c r="AE38" s="338">
        <v>98.9</v>
      </c>
      <c r="AF38" s="97">
        <f t="shared" si="5"/>
        <v>100.9</v>
      </c>
      <c r="AP38" s="1"/>
    </row>
    <row r="39" spans="25:42" ht="16.5" thickBot="1" x14ac:dyDescent="0.3">
      <c r="Y39" s="369" t="s">
        <v>346</v>
      </c>
      <c r="Z39" s="354"/>
      <c r="AA39" s="539" t="s">
        <v>347</v>
      </c>
      <c r="AB39" s="540"/>
      <c r="AD39" s="335" t="s">
        <v>269</v>
      </c>
      <c r="AE39" s="336">
        <v>107.25</v>
      </c>
      <c r="AF39" s="97">
        <f t="shared" si="5"/>
        <v>109.25</v>
      </c>
      <c r="AP39" s="1"/>
    </row>
    <row r="40" spans="25:42" ht="15.75" thickTop="1" x14ac:dyDescent="0.25">
      <c r="AD40" s="337" t="s">
        <v>270</v>
      </c>
      <c r="AE40" s="338">
        <v>121.95</v>
      </c>
      <c r="AF40" s="97">
        <f t="shared" si="5"/>
        <v>123.95</v>
      </c>
      <c r="AP40" s="1"/>
    </row>
    <row r="41" spans="25:42" x14ac:dyDescent="0.25">
      <c r="AD41" s="335" t="s">
        <v>271</v>
      </c>
      <c r="AE41" s="336">
        <v>136.25</v>
      </c>
      <c r="AF41" s="97">
        <f t="shared" si="5"/>
        <v>138.25</v>
      </c>
      <c r="AP41" s="1"/>
    </row>
    <row r="42" spans="25:42" x14ac:dyDescent="0.25">
      <c r="AD42" s="337" t="s">
        <v>272</v>
      </c>
      <c r="AE42" s="338">
        <v>160.25</v>
      </c>
      <c r="AF42" s="97">
        <f t="shared" si="5"/>
        <v>162.25</v>
      </c>
      <c r="AP42" s="1"/>
    </row>
    <row r="43" spans="25:42" x14ac:dyDescent="0.25">
      <c r="AD43" s="335" t="s">
        <v>273</v>
      </c>
      <c r="AE43" s="336">
        <v>180.95</v>
      </c>
      <c r="AF43" s="97">
        <f>AE43+2</f>
        <v>182.95</v>
      </c>
      <c r="AP43" s="1"/>
    </row>
    <row r="44" spans="25:42" x14ac:dyDescent="0.25">
      <c r="AD44" s="337" t="s">
        <v>274</v>
      </c>
      <c r="AE44" s="338">
        <v>194.5</v>
      </c>
      <c r="AF44" s="97">
        <f t="shared" si="5"/>
        <v>196.5</v>
      </c>
      <c r="AP44" s="1"/>
    </row>
    <row r="45" spans="25:42" x14ac:dyDescent="0.25">
      <c r="AD45" s="335" t="s">
        <v>275</v>
      </c>
      <c r="AE45" s="336">
        <v>215.9</v>
      </c>
      <c r="AF45" s="97">
        <f t="shared" si="5"/>
        <v>217.9</v>
      </c>
      <c r="AP45" s="1"/>
    </row>
    <row r="46" spans="25:42" x14ac:dyDescent="0.25">
      <c r="AD46" s="337" t="s">
        <v>276</v>
      </c>
      <c r="AE46" s="338">
        <v>228.65</v>
      </c>
      <c r="AF46" s="97">
        <f t="shared" si="5"/>
        <v>230.65</v>
      </c>
      <c r="AP46" s="1"/>
    </row>
    <row r="47" spans="25:42" x14ac:dyDescent="0.25">
      <c r="AD47" s="335" t="s">
        <v>277</v>
      </c>
      <c r="AE47" s="336">
        <v>241.35</v>
      </c>
      <c r="AF47" s="97">
        <f t="shared" si="5"/>
        <v>243.35</v>
      </c>
      <c r="AP47" s="1"/>
    </row>
    <row r="48" spans="25:42" x14ac:dyDescent="0.25">
      <c r="AD48" s="337" t="s">
        <v>278</v>
      </c>
      <c r="AE48" s="338">
        <v>254.3</v>
      </c>
      <c r="AF48" s="97">
        <f t="shared" si="5"/>
        <v>256.3</v>
      </c>
      <c r="AP48" s="1"/>
    </row>
    <row r="49" spans="30:42" x14ac:dyDescent="0.25">
      <c r="AD49" s="335" t="s">
        <v>279</v>
      </c>
      <c r="AE49" s="336">
        <v>269</v>
      </c>
      <c r="AF49" s="97">
        <f t="shared" si="5"/>
        <v>271</v>
      </c>
      <c r="AP49" s="1"/>
    </row>
    <row r="50" spans="30:42" x14ac:dyDescent="0.25">
      <c r="AD50" s="337" t="s">
        <v>280</v>
      </c>
      <c r="AE50" s="338">
        <v>280.5</v>
      </c>
      <c r="AF50" s="97">
        <f t="shared" si="5"/>
        <v>282.5</v>
      </c>
      <c r="AP50" s="1"/>
    </row>
    <row r="51" spans="30:42" x14ac:dyDescent="0.25">
      <c r="AD51" s="335" t="s">
        <v>281</v>
      </c>
      <c r="AE51" s="336">
        <v>293.25</v>
      </c>
      <c r="AF51" s="97">
        <f t="shared" si="5"/>
        <v>295.25</v>
      </c>
      <c r="AP51" s="1"/>
    </row>
    <row r="52" spans="30:42" x14ac:dyDescent="0.25">
      <c r="AD52" s="337" t="s">
        <v>282</v>
      </c>
      <c r="AE52" s="338">
        <v>305.5</v>
      </c>
      <c r="AF52" s="97">
        <f t="shared" si="5"/>
        <v>307.5</v>
      </c>
      <c r="AP52" s="1"/>
    </row>
    <row r="53" spans="30:42" ht="15.75" thickBot="1" x14ac:dyDescent="0.3">
      <c r="AD53" s="339" t="s">
        <v>283</v>
      </c>
      <c r="AE53" s="340">
        <v>320.75</v>
      </c>
      <c r="AF53" s="97">
        <f t="shared" si="5"/>
        <v>322.75</v>
      </c>
      <c r="AP53" s="1"/>
    </row>
    <row r="54" spans="30:42" ht="15.75" thickTop="1" x14ac:dyDescent="0.25"/>
  </sheetData>
  <mergeCells count="8">
    <mergeCell ref="AD11:AE11"/>
    <mergeCell ref="AD9:AP9"/>
    <mergeCell ref="AA39:AB39"/>
    <mergeCell ref="Y14:AB14"/>
    <mergeCell ref="AA21:AB21"/>
    <mergeCell ref="Y23:AB23"/>
    <mergeCell ref="AA30:AB30"/>
    <mergeCell ref="Y32:AB32"/>
  </mergeCell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1A01-11C8-4F14-8167-C29762BCBC96}">
  <sheetPr>
    <tabColor rgb="FF92D050"/>
  </sheetPr>
  <dimension ref="A1:AA34"/>
  <sheetViews>
    <sheetView workbookViewId="0">
      <selection activeCell="X27" sqref="X27:AA33"/>
    </sheetView>
  </sheetViews>
  <sheetFormatPr defaultRowHeight="15" x14ac:dyDescent="0.25"/>
  <cols>
    <col min="3" max="3" width="11.140625" customWidth="1"/>
    <col min="4" max="13" width="9.140625" hidden="1" customWidth="1"/>
    <col min="19" max="19" width="10.42578125" customWidth="1"/>
    <col min="20" max="20" width="10.85546875" customWidth="1"/>
    <col min="21" max="21" width="12.140625" customWidth="1"/>
    <col min="23" max="23" width="10.42578125" customWidth="1"/>
    <col min="25" max="25" width="12.85546875" customWidth="1"/>
    <col min="26" max="26" width="16" customWidth="1"/>
    <col min="27" max="27" width="14.42578125" customWidth="1"/>
  </cols>
  <sheetData>
    <row r="1" spans="1:26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2.5</v>
      </c>
      <c r="B3" s="65">
        <v>3.5</v>
      </c>
      <c r="C3" s="65">
        <v>7.5</v>
      </c>
      <c r="D3" s="66">
        <v>0.125</v>
      </c>
      <c r="E3" s="66">
        <v>4.4999999999999998E-2</v>
      </c>
      <c r="F3" s="66">
        <f>(A3+B3)*C3</f>
        <v>45</v>
      </c>
      <c r="G3" s="66">
        <f>(A3+B3)/E3</f>
        <v>133.33333333333334</v>
      </c>
      <c r="H3" s="66">
        <f t="shared" ref="H3" si="0">C3/10</f>
        <v>0.75</v>
      </c>
      <c r="I3" s="66">
        <v>3.5</v>
      </c>
      <c r="J3" s="67">
        <f t="shared" ref="J3" si="1">H3*G3/60</f>
        <v>1.6666666666666667</v>
      </c>
      <c r="K3" s="67">
        <f>J3+I3</f>
        <v>5.166666666666667</v>
      </c>
      <c r="L3" s="68">
        <v>250</v>
      </c>
      <c r="M3" s="69">
        <f>L3/60</f>
        <v>4.166666666666667</v>
      </c>
      <c r="N3" s="70">
        <f>ROUNDUP(K3*M3,1)</f>
        <v>21.6</v>
      </c>
      <c r="O3" s="56"/>
      <c r="P3" s="30">
        <v>125</v>
      </c>
      <c r="Q3" s="71">
        <v>0.02</v>
      </c>
      <c r="R3" s="32">
        <v>5</v>
      </c>
      <c r="S3" s="35">
        <f>N3*R3</f>
        <v>108</v>
      </c>
      <c r="T3" s="33">
        <f>IF(S3&gt;Y3,S3,Y3)</f>
        <v>225</v>
      </c>
      <c r="U3" s="33">
        <f>T3+P3</f>
        <v>350</v>
      </c>
      <c r="V3" s="33">
        <f>ROUNDUP(U3*Q3,0)</f>
        <v>7</v>
      </c>
      <c r="W3" s="33">
        <f>U3+V3</f>
        <v>357</v>
      </c>
      <c r="X3" s="34"/>
      <c r="Y3" s="57">
        <v>225</v>
      </c>
      <c r="Z3" s="36">
        <f>ROUNDDOWN(Y3/N3,0)</f>
        <v>10</v>
      </c>
    </row>
    <row r="4" spans="1:26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0"/>
      <c r="T4" s="63"/>
      <c r="U4" s="63"/>
      <c r="V4" s="63"/>
      <c r="W4" s="63"/>
      <c r="X4" s="60"/>
      <c r="Y4" s="60"/>
      <c r="Z4" s="64"/>
    </row>
    <row r="5" spans="1:26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114" t="s">
        <v>287</v>
      </c>
      <c r="T5" s="52" t="s">
        <v>34</v>
      </c>
      <c r="U5" s="44" t="s">
        <v>30</v>
      </c>
      <c r="V5" s="53" t="s">
        <v>36</v>
      </c>
      <c r="W5" s="46" t="s">
        <v>37</v>
      </c>
      <c r="X5" s="21"/>
      <c r="Y5" s="37" t="s">
        <v>32</v>
      </c>
      <c r="Z5" s="37" t="s">
        <v>33</v>
      </c>
    </row>
    <row r="6" spans="1:26" x14ac:dyDescent="0.25">
      <c r="B6" s="14">
        <v>5</v>
      </c>
      <c r="C6" s="14">
        <v>3.5</v>
      </c>
      <c r="D6" s="66" t="s">
        <v>0</v>
      </c>
      <c r="E6" s="16">
        <v>4.4999999999999998E-2</v>
      </c>
      <c r="F6" s="16">
        <f>B6*3.14</f>
        <v>15.700000000000001</v>
      </c>
      <c r="G6" s="17">
        <f>F6/E6</f>
        <v>348.88888888888891</v>
      </c>
      <c r="H6" s="16">
        <f>C6/10</f>
        <v>0.35</v>
      </c>
      <c r="I6" s="16">
        <v>4</v>
      </c>
      <c r="J6" s="19">
        <f>H6*G6/60</f>
        <v>2.0351851851851852</v>
      </c>
      <c r="K6" s="20">
        <f>J6+I6</f>
        <v>6.0351851851851848</v>
      </c>
      <c r="L6" s="68">
        <v>250</v>
      </c>
      <c r="M6" s="69">
        <f>L6/60</f>
        <v>4.166666666666667</v>
      </c>
      <c r="N6" s="18">
        <f>ROUNDUP(K6*M6,1)</f>
        <v>25.200000000000003</v>
      </c>
      <c r="O6" s="56"/>
      <c r="P6" s="30">
        <v>125</v>
      </c>
      <c r="Q6" s="71">
        <v>0.02</v>
      </c>
      <c r="R6" s="32">
        <v>45</v>
      </c>
      <c r="S6" s="35">
        <f>N6*R6</f>
        <v>1134.0000000000002</v>
      </c>
      <c r="T6" s="33">
        <f>IF(S6&gt;Y6,S6,Y6)</f>
        <v>1134.0000000000002</v>
      </c>
      <c r="U6" s="33">
        <f>T6+P6</f>
        <v>1259.0000000000002</v>
      </c>
      <c r="V6" s="33">
        <f>ROUNDUP(U6*Q6,0)</f>
        <v>26</v>
      </c>
      <c r="W6" s="33">
        <f t="shared" ref="W6" si="2">U6+V6</f>
        <v>1285.0000000000002</v>
      </c>
      <c r="X6" s="56"/>
      <c r="Y6" s="58">
        <v>225</v>
      </c>
      <c r="Z6" s="47">
        <f>ROUNDDOWN(Y6/N6,0)</f>
        <v>8</v>
      </c>
    </row>
    <row r="7" spans="1:26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8"/>
      <c r="Q7" s="29"/>
      <c r="R7" s="21"/>
      <c r="S7" s="21"/>
      <c r="T7" s="27"/>
      <c r="U7" s="27"/>
      <c r="V7" s="27"/>
      <c r="W7" s="27"/>
      <c r="X7" s="25"/>
      <c r="Y7" s="21"/>
      <c r="Z7" s="21"/>
    </row>
    <row r="8" spans="1:26" x14ac:dyDescent="0.25">
      <c r="A8" s="1"/>
    </row>
    <row r="9" spans="1:26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88"/>
    </row>
    <row r="10" spans="1:26" ht="30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39"/>
      <c r="P10" s="113" t="s">
        <v>27</v>
      </c>
      <c r="Q10" s="113" t="s">
        <v>38</v>
      </c>
      <c r="R10" s="114" t="s">
        <v>35</v>
      </c>
      <c r="S10" s="114" t="s">
        <v>287</v>
      </c>
      <c r="T10" s="114" t="s">
        <v>34</v>
      </c>
      <c r="U10" s="114" t="s">
        <v>30</v>
      </c>
      <c r="V10" s="113" t="s">
        <v>36</v>
      </c>
      <c r="W10" s="115" t="s">
        <v>31</v>
      </c>
      <c r="X10" s="113"/>
      <c r="Y10" s="113" t="s">
        <v>32</v>
      </c>
      <c r="Z10" s="114" t="s">
        <v>33</v>
      </c>
    </row>
    <row r="11" spans="1:26" x14ac:dyDescent="0.25">
      <c r="A11" s="65">
        <v>0.5</v>
      </c>
      <c r="B11" s="65">
        <v>1.5</v>
      </c>
      <c r="C11" s="65">
        <v>1.5</v>
      </c>
      <c r="D11" s="66">
        <v>0.125</v>
      </c>
      <c r="E11" s="66">
        <v>4.4999999999999998E-2</v>
      </c>
      <c r="F11" s="66">
        <f>(A11+B11)*C11</f>
        <v>3</v>
      </c>
      <c r="G11" s="66">
        <f>(A11+B11)/E11</f>
        <v>44.444444444444443</v>
      </c>
      <c r="H11" s="66">
        <f t="shared" ref="H11" si="3">C11/10</f>
        <v>0.15</v>
      </c>
      <c r="I11" s="66">
        <v>3.5</v>
      </c>
      <c r="J11" s="67">
        <f t="shared" ref="J11" si="4">H11*G11/60</f>
        <v>0.1111111111111111</v>
      </c>
      <c r="K11" s="67">
        <f>J11+I11</f>
        <v>3.6111111111111112</v>
      </c>
      <c r="L11" s="68">
        <v>275</v>
      </c>
      <c r="M11" s="69">
        <f>L11/60</f>
        <v>4.583333333333333</v>
      </c>
      <c r="N11" s="70">
        <f>ROUNDUP(K11*M11,1)</f>
        <v>16.600000000000001</v>
      </c>
      <c r="O11" s="56"/>
      <c r="P11" s="30">
        <v>125</v>
      </c>
      <c r="Q11" s="71">
        <v>0.02</v>
      </c>
      <c r="R11" s="32">
        <v>50</v>
      </c>
      <c r="S11" s="35">
        <f>N11*R11</f>
        <v>830.00000000000011</v>
      </c>
      <c r="T11" s="33">
        <f>IF(S11&gt;Y11,S11,Y11)</f>
        <v>830.00000000000011</v>
      </c>
      <c r="U11" s="33">
        <f>T11+P11</f>
        <v>955.00000000000011</v>
      </c>
      <c r="V11" s="33">
        <f>ROUNDUP(U11*Q11,0)</f>
        <v>20</v>
      </c>
      <c r="W11" s="33">
        <f>U11+V11</f>
        <v>975.00000000000011</v>
      </c>
      <c r="X11" s="34"/>
      <c r="Y11" s="57">
        <v>250</v>
      </c>
      <c r="Z11" s="36">
        <f>ROUNDDOWN(Y11/N11,0)</f>
        <v>15</v>
      </c>
    </row>
    <row r="12" spans="1:26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0"/>
      <c r="S12" s="60"/>
      <c r="T12" s="63"/>
      <c r="U12" s="63"/>
      <c r="V12" s="63"/>
      <c r="W12" s="63"/>
      <c r="X12" s="60"/>
      <c r="Y12" s="60"/>
      <c r="Z12" s="64"/>
    </row>
    <row r="13" spans="1:26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40"/>
      <c r="P13" s="42" t="s">
        <v>27</v>
      </c>
      <c r="Q13" s="43" t="s">
        <v>38</v>
      </c>
      <c r="R13" s="49" t="s">
        <v>35</v>
      </c>
      <c r="S13" s="114" t="s">
        <v>287</v>
      </c>
      <c r="T13" s="52" t="s">
        <v>34</v>
      </c>
      <c r="U13" s="44" t="s">
        <v>30</v>
      </c>
      <c r="V13" s="53" t="s">
        <v>36</v>
      </c>
      <c r="W13" s="46" t="s">
        <v>37</v>
      </c>
      <c r="X13" s="21"/>
      <c r="Y13" s="37" t="s">
        <v>32</v>
      </c>
      <c r="Z13" s="37" t="s">
        <v>33</v>
      </c>
    </row>
    <row r="14" spans="1:26" x14ac:dyDescent="0.25">
      <c r="A14" s="1"/>
      <c r="B14" s="14">
        <v>1</v>
      </c>
      <c r="C14" s="14">
        <v>0.109</v>
      </c>
      <c r="D14" s="66" t="s">
        <v>0</v>
      </c>
      <c r="E14" s="16">
        <v>4.4999999999999998E-2</v>
      </c>
      <c r="F14" s="16">
        <f>B14*3.14</f>
        <v>3.14</v>
      </c>
      <c r="G14" s="17">
        <f>F14/E14</f>
        <v>69.777777777777786</v>
      </c>
      <c r="H14" s="16">
        <f>C14/10</f>
        <v>1.09E-2</v>
      </c>
      <c r="I14" s="16">
        <v>4</v>
      </c>
      <c r="J14" s="19">
        <f>H14*G14/60</f>
        <v>1.2676296296296298E-2</v>
      </c>
      <c r="K14" s="20">
        <f>J14+I14</f>
        <v>4.0126762962962967</v>
      </c>
      <c r="L14" s="68">
        <v>275</v>
      </c>
      <c r="M14" s="69">
        <f>L14/60</f>
        <v>4.583333333333333</v>
      </c>
      <c r="N14" s="18">
        <f>ROUNDUP(K14*M14,1)</f>
        <v>18.400000000000002</v>
      </c>
      <c r="O14" s="56"/>
      <c r="P14" s="30">
        <v>125</v>
      </c>
      <c r="Q14" s="71">
        <v>0.02</v>
      </c>
      <c r="R14" s="32">
        <v>1</v>
      </c>
      <c r="S14" s="35">
        <f>N14*R14</f>
        <v>18.400000000000002</v>
      </c>
      <c r="T14" s="33">
        <f>IF(S14&gt;Y14,S14,Y14)</f>
        <v>250</v>
      </c>
      <c r="U14" s="33">
        <f>T14+P14</f>
        <v>375</v>
      </c>
      <c r="V14" s="33">
        <f>ROUNDUP(U14*Q14,0)</f>
        <v>8</v>
      </c>
      <c r="W14" s="33">
        <f t="shared" ref="W14" si="5">U14+V14</f>
        <v>383</v>
      </c>
      <c r="X14" s="56"/>
      <c r="Y14" s="58">
        <v>250</v>
      </c>
      <c r="Z14" s="47">
        <f>ROUNDDOWN(Y14/N14,0)</f>
        <v>13</v>
      </c>
    </row>
    <row r="16" spans="1:26" ht="15.75" thickBot="1" x14ac:dyDescent="0.3"/>
    <row r="17" spans="1:27" ht="24.75" thickTop="1" thickBot="1" x14ac:dyDescent="0.4">
      <c r="A17" s="351"/>
      <c r="B17" s="372" t="s">
        <v>119</v>
      </c>
      <c r="C17" s="359"/>
      <c r="I17" s="1"/>
      <c r="J17" s="1"/>
      <c r="K17" s="1"/>
      <c r="L17" s="1"/>
      <c r="M17" s="1"/>
      <c r="N17" s="351"/>
      <c r="O17" s="352"/>
      <c r="P17" s="372" t="s">
        <v>149</v>
      </c>
      <c r="Q17" s="352"/>
      <c r="R17" s="352"/>
      <c r="S17" s="372" t="s">
        <v>149</v>
      </c>
      <c r="T17" s="359"/>
      <c r="X17" s="541" t="s">
        <v>348</v>
      </c>
      <c r="Y17" s="541"/>
      <c r="Z17" s="541"/>
      <c r="AA17" s="541"/>
    </row>
    <row r="18" spans="1:27" ht="16.5" thickTop="1" x14ac:dyDescent="0.25">
      <c r="A18" s="373" t="s">
        <v>32</v>
      </c>
      <c r="C18" s="376">
        <v>250</v>
      </c>
      <c r="I18" s="1"/>
      <c r="J18" s="1"/>
      <c r="K18" s="1"/>
      <c r="L18" s="1"/>
      <c r="M18" s="1"/>
      <c r="N18" s="373" t="s">
        <v>150</v>
      </c>
      <c r="T18" s="374"/>
      <c r="X18" s="362" t="s">
        <v>207</v>
      </c>
      <c r="Y18" s="363"/>
      <c r="Z18" s="352"/>
      <c r="AA18" s="364">
        <f>N3</f>
        <v>21.6</v>
      </c>
    </row>
    <row r="19" spans="1:27" ht="15.75" x14ac:dyDescent="0.25">
      <c r="A19" s="373" t="s">
        <v>120</v>
      </c>
      <c r="C19" s="376">
        <v>125</v>
      </c>
      <c r="I19" s="1"/>
      <c r="J19" s="1"/>
      <c r="K19" s="1"/>
      <c r="L19" s="1"/>
      <c r="M19" s="1"/>
      <c r="N19" s="373" t="s">
        <v>151</v>
      </c>
      <c r="T19" s="374"/>
      <c r="X19" s="365" t="s">
        <v>208</v>
      </c>
      <c r="Y19" s="1"/>
      <c r="AA19" s="366">
        <f>R3</f>
        <v>5</v>
      </c>
    </row>
    <row r="20" spans="1:27" ht="15.75" x14ac:dyDescent="0.25">
      <c r="A20" s="373" t="s">
        <v>36</v>
      </c>
      <c r="C20" s="377" t="s">
        <v>122</v>
      </c>
      <c r="I20" s="1"/>
      <c r="J20" s="1"/>
      <c r="K20" s="1"/>
      <c r="L20" s="1"/>
      <c r="M20" s="1"/>
      <c r="N20" s="373"/>
      <c r="T20" s="374"/>
      <c r="X20" s="365" t="s">
        <v>209</v>
      </c>
      <c r="Y20" s="1"/>
      <c r="AA20" s="367">
        <f>T3</f>
        <v>225</v>
      </c>
    </row>
    <row r="21" spans="1:27" ht="15.75" x14ac:dyDescent="0.25">
      <c r="A21" s="373" t="s">
        <v>121</v>
      </c>
      <c r="C21" s="377" t="s">
        <v>123</v>
      </c>
      <c r="I21" s="1"/>
      <c r="J21" s="1"/>
      <c r="K21" s="1"/>
      <c r="L21" s="1"/>
      <c r="M21" s="1"/>
      <c r="N21" s="373" t="s">
        <v>152</v>
      </c>
      <c r="T21" s="374"/>
      <c r="X21" s="365" t="s">
        <v>210</v>
      </c>
      <c r="Y21" s="1"/>
      <c r="AA21" s="367">
        <f>V3</f>
        <v>7</v>
      </c>
    </row>
    <row r="22" spans="1:27" ht="16.5" thickBot="1" x14ac:dyDescent="0.3">
      <c r="A22" s="353" t="s">
        <v>124</v>
      </c>
      <c r="B22" s="354"/>
      <c r="C22" s="378" t="s">
        <v>156</v>
      </c>
      <c r="I22" s="1"/>
      <c r="J22" s="1"/>
      <c r="K22" s="1"/>
      <c r="L22" s="1"/>
      <c r="M22" s="1"/>
      <c r="N22" s="373" t="s">
        <v>153</v>
      </c>
      <c r="T22" s="374"/>
      <c r="X22" s="365" t="s">
        <v>216</v>
      </c>
      <c r="AA22" s="368">
        <f>P3</f>
        <v>125</v>
      </c>
    </row>
    <row r="23" spans="1:27" ht="16.5" thickTop="1" x14ac:dyDescent="0.25">
      <c r="I23" s="1"/>
      <c r="J23" s="1"/>
      <c r="K23" s="1"/>
      <c r="L23" s="1"/>
      <c r="M23" s="1"/>
      <c r="N23" s="373"/>
      <c r="T23" s="374"/>
      <c r="X23" s="365" t="s">
        <v>211</v>
      </c>
      <c r="Y23" s="1"/>
      <c r="AA23" s="367">
        <f>W3</f>
        <v>357</v>
      </c>
    </row>
    <row r="24" spans="1:27" ht="16.5" thickBot="1" x14ac:dyDescent="0.3">
      <c r="I24" s="1"/>
      <c r="J24" s="1"/>
      <c r="K24" s="1"/>
      <c r="L24" s="1"/>
      <c r="M24" s="1"/>
      <c r="N24" s="373" t="s">
        <v>154</v>
      </c>
      <c r="T24" s="374"/>
      <c r="X24" s="369" t="s">
        <v>346</v>
      </c>
      <c r="Y24" s="354"/>
      <c r="Z24" s="539" t="s">
        <v>347</v>
      </c>
      <c r="AA24" s="540"/>
    </row>
    <row r="25" spans="1:27" ht="16.5" thickTop="1" thickBot="1" x14ac:dyDescent="0.3">
      <c r="I25" s="1"/>
      <c r="J25" s="1"/>
      <c r="K25" s="1"/>
      <c r="L25" s="1"/>
      <c r="M25" s="1"/>
      <c r="N25" s="353" t="s">
        <v>155</v>
      </c>
      <c r="O25" s="354"/>
      <c r="P25" s="354"/>
      <c r="Q25" s="354"/>
      <c r="R25" s="354"/>
      <c r="S25" s="354"/>
      <c r="T25" s="375"/>
      <c r="Z25" s="1"/>
      <c r="AA25" s="1"/>
    </row>
    <row r="26" spans="1:27" ht="24.75" thickTop="1" thickBot="1" x14ac:dyDescent="0.4">
      <c r="X26" s="541" t="s">
        <v>284</v>
      </c>
      <c r="Y26" s="541"/>
      <c r="Z26" s="541"/>
      <c r="AA26" s="541"/>
    </row>
    <row r="27" spans="1:27" ht="16.5" thickTop="1" x14ac:dyDescent="0.25">
      <c r="X27" s="362" t="s">
        <v>207</v>
      </c>
      <c r="Y27" s="363"/>
      <c r="Z27" s="352"/>
      <c r="AA27" s="364">
        <f>N6</f>
        <v>25.200000000000003</v>
      </c>
    </row>
    <row r="28" spans="1:27" ht="15.75" x14ac:dyDescent="0.25">
      <c r="X28" s="365" t="s">
        <v>208</v>
      </c>
      <c r="Y28" s="1"/>
      <c r="AA28" s="366">
        <f>R6</f>
        <v>45</v>
      </c>
    </row>
    <row r="29" spans="1:27" ht="15.75" x14ac:dyDescent="0.25">
      <c r="X29" s="365" t="s">
        <v>209</v>
      </c>
      <c r="Y29" s="1"/>
      <c r="AA29" s="367">
        <f>T6</f>
        <v>1134.0000000000002</v>
      </c>
    </row>
    <row r="30" spans="1:27" ht="15.75" x14ac:dyDescent="0.25">
      <c r="X30" s="365" t="s">
        <v>210</v>
      </c>
      <c r="Y30" s="1"/>
      <c r="AA30" s="367">
        <f>V6</f>
        <v>26</v>
      </c>
    </row>
    <row r="31" spans="1:27" ht="15.75" x14ac:dyDescent="0.25">
      <c r="X31" s="365" t="s">
        <v>216</v>
      </c>
      <c r="AA31" s="368">
        <f>P6</f>
        <v>125</v>
      </c>
    </row>
    <row r="32" spans="1:27" ht="15.75" x14ac:dyDescent="0.25">
      <c r="X32" s="365" t="s">
        <v>211</v>
      </c>
      <c r="Y32" s="1"/>
      <c r="AA32" s="367">
        <f>W6</f>
        <v>1285.0000000000002</v>
      </c>
    </row>
    <row r="33" spans="24:27" ht="16.5" thickBot="1" x14ac:dyDescent="0.3">
      <c r="X33" s="369" t="s">
        <v>346</v>
      </c>
      <c r="Y33" s="354"/>
      <c r="Z33" s="539" t="s">
        <v>347</v>
      </c>
      <c r="AA33" s="540"/>
    </row>
    <row r="34" spans="24:27" ht="15.75" thickTop="1" x14ac:dyDescent="0.25"/>
  </sheetData>
  <mergeCells count="4">
    <mergeCell ref="X17:AA17"/>
    <mergeCell ref="Z24:AA24"/>
    <mergeCell ref="X26:AA26"/>
    <mergeCell ref="Z33:AA33"/>
  </mergeCell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A686-EB66-413A-97F3-DF3FDD148D50}">
  <sheetPr>
    <tabColor rgb="FF92D050"/>
  </sheetPr>
  <dimension ref="A1:Y25"/>
  <sheetViews>
    <sheetView workbookViewId="0">
      <selection activeCell="J43" sqref="J43"/>
    </sheetView>
  </sheetViews>
  <sheetFormatPr defaultRowHeight="15" x14ac:dyDescent="0.25"/>
  <cols>
    <col min="19" max="19" width="12" bestFit="1" customWidth="1"/>
    <col min="20" max="20" width="10.5703125" bestFit="1" customWidth="1"/>
    <col min="22" max="22" width="9.85546875" bestFit="1" customWidth="1"/>
    <col min="23" max="23" width="12.42578125" bestFit="1" customWidth="1"/>
  </cols>
  <sheetData>
    <row r="1" spans="1:25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88"/>
    </row>
    <row r="2" spans="1:25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34</v>
      </c>
      <c r="T2" s="114" t="s">
        <v>30</v>
      </c>
      <c r="U2" s="113" t="s">
        <v>36</v>
      </c>
      <c r="V2" s="115" t="s">
        <v>31</v>
      </c>
      <c r="W2" s="113"/>
      <c r="X2" s="113" t="s">
        <v>32</v>
      </c>
      <c r="Y2" s="114" t="s">
        <v>33</v>
      </c>
    </row>
    <row r="3" spans="1:25" x14ac:dyDescent="0.25">
      <c r="A3" s="65">
        <v>2</v>
      </c>
      <c r="B3" s="65">
        <v>7.65</v>
      </c>
      <c r="C3" s="65">
        <v>8.1999999999999993</v>
      </c>
      <c r="D3" s="66">
        <v>0.125</v>
      </c>
      <c r="E3" s="66">
        <v>6.5000000000000002E-2</v>
      </c>
      <c r="F3" s="66">
        <f>(A3+B3)*C3</f>
        <v>79.13</v>
      </c>
      <c r="G3" s="66">
        <f>(A3+B3)/E3</f>
        <v>148.46153846153845</v>
      </c>
      <c r="H3" s="66">
        <f t="shared" ref="H3" si="0">C3/10</f>
        <v>0.82</v>
      </c>
      <c r="I3" s="66">
        <v>2</v>
      </c>
      <c r="J3" s="67">
        <f t="shared" ref="J3" si="1">H3*G3/60</f>
        <v>2.0289743589743585</v>
      </c>
      <c r="K3" s="67">
        <f>J3+I3</f>
        <v>4.0289743589743585</v>
      </c>
      <c r="L3" s="68">
        <v>225</v>
      </c>
      <c r="M3" s="69">
        <f>L3/60</f>
        <v>3.75</v>
      </c>
      <c r="N3" s="70">
        <f>ROUNDUP(K3*M3,1)</f>
        <v>15.2</v>
      </c>
      <c r="O3" s="56" t="s">
        <v>201</v>
      </c>
      <c r="P3" s="30">
        <v>125</v>
      </c>
      <c r="Q3" s="71">
        <v>0.02</v>
      </c>
      <c r="R3" s="32">
        <v>37</v>
      </c>
      <c r="S3" s="33">
        <f>N3*R3</f>
        <v>562.4</v>
      </c>
      <c r="T3" s="33">
        <f>(N3*R3)+P3</f>
        <v>687.4</v>
      </c>
      <c r="U3" s="33">
        <f>ROUNDUP(T3*Q3,0)</f>
        <v>14</v>
      </c>
      <c r="V3" s="33">
        <f>T3+U3</f>
        <v>701.4</v>
      </c>
      <c r="W3" s="34"/>
      <c r="X3" s="57">
        <v>225</v>
      </c>
      <c r="Y3" s="36">
        <f>ROUNDDOWN(X3/N3,0)</f>
        <v>14</v>
      </c>
    </row>
    <row r="4" spans="1:25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3"/>
      <c r="T4" s="63"/>
      <c r="U4" s="63"/>
      <c r="V4" s="63"/>
      <c r="W4" s="60"/>
      <c r="X4" s="60"/>
      <c r="Y4" s="64"/>
    </row>
    <row r="5" spans="1:25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52" t="s">
        <v>34</v>
      </c>
      <c r="T5" s="44" t="s">
        <v>30</v>
      </c>
      <c r="U5" s="53" t="s">
        <v>36</v>
      </c>
      <c r="V5" s="46" t="s">
        <v>37</v>
      </c>
      <c r="W5" s="21"/>
      <c r="X5" s="37" t="s">
        <v>32</v>
      </c>
      <c r="Y5" s="37" t="s">
        <v>33</v>
      </c>
    </row>
    <row r="6" spans="1:25" x14ac:dyDescent="0.25">
      <c r="B6" s="14">
        <v>8</v>
      </c>
      <c r="C6" s="14">
        <v>3.82</v>
      </c>
      <c r="D6" s="66" t="s">
        <v>0</v>
      </c>
      <c r="E6" s="16">
        <v>6.5000000000000002E-2</v>
      </c>
      <c r="F6" s="16">
        <f>B6*3.14</f>
        <v>25.12</v>
      </c>
      <c r="G6" s="17">
        <f>F6/E6</f>
        <v>386.46153846153845</v>
      </c>
      <c r="H6" s="16">
        <f>C6/10</f>
        <v>0.38200000000000001</v>
      </c>
      <c r="I6" s="16">
        <v>3</v>
      </c>
      <c r="J6" s="19">
        <f>H6*G6/60</f>
        <v>2.4604717948717947</v>
      </c>
      <c r="K6" s="20">
        <f>J6+I6</f>
        <v>5.4604717948717951</v>
      </c>
      <c r="L6" s="68">
        <v>225</v>
      </c>
      <c r="M6" s="69">
        <f>L6/60</f>
        <v>3.75</v>
      </c>
      <c r="N6" s="18">
        <f>ROUNDUP(K6*M6,1)</f>
        <v>20.5</v>
      </c>
      <c r="O6" s="56" t="s">
        <v>201</v>
      </c>
      <c r="P6" s="30">
        <v>125</v>
      </c>
      <c r="Q6" s="71">
        <v>0.02</v>
      </c>
      <c r="R6" s="32">
        <v>176</v>
      </c>
      <c r="S6" s="55">
        <f>N6*R6</f>
        <v>3608</v>
      </c>
      <c r="T6" s="55">
        <f>(N6*R6)+P6</f>
        <v>3733</v>
      </c>
      <c r="U6" s="33">
        <f>ROUNDUP(T6*Q6,0)</f>
        <v>75</v>
      </c>
      <c r="V6" s="33">
        <f t="shared" ref="V6" si="2">T6+U6</f>
        <v>3808</v>
      </c>
      <c r="W6" s="56"/>
      <c r="X6" s="58">
        <v>225</v>
      </c>
      <c r="Y6" s="47">
        <f>ROUNDDOWN(X6/N6,0)</f>
        <v>10</v>
      </c>
    </row>
    <row r="7" spans="1:25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8"/>
      <c r="Q7" s="29"/>
      <c r="R7" s="21"/>
      <c r="S7" s="27"/>
      <c r="T7" s="27"/>
      <c r="U7" s="27"/>
      <c r="V7" s="27"/>
      <c r="W7" s="25"/>
      <c r="X7" s="21"/>
      <c r="Y7" s="21"/>
    </row>
    <row r="8" spans="1:25" x14ac:dyDescent="0.25">
      <c r="A8" s="1"/>
    </row>
    <row r="9" spans="1:25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181"/>
      <c r="Q9" s="181"/>
      <c r="R9" s="181"/>
      <c r="S9" s="181"/>
      <c r="T9" s="181"/>
      <c r="U9" s="181"/>
      <c r="V9" s="181"/>
      <c r="W9" s="181"/>
      <c r="X9" s="181"/>
      <c r="Y9" s="88"/>
    </row>
    <row r="10" spans="1:25" ht="30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39"/>
      <c r="P10" s="113" t="s">
        <v>27</v>
      </c>
      <c r="Q10" s="113" t="s">
        <v>38</v>
      </c>
      <c r="R10" s="114" t="s">
        <v>35</v>
      </c>
      <c r="S10" s="114" t="s">
        <v>34</v>
      </c>
      <c r="T10" s="114" t="s">
        <v>30</v>
      </c>
      <c r="U10" s="113" t="s">
        <v>36</v>
      </c>
      <c r="V10" s="115" t="s">
        <v>31</v>
      </c>
      <c r="W10" s="113"/>
      <c r="X10" s="113" t="s">
        <v>32</v>
      </c>
      <c r="Y10" s="114" t="s">
        <v>33</v>
      </c>
    </row>
    <row r="11" spans="1:25" x14ac:dyDescent="0.25">
      <c r="A11" s="65">
        <v>0.5</v>
      </c>
      <c r="B11" s="65">
        <v>7.5</v>
      </c>
      <c r="C11" s="65">
        <v>8.5</v>
      </c>
      <c r="D11" s="66">
        <v>0.125</v>
      </c>
      <c r="E11" s="66">
        <v>6.5000000000000002E-2</v>
      </c>
      <c r="F11" s="66">
        <f>(A11+B11)*C11</f>
        <v>68</v>
      </c>
      <c r="G11" s="66">
        <f>(A11+B11)/E11</f>
        <v>123.07692307692307</v>
      </c>
      <c r="H11" s="66">
        <f t="shared" ref="H11" si="3">C11/10</f>
        <v>0.85</v>
      </c>
      <c r="I11" s="66">
        <v>3</v>
      </c>
      <c r="J11" s="67">
        <f t="shared" ref="J11" si="4">H11*G11/60</f>
        <v>1.7435897435897434</v>
      </c>
      <c r="K11" s="67">
        <f>J11+I11</f>
        <v>4.7435897435897436</v>
      </c>
      <c r="L11" s="68">
        <v>250</v>
      </c>
      <c r="M11" s="69">
        <f>L11/60</f>
        <v>4.166666666666667</v>
      </c>
      <c r="N11" s="70">
        <f>ROUNDUP(K11*M11,1)</f>
        <v>19.8</v>
      </c>
      <c r="O11" s="56" t="s">
        <v>201</v>
      </c>
      <c r="P11" s="30">
        <v>125</v>
      </c>
      <c r="Q11" s="71">
        <v>0.02</v>
      </c>
      <c r="R11" s="32">
        <v>8</v>
      </c>
      <c r="S11" s="33">
        <f>N11*R11</f>
        <v>158.4</v>
      </c>
      <c r="T11" s="33">
        <f>(N11*R11)+P11</f>
        <v>283.39999999999998</v>
      </c>
      <c r="U11" s="33">
        <f>ROUNDUP(T11*Q11,0)</f>
        <v>6</v>
      </c>
      <c r="V11" s="33">
        <f>T11+U11</f>
        <v>289.39999999999998</v>
      </c>
      <c r="W11" s="34"/>
      <c r="X11" s="57">
        <v>250</v>
      </c>
      <c r="Y11" s="36">
        <f>ROUNDDOWN(X11/N11,0)</f>
        <v>12</v>
      </c>
    </row>
    <row r="12" spans="1:25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0"/>
      <c r="S12" s="63"/>
      <c r="T12" s="63"/>
      <c r="U12" s="63"/>
      <c r="V12" s="63"/>
      <c r="W12" s="60"/>
      <c r="X12" s="60"/>
      <c r="Y12" s="64"/>
    </row>
    <row r="13" spans="1:25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40"/>
      <c r="P13" s="42" t="s">
        <v>27</v>
      </c>
      <c r="Q13" s="43" t="s">
        <v>38</v>
      </c>
      <c r="R13" s="49" t="s">
        <v>35</v>
      </c>
      <c r="S13" s="52" t="s">
        <v>34</v>
      </c>
      <c r="T13" s="44" t="s">
        <v>30</v>
      </c>
      <c r="U13" s="53" t="s">
        <v>36</v>
      </c>
      <c r="V13" s="46" t="s">
        <v>37</v>
      </c>
      <c r="W13" s="21"/>
      <c r="X13" s="37" t="s">
        <v>32</v>
      </c>
      <c r="Y13" s="37" t="s">
        <v>33</v>
      </c>
    </row>
    <row r="14" spans="1:25" x14ac:dyDescent="0.25">
      <c r="A14" s="1"/>
      <c r="B14" s="14">
        <v>2</v>
      </c>
      <c r="C14" s="14">
        <v>2</v>
      </c>
      <c r="D14" s="66" t="s">
        <v>0</v>
      </c>
      <c r="E14" s="16">
        <v>6.5000000000000002E-2</v>
      </c>
      <c r="F14" s="16">
        <f>B14*3.14</f>
        <v>6.28</v>
      </c>
      <c r="G14" s="17">
        <f>F14/E14</f>
        <v>96.615384615384613</v>
      </c>
      <c r="H14" s="16">
        <f>C14/10</f>
        <v>0.2</v>
      </c>
      <c r="I14" s="16">
        <v>3</v>
      </c>
      <c r="J14" s="19">
        <f>H14*G14/60</f>
        <v>0.32205128205128208</v>
      </c>
      <c r="K14" s="20">
        <f>J14+I14</f>
        <v>3.322051282051282</v>
      </c>
      <c r="L14" s="68">
        <v>250</v>
      </c>
      <c r="M14" s="69">
        <f>L14/60</f>
        <v>4.166666666666667</v>
      </c>
      <c r="N14" s="18">
        <f>ROUNDUP(K14*M14,1)</f>
        <v>13.9</v>
      </c>
      <c r="O14" s="56" t="s">
        <v>201</v>
      </c>
      <c r="P14" s="30">
        <v>125</v>
      </c>
      <c r="Q14" s="71">
        <v>0.02</v>
      </c>
      <c r="R14" s="32">
        <v>1</v>
      </c>
      <c r="S14" s="55">
        <f>N14*R14</f>
        <v>13.9</v>
      </c>
      <c r="T14" s="55">
        <f>(N14*R14)+P14</f>
        <v>138.9</v>
      </c>
      <c r="U14" s="33">
        <f>ROUNDUP(T14*Q14,0)</f>
        <v>3</v>
      </c>
      <c r="V14" s="33">
        <f t="shared" ref="V14" si="5">T14+U14</f>
        <v>141.9</v>
      </c>
      <c r="W14" s="56"/>
      <c r="X14" s="58">
        <v>250</v>
      </c>
      <c r="Y14" s="47">
        <f>ROUNDDOWN(X14/N14,0)</f>
        <v>17</v>
      </c>
    </row>
    <row r="17" spans="1:23" ht="24" thickBot="1" x14ac:dyDescent="0.4">
      <c r="A17" s="171"/>
      <c r="B17" s="172" t="s">
        <v>119</v>
      </c>
      <c r="C17" s="173"/>
      <c r="I17" s="171"/>
      <c r="J17" s="198"/>
      <c r="K17" s="198"/>
      <c r="L17" s="198"/>
      <c r="M17" s="198"/>
      <c r="N17" s="172" t="s">
        <v>149</v>
      </c>
      <c r="O17" s="198"/>
      <c r="P17" s="198"/>
      <c r="Q17" s="198"/>
      <c r="R17" s="173"/>
      <c r="T17" s="541" t="s">
        <v>348</v>
      </c>
      <c r="U17" s="541"/>
      <c r="V17" s="541"/>
      <c r="W17" s="541"/>
    </row>
    <row r="18" spans="1:23" ht="16.5" thickTop="1" x14ac:dyDescent="0.25">
      <c r="A18" s="174" t="s">
        <v>32</v>
      </c>
      <c r="C18" s="175">
        <v>225</v>
      </c>
      <c r="I18" s="174" t="s">
        <v>150</v>
      </c>
      <c r="R18" s="176"/>
      <c r="T18" s="362" t="s">
        <v>207</v>
      </c>
      <c r="U18" s="363"/>
      <c r="V18" s="352"/>
      <c r="W18" s="364">
        <f>N3</f>
        <v>15.2</v>
      </c>
    </row>
    <row r="19" spans="1:23" ht="15.75" x14ac:dyDescent="0.25">
      <c r="A19" s="174" t="s">
        <v>120</v>
      </c>
      <c r="C19" s="175">
        <v>125</v>
      </c>
      <c r="I19" s="174" t="s">
        <v>151</v>
      </c>
      <c r="R19" s="176"/>
      <c r="T19" s="365" t="s">
        <v>208</v>
      </c>
      <c r="U19" s="1"/>
      <c r="W19" s="366">
        <f>R3</f>
        <v>37</v>
      </c>
    </row>
    <row r="20" spans="1:23" ht="15.75" x14ac:dyDescent="0.25">
      <c r="A20" s="174" t="s">
        <v>36</v>
      </c>
      <c r="C20" s="176" t="s">
        <v>122</v>
      </c>
      <c r="I20" s="174"/>
      <c r="R20" s="176"/>
      <c r="T20" s="365" t="s">
        <v>209</v>
      </c>
      <c r="U20" s="1"/>
      <c r="W20" s="367">
        <f>S3</f>
        <v>562.4</v>
      </c>
    </row>
    <row r="21" spans="1:23" ht="15.75" x14ac:dyDescent="0.25">
      <c r="A21" s="174" t="s">
        <v>121</v>
      </c>
      <c r="C21" s="176" t="s">
        <v>123</v>
      </c>
      <c r="I21" s="174" t="s">
        <v>152</v>
      </c>
      <c r="R21" s="176"/>
      <c r="T21" s="365" t="s">
        <v>210</v>
      </c>
      <c r="U21" s="1"/>
      <c r="W21" s="367">
        <f>U3</f>
        <v>14</v>
      </c>
    </row>
    <row r="22" spans="1:23" ht="15.75" x14ac:dyDescent="0.25">
      <c r="A22" s="177" t="s">
        <v>124</v>
      </c>
      <c r="B22" s="178"/>
      <c r="C22" s="179" t="s">
        <v>198</v>
      </c>
      <c r="I22" s="174" t="s">
        <v>153</v>
      </c>
      <c r="R22" s="176"/>
      <c r="T22" s="365" t="s">
        <v>216</v>
      </c>
      <c r="W22" s="368">
        <f>P3</f>
        <v>125</v>
      </c>
    </row>
    <row r="23" spans="1:23" ht="15.75" x14ac:dyDescent="0.25">
      <c r="I23" s="174"/>
      <c r="R23" s="176"/>
      <c r="T23" s="365" t="s">
        <v>211</v>
      </c>
      <c r="U23" s="1"/>
      <c r="W23" s="367">
        <f>V3</f>
        <v>701.4</v>
      </c>
    </row>
    <row r="24" spans="1:23" ht="16.5" thickBot="1" x14ac:dyDescent="0.3">
      <c r="I24" s="174" t="s">
        <v>154</v>
      </c>
      <c r="R24" s="176"/>
      <c r="T24" s="369" t="s">
        <v>346</v>
      </c>
      <c r="U24" s="354"/>
      <c r="V24" s="539" t="s">
        <v>347</v>
      </c>
      <c r="W24" s="540"/>
    </row>
    <row r="25" spans="1:23" ht="15.75" thickTop="1" x14ac:dyDescent="0.25">
      <c r="I25" s="177" t="s">
        <v>155</v>
      </c>
      <c r="J25" s="178"/>
      <c r="K25" s="178"/>
      <c r="L25" s="178"/>
      <c r="M25" s="178"/>
      <c r="N25" s="178"/>
      <c r="O25" s="178"/>
      <c r="P25" s="178"/>
      <c r="Q25" s="178"/>
      <c r="R25" s="199"/>
    </row>
  </sheetData>
  <mergeCells count="2">
    <mergeCell ref="V24:W24"/>
    <mergeCell ref="T17:W17"/>
  </mergeCells>
  <pageMargins left="0.7" right="0.7" top="0.75" bottom="0.75" header="0.3" footer="0.3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AAA7-5A28-4E79-936B-1AC9E8C02A8A}">
  <sheetPr>
    <tabColor rgb="FFFF0000"/>
  </sheetPr>
  <dimension ref="A1:Z45"/>
  <sheetViews>
    <sheetView topLeftCell="A7" workbookViewId="0">
      <selection activeCell="K45" sqref="K45"/>
    </sheetView>
  </sheetViews>
  <sheetFormatPr defaultRowHeight="15" x14ac:dyDescent="0.25"/>
  <cols>
    <col min="4" max="9" width="9.140625" customWidth="1"/>
    <col min="10" max="10" width="10.28515625" customWidth="1"/>
    <col min="11" max="11" width="10.140625" customWidth="1"/>
    <col min="12" max="13" width="9.140625" customWidth="1"/>
    <col min="15" max="15" width="21.5703125" customWidth="1"/>
    <col min="17" max="17" width="0" hidden="1" customWidth="1"/>
    <col min="19" max="19" width="11.7109375" hidden="1" customWidth="1"/>
    <col min="20" max="20" width="12.7109375" customWidth="1"/>
    <col min="21" max="21" width="12.42578125" customWidth="1"/>
  </cols>
  <sheetData>
    <row r="1" spans="1:26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0.5</v>
      </c>
      <c r="B3" s="65">
        <v>24</v>
      </c>
      <c r="C3" s="65">
        <v>24</v>
      </c>
      <c r="D3" s="66">
        <v>0.125</v>
      </c>
      <c r="E3" s="66">
        <v>6.5000000000000002E-2</v>
      </c>
      <c r="F3" s="66">
        <f>(A3+B3)*C3</f>
        <v>588</v>
      </c>
      <c r="G3" s="66">
        <f>(A3+B3)/E3</f>
        <v>376.92307692307691</v>
      </c>
      <c r="H3" s="66">
        <f t="shared" ref="H3" si="0">C3/10</f>
        <v>2.4</v>
      </c>
      <c r="I3" s="66">
        <v>4</v>
      </c>
      <c r="J3" s="67">
        <f t="shared" ref="J3" si="1">H3*G3/60</f>
        <v>15.076923076923075</v>
      </c>
      <c r="K3" s="67">
        <f>J3+I3</f>
        <v>19.076923076923073</v>
      </c>
      <c r="L3" s="68">
        <v>250</v>
      </c>
      <c r="M3" s="69">
        <f>L3/60</f>
        <v>4.166666666666667</v>
      </c>
      <c r="N3" s="70">
        <f>ROUNDUP(K3*M3,1)</f>
        <v>79.5</v>
      </c>
      <c r="O3" s="56" t="s">
        <v>237</v>
      </c>
      <c r="P3" s="30">
        <v>125</v>
      </c>
      <c r="Q3" s="71">
        <v>0.02</v>
      </c>
      <c r="R3" s="32">
        <v>1</v>
      </c>
      <c r="S3" s="35">
        <f>N3*R3</f>
        <v>79.5</v>
      </c>
      <c r="T3" s="33">
        <f>IF(S3&gt;Y3,S3,Y3)</f>
        <v>250</v>
      </c>
      <c r="U3" s="33">
        <f>T3+P3</f>
        <v>375</v>
      </c>
      <c r="V3" s="33">
        <f>ROUNDUP(U3*Q3,0)</f>
        <v>8</v>
      </c>
      <c r="W3" s="33">
        <f>U3+V3</f>
        <v>383</v>
      </c>
      <c r="X3" s="34"/>
      <c r="Y3" s="57">
        <v>250</v>
      </c>
      <c r="Z3" s="36">
        <f>ROUNDDOWN(Y3/N3,0)</f>
        <v>3</v>
      </c>
    </row>
    <row r="4" spans="1:26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0"/>
      <c r="T4" s="63"/>
      <c r="U4" s="63"/>
      <c r="V4" s="63"/>
      <c r="W4" s="63"/>
      <c r="X4" s="60"/>
      <c r="Y4" s="60"/>
      <c r="Z4" s="64"/>
    </row>
    <row r="5" spans="1:26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114" t="s">
        <v>287</v>
      </c>
      <c r="T5" s="52" t="s">
        <v>34</v>
      </c>
      <c r="U5" s="44" t="s">
        <v>30</v>
      </c>
      <c r="V5" s="53" t="s">
        <v>36</v>
      </c>
      <c r="W5" s="46" t="s">
        <v>37</v>
      </c>
      <c r="X5" s="21"/>
      <c r="Y5" s="37" t="s">
        <v>32</v>
      </c>
      <c r="Z5" s="37" t="s">
        <v>33</v>
      </c>
    </row>
    <row r="6" spans="1:26" x14ac:dyDescent="0.25">
      <c r="B6" s="14">
        <v>5.5</v>
      </c>
      <c r="C6" s="14">
        <v>14</v>
      </c>
      <c r="D6" s="66" t="s">
        <v>0</v>
      </c>
      <c r="E6" s="16">
        <v>6.5000000000000002E-2</v>
      </c>
      <c r="F6" s="16">
        <f>B6*3.14</f>
        <v>17.27</v>
      </c>
      <c r="G6" s="17">
        <f>F6/E6</f>
        <v>265.69230769230768</v>
      </c>
      <c r="H6" s="16">
        <f>C6/10</f>
        <v>1.4</v>
      </c>
      <c r="I6" s="16">
        <v>3</v>
      </c>
      <c r="J6" s="19">
        <f>H6*G6/60</f>
        <v>6.1994871794871784</v>
      </c>
      <c r="K6" s="20">
        <f>J6+I6</f>
        <v>9.1994871794871784</v>
      </c>
      <c r="L6" s="68">
        <v>250</v>
      </c>
      <c r="M6" s="69">
        <f>L6/60</f>
        <v>4.166666666666667</v>
      </c>
      <c r="N6" s="18">
        <f>ROUNDUP(K6*M6,1)</f>
        <v>38.4</v>
      </c>
      <c r="O6" s="56" t="s">
        <v>237</v>
      </c>
      <c r="P6" s="30">
        <v>125</v>
      </c>
      <c r="Q6" s="71">
        <v>0.02</v>
      </c>
      <c r="R6" s="32">
        <v>1</v>
      </c>
      <c r="S6" s="35">
        <f>N6*R6</f>
        <v>38.4</v>
      </c>
      <c r="T6" s="33">
        <f>IF(S6&gt;Y6,S6,Y6)</f>
        <v>250</v>
      </c>
      <c r="U6" s="33">
        <f>T6+P6</f>
        <v>375</v>
      </c>
      <c r="V6" s="33">
        <f>ROUNDUP(U6*Q6,0)</f>
        <v>8</v>
      </c>
      <c r="W6" s="33">
        <f t="shared" ref="W6" si="2">U6+V6</f>
        <v>383</v>
      </c>
      <c r="X6" s="56"/>
      <c r="Y6" s="58">
        <v>250</v>
      </c>
      <c r="Z6" s="47">
        <f>ROUNDDOWN(Y6/N6,0)</f>
        <v>6</v>
      </c>
    </row>
    <row r="7" spans="1:26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8"/>
      <c r="Q7" s="29"/>
      <c r="R7" s="21"/>
      <c r="S7" s="21"/>
      <c r="T7" s="27"/>
      <c r="U7" s="27"/>
      <c r="V7" s="27"/>
      <c r="W7" s="27"/>
      <c r="X7" s="25"/>
      <c r="Y7" s="21"/>
      <c r="Z7" s="21"/>
    </row>
    <row r="8" spans="1:26" x14ac:dyDescent="0.25">
      <c r="A8" s="1"/>
    </row>
    <row r="9" spans="1:26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88"/>
    </row>
    <row r="10" spans="1:26" ht="30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39"/>
      <c r="P10" s="113" t="s">
        <v>27</v>
      </c>
      <c r="Q10" s="113" t="s">
        <v>38</v>
      </c>
      <c r="R10" s="114" t="s">
        <v>35</v>
      </c>
      <c r="S10" s="114" t="s">
        <v>287</v>
      </c>
      <c r="T10" s="114" t="s">
        <v>34</v>
      </c>
      <c r="U10" s="114" t="s">
        <v>30</v>
      </c>
      <c r="V10" s="113" t="s">
        <v>36</v>
      </c>
      <c r="W10" s="115" t="s">
        <v>31</v>
      </c>
      <c r="X10" s="113"/>
      <c r="Y10" s="113" t="s">
        <v>32</v>
      </c>
      <c r="Z10" s="114" t="s">
        <v>33</v>
      </c>
    </row>
    <row r="11" spans="1:26" x14ac:dyDescent="0.25">
      <c r="A11" s="65">
        <v>0.5</v>
      </c>
      <c r="B11" s="65">
        <v>7.5</v>
      </c>
      <c r="C11" s="65">
        <v>8.5</v>
      </c>
      <c r="D11" s="66">
        <v>0.125</v>
      </c>
      <c r="E11" s="66">
        <v>6.5000000000000002E-2</v>
      </c>
      <c r="F11" s="66">
        <f>(A11+B11)*C11</f>
        <v>68</v>
      </c>
      <c r="G11" s="66">
        <f>(A11+B11)/E11</f>
        <v>123.07692307692307</v>
      </c>
      <c r="H11" s="66">
        <f t="shared" ref="H11" si="3">C11/10</f>
        <v>0.85</v>
      </c>
      <c r="I11" s="66">
        <v>3</v>
      </c>
      <c r="J11" s="67">
        <f t="shared" ref="J11" si="4">H11*G11/60</f>
        <v>1.7435897435897434</v>
      </c>
      <c r="K11" s="67">
        <f>J11+I11</f>
        <v>4.7435897435897436</v>
      </c>
      <c r="L11" s="68">
        <v>275</v>
      </c>
      <c r="M11" s="69">
        <f>L11/60</f>
        <v>4.583333333333333</v>
      </c>
      <c r="N11" s="70">
        <f>ROUNDUP(K11*M11,1)</f>
        <v>21.8</v>
      </c>
      <c r="O11" s="56" t="s">
        <v>237</v>
      </c>
      <c r="P11" s="30">
        <v>125</v>
      </c>
      <c r="Q11" s="71">
        <v>0.02</v>
      </c>
      <c r="R11" s="32">
        <v>1</v>
      </c>
      <c r="S11" s="35">
        <f>N11*R11</f>
        <v>21.8</v>
      </c>
      <c r="T11" s="33">
        <f>IF(S11&gt;Y11,S11,Y11)</f>
        <v>275</v>
      </c>
      <c r="U11" s="33">
        <f>T11+P11</f>
        <v>400</v>
      </c>
      <c r="V11" s="33">
        <f>ROUNDUP(U11*Q11,0)</f>
        <v>8</v>
      </c>
      <c r="W11" s="33">
        <f>U11+V11</f>
        <v>408</v>
      </c>
      <c r="X11" s="34"/>
      <c r="Y11" s="57">
        <v>275</v>
      </c>
      <c r="Z11" s="36">
        <f>ROUNDDOWN(Y11/N11,0)</f>
        <v>12</v>
      </c>
    </row>
    <row r="12" spans="1:26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0"/>
      <c r="S12" s="60"/>
      <c r="T12" s="63"/>
      <c r="U12" s="63"/>
      <c r="V12" s="63"/>
      <c r="W12" s="63"/>
      <c r="X12" s="60"/>
      <c r="Y12" s="60"/>
      <c r="Z12" s="64"/>
    </row>
    <row r="13" spans="1:26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40"/>
      <c r="P13" s="42" t="s">
        <v>27</v>
      </c>
      <c r="Q13" s="43" t="s">
        <v>38</v>
      </c>
      <c r="R13" s="49" t="s">
        <v>35</v>
      </c>
      <c r="S13" s="114" t="s">
        <v>287</v>
      </c>
      <c r="T13" s="52" t="s">
        <v>34</v>
      </c>
      <c r="U13" s="44" t="s">
        <v>30</v>
      </c>
      <c r="V13" s="53" t="s">
        <v>36</v>
      </c>
      <c r="W13" s="46" t="s">
        <v>37</v>
      </c>
      <c r="X13" s="21"/>
      <c r="Y13" s="37" t="s">
        <v>32</v>
      </c>
      <c r="Z13" s="37" t="s">
        <v>33</v>
      </c>
    </row>
    <row r="14" spans="1:26" x14ac:dyDescent="0.25">
      <c r="A14" s="1"/>
      <c r="B14" s="14">
        <v>11</v>
      </c>
      <c r="C14" s="14">
        <v>2.5</v>
      </c>
      <c r="D14" s="66" t="s">
        <v>0</v>
      </c>
      <c r="E14" s="16">
        <v>6.5000000000000002E-2</v>
      </c>
      <c r="F14" s="16">
        <f>B14*3.14</f>
        <v>34.54</v>
      </c>
      <c r="G14" s="17">
        <f>F14/E14</f>
        <v>531.38461538461536</v>
      </c>
      <c r="H14" s="16">
        <f>C14/10</f>
        <v>0.25</v>
      </c>
      <c r="I14" s="16">
        <v>3</v>
      </c>
      <c r="J14" s="19">
        <f>H14*G14/60</f>
        <v>2.2141025641025638</v>
      </c>
      <c r="K14" s="20">
        <f>J14+I14</f>
        <v>5.2141025641025642</v>
      </c>
      <c r="L14" s="68">
        <v>275</v>
      </c>
      <c r="M14" s="69">
        <f>L14/60</f>
        <v>4.583333333333333</v>
      </c>
      <c r="N14" s="18">
        <f>ROUNDUP(K14*M14,1)</f>
        <v>23.900000000000002</v>
      </c>
      <c r="O14" s="56" t="s">
        <v>237</v>
      </c>
      <c r="P14" s="30">
        <v>125</v>
      </c>
      <c r="Q14" s="71">
        <v>0.02</v>
      </c>
      <c r="R14" s="32">
        <v>1</v>
      </c>
      <c r="S14" s="35">
        <f>N14*R14</f>
        <v>23.900000000000002</v>
      </c>
      <c r="T14" s="33">
        <f>IF(S14&gt;Y14,S14,Y14)</f>
        <v>275</v>
      </c>
      <c r="U14" s="33">
        <f>T14+P14</f>
        <v>400</v>
      </c>
      <c r="V14" s="33">
        <f>ROUNDUP(U14*Q14,0)</f>
        <v>8</v>
      </c>
      <c r="W14" s="33">
        <f t="shared" ref="W14" si="5">U14+V14</f>
        <v>408</v>
      </c>
      <c r="X14" s="56"/>
      <c r="Y14" s="58">
        <v>275</v>
      </c>
      <c r="Z14" s="47">
        <f>ROUNDDOWN(Y14/N14,0)</f>
        <v>11</v>
      </c>
    </row>
    <row r="16" spans="1:26" ht="15.75" thickBot="1" x14ac:dyDescent="0.3"/>
    <row r="17" spans="1:24" ht="21.75" thickTop="1" x14ac:dyDescent="0.35">
      <c r="A17" s="171"/>
      <c r="B17" s="172" t="s">
        <v>119</v>
      </c>
      <c r="C17" s="173"/>
      <c r="N17" s="351"/>
      <c r="O17" s="352"/>
      <c r="P17" s="352"/>
      <c r="Q17" s="352"/>
      <c r="R17" s="352"/>
      <c r="S17" s="352"/>
      <c r="T17" s="372" t="s">
        <v>149</v>
      </c>
      <c r="U17" s="352"/>
      <c r="V17" s="352"/>
      <c r="W17" s="352"/>
      <c r="X17" s="359"/>
    </row>
    <row r="18" spans="1:24" x14ac:dyDescent="0.25">
      <c r="A18" s="174" t="s">
        <v>32</v>
      </c>
      <c r="C18" s="175">
        <v>250</v>
      </c>
      <c r="N18" s="373" t="s">
        <v>150</v>
      </c>
      <c r="X18" s="374"/>
    </row>
    <row r="19" spans="1:24" x14ac:dyDescent="0.25">
      <c r="A19" s="174" t="s">
        <v>120</v>
      </c>
      <c r="C19" s="175">
        <v>125</v>
      </c>
      <c r="N19" s="373" t="s">
        <v>151</v>
      </c>
      <c r="X19" s="374"/>
    </row>
    <row r="20" spans="1:24" x14ac:dyDescent="0.25">
      <c r="A20" s="174" t="s">
        <v>36</v>
      </c>
      <c r="C20" s="176" t="s">
        <v>122</v>
      </c>
      <c r="N20" s="373"/>
      <c r="X20" s="374"/>
    </row>
    <row r="21" spans="1:24" x14ac:dyDescent="0.25">
      <c r="A21" s="174" t="s">
        <v>121</v>
      </c>
      <c r="C21" s="176" t="s">
        <v>123</v>
      </c>
      <c r="N21" s="373" t="s">
        <v>152</v>
      </c>
      <c r="X21" s="374"/>
    </row>
    <row r="22" spans="1:24" x14ac:dyDescent="0.25">
      <c r="A22" s="177" t="s">
        <v>124</v>
      </c>
      <c r="B22" s="178"/>
      <c r="C22" s="179" t="s">
        <v>198</v>
      </c>
      <c r="N22" s="373" t="s">
        <v>153</v>
      </c>
      <c r="X22" s="374"/>
    </row>
    <row r="23" spans="1:24" x14ac:dyDescent="0.25">
      <c r="N23" s="373"/>
      <c r="X23" s="374"/>
    </row>
    <row r="24" spans="1:24" x14ac:dyDescent="0.25">
      <c r="N24" s="373" t="s">
        <v>154</v>
      </c>
      <c r="X24" s="374"/>
    </row>
    <row r="25" spans="1:24" ht="15.75" thickBot="1" x14ac:dyDescent="0.3">
      <c r="N25" s="353" t="s">
        <v>155</v>
      </c>
      <c r="O25" s="354"/>
      <c r="P25" s="354"/>
      <c r="Q25" s="354"/>
      <c r="R25" s="354"/>
      <c r="S25" s="354"/>
      <c r="T25" s="354"/>
      <c r="U25" s="354"/>
      <c r="V25" s="354"/>
      <c r="W25" s="354"/>
      <c r="X25" s="375"/>
    </row>
    <row r="26" spans="1:24" ht="15.75" thickTop="1" x14ac:dyDescent="0.25"/>
    <row r="27" spans="1:24" ht="28.5" customHeight="1" x14ac:dyDescent="0.25"/>
    <row r="28" spans="1:24" ht="75" x14ac:dyDescent="0.25">
      <c r="B28" s="95" t="s">
        <v>178</v>
      </c>
      <c r="C28" s="246" t="s">
        <v>176</v>
      </c>
      <c r="D28" s="95" t="s">
        <v>173</v>
      </c>
      <c r="E28" s="95" t="s">
        <v>170</v>
      </c>
      <c r="F28" s="95" t="s">
        <v>171</v>
      </c>
      <c r="G28" s="246" t="s">
        <v>175</v>
      </c>
      <c r="H28" s="95" t="s">
        <v>172</v>
      </c>
      <c r="I28" s="95" t="s">
        <v>174</v>
      </c>
      <c r="J28" s="246" t="s">
        <v>177</v>
      </c>
      <c r="L28" s="184" t="s">
        <v>185</v>
      </c>
      <c r="M28" s="184" t="s">
        <v>186</v>
      </c>
      <c r="P28" s="250" t="s">
        <v>184</v>
      </c>
    </row>
    <row r="29" spans="1:24" x14ac:dyDescent="0.25">
      <c r="B29" s="232" t="s">
        <v>179</v>
      </c>
      <c r="C29" s="332">
        <v>16.75</v>
      </c>
      <c r="D29" s="333">
        <v>144</v>
      </c>
      <c r="E29" s="251">
        <f>C29/2</f>
        <v>8.375</v>
      </c>
      <c r="F29" s="161">
        <v>3.1415926535900001</v>
      </c>
      <c r="G29" s="161">
        <f>F29*(E29^2)</f>
        <v>220.35327221821109</v>
      </c>
      <c r="H29" s="161">
        <f>G29*D29</f>
        <v>31730.871199422396</v>
      </c>
      <c r="I29" s="161">
        <v>0.28299999999999997</v>
      </c>
      <c r="J29" s="233">
        <f>H29*I29</f>
        <v>8979.8365494365371</v>
      </c>
      <c r="L29" s="257">
        <v>0.12</v>
      </c>
      <c r="M29" s="256">
        <f>ROUND(L29*J29, 2)</f>
        <v>1077.58</v>
      </c>
      <c r="P29" s="95">
        <v>6000</v>
      </c>
    </row>
    <row r="30" spans="1:24" x14ac:dyDescent="0.25">
      <c r="B30" s="234" t="s">
        <v>180</v>
      </c>
      <c r="C30" s="332">
        <v>5.5</v>
      </c>
      <c r="D30" s="333">
        <v>58.5</v>
      </c>
      <c r="E30" s="252">
        <f>C30/2</f>
        <v>2.75</v>
      </c>
      <c r="F30" s="235">
        <v>3.1415926535900001</v>
      </c>
      <c r="G30" s="235">
        <f t="shared" ref="G30:G33" si="6">F30*(E30^2)</f>
        <v>23.758294442774375</v>
      </c>
      <c r="H30" s="235">
        <f>G30*D30</f>
        <v>1389.8602249023008</v>
      </c>
      <c r="I30" s="235">
        <v>0.28999999999999998</v>
      </c>
      <c r="J30" s="236">
        <f>H30*I30</f>
        <v>403.05946522166721</v>
      </c>
      <c r="L30" s="257">
        <v>0.14000000000000001</v>
      </c>
      <c r="M30" s="256">
        <f t="shared" ref="M30:M33" si="7">ROUND(L30*J30, 2)</f>
        <v>56.43</v>
      </c>
    </row>
    <row r="31" spans="1:24" x14ac:dyDescent="0.25">
      <c r="B31" s="237" t="s">
        <v>181</v>
      </c>
      <c r="C31" s="332">
        <v>13</v>
      </c>
      <c r="D31" s="333">
        <v>148</v>
      </c>
      <c r="E31" s="253">
        <f>C31/2</f>
        <v>6.5</v>
      </c>
      <c r="F31" s="238">
        <v>3.1415926535900001</v>
      </c>
      <c r="G31" s="238">
        <f t="shared" si="6"/>
        <v>132.73228961417749</v>
      </c>
      <c r="H31" s="238">
        <f>G31*D31</f>
        <v>19644.378862898269</v>
      </c>
      <c r="I31" s="238">
        <v>0.1</v>
      </c>
      <c r="J31" s="239">
        <f>H31*I31</f>
        <v>1964.437886289827</v>
      </c>
      <c r="L31" s="257">
        <v>0.16</v>
      </c>
      <c r="M31" s="256">
        <f t="shared" si="7"/>
        <v>314.31</v>
      </c>
    </row>
    <row r="32" spans="1:24" x14ac:dyDescent="0.25">
      <c r="B32" s="240" t="s">
        <v>182</v>
      </c>
      <c r="C32" s="332">
        <v>13</v>
      </c>
      <c r="D32" s="333">
        <v>148</v>
      </c>
      <c r="E32" s="254">
        <f>C32/2</f>
        <v>6.5</v>
      </c>
      <c r="F32" s="241">
        <v>3.1415926535900001</v>
      </c>
      <c r="G32" s="241">
        <f t="shared" si="6"/>
        <v>132.73228961417749</v>
      </c>
      <c r="H32" s="241">
        <f>G32*D32</f>
        <v>19644.378862898269</v>
      </c>
      <c r="I32" s="241">
        <v>0.16</v>
      </c>
      <c r="J32" s="242">
        <f>H32*I32</f>
        <v>3143.1006180637232</v>
      </c>
      <c r="L32" s="257">
        <v>0.2</v>
      </c>
      <c r="M32" s="256">
        <f t="shared" si="7"/>
        <v>628.62</v>
      </c>
    </row>
    <row r="33" spans="1:14" x14ac:dyDescent="0.25">
      <c r="B33" s="243" t="s">
        <v>187</v>
      </c>
      <c r="C33" s="332">
        <v>2.25</v>
      </c>
      <c r="D33" s="333">
        <v>144</v>
      </c>
      <c r="E33" s="255">
        <f>C33/2</f>
        <v>1.125</v>
      </c>
      <c r="F33" s="244">
        <v>3.1415926535900001</v>
      </c>
      <c r="G33" s="244">
        <f t="shared" si="6"/>
        <v>3.9760782021998438</v>
      </c>
      <c r="H33" s="244">
        <f>G33*D33</f>
        <v>572.5552611167775</v>
      </c>
      <c r="I33" s="244">
        <v>0.29649999999999999</v>
      </c>
      <c r="J33" s="245">
        <f>H33*I33</f>
        <v>169.76263492112452</v>
      </c>
      <c r="L33" s="257">
        <v>0.14000000000000001</v>
      </c>
      <c r="M33" s="256">
        <f t="shared" si="7"/>
        <v>23.77</v>
      </c>
    </row>
    <row r="35" spans="1:14" ht="45" x14ac:dyDescent="0.25">
      <c r="A35" s="3" t="s">
        <v>5</v>
      </c>
      <c r="B35" s="38" t="s">
        <v>29</v>
      </c>
      <c r="C35" s="37" t="s">
        <v>34</v>
      </c>
      <c r="D35" s="38" t="s">
        <v>27</v>
      </c>
      <c r="E35" s="37" t="s">
        <v>443</v>
      </c>
      <c r="F35" s="38" t="s">
        <v>39</v>
      </c>
      <c r="G35" s="38" t="s">
        <v>30</v>
      </c>
      <c r="H35" s="74" t="s">
        <v>36</v>
      </c>
      <c r="I35" s="38" t="s">
        <v>31</v>
      </c>
      <c r="J35" s="41" t="s">
        <v>439</v>
      </c>
      <c r="K35" s="41" t="s">
        <v>438</v>
      </c>
      <c r="L35" s="41" t="s">
        <v>438</v>
      </c>
      <c r="M35" s="246" t="s">
        <v>32</v>
      </c>
      <c r="N35" s="520" t="s">
        <v>204</v>
      </c>
    </row>
    <row r="36" spans="1:14" x14ac:dyDescent="0.25">
      <c r="A36" s="70">
        <v>25.9</v>
      </c>
      <c r="B36" s="32">
        <v>24</v>
      </c>
      <c r="C36" s="33">
        <f>IF(N36&gt;M36,N36,M36)</f>
        <v>621.59999999999991</v>
      </c>
      <c r="D36" s="30">
        <v>125</v>
      </c>
      <c r="E36" s="30">
        <v>125</v>
      </c>
      <c r="F36" s="79">
        <v>0.02</v>
      </c>
      <c r="G36" s="33">
        <f>C36+D36+E36</f>
        <v>871.59999999999991</v>
      </c>
      <c r="H36" s="77">
        <f>ROUNDUP(G36*F36,0)</f>
        <v>18</v>
      </c>
      <c r="I36" s="33">
        <f>G36+H36</f>
        <v>889.59999999999991</v>
      </c>
      <c r="J36" s="33">
        <f>(F36+G36)*3</f>
        <v>2614.8599999999997</v>
      </c>
      <c r="K36" s="33">
        <f>(G36+H36)*2</f>
        <v>1779.1999999999998</v>
      </c>
      <c r="L36" s="33">
        <f>(H36+I36)*1.5</f>
        <v>1361.3999999999999</v>
      </c>
      <c r="M36" s="524">
        <v>250</v>
      </c>
      <c r="N36" s="97">
        <f>A36*B36</f>
        <v>621.59999999999991</v>
      </c>
    </row>
    <row r="37" spans="1:14" ht="15.75" thickBot="1" x14ac:dyDescent="0.3"/>
    <row r="38" spans="1:14" ht="15.75" thickTop="1" x14ac:dyDescent="0.25">
      <c r="A38" s="351" t="s">
        <v>359</v>
      </c>
      <c r="B38" s="352"/>
      <c r="C38" s="352"/>
      <c r="D38" s="489">
        <f>A36</f>
        <v>25.9</v>
      </c>
      <c r="F38" s="351" t="s">
        <v>285</v>
      </c>
      <c r="G38" s="352"/>
      <c r="H38" s="352"/>
      <c r="I38" s="525">
        <f>M36</f>
        <v>250</v>
      </c>
    </row>
    <row r="39" spans="1:14" x14ac:dyDescent="0.25">
      <c r="A39" s="373" t="s">
        <v>286</v>
      </c>
      <c r="D39" s="374">
        <f>B36</f>
        <v>24</v>
      </c>
      <c r="E39" s="1"/>
      <c r="F39" s="373" t="s">
        <v>286</v>
      </c>
      <c r="I39" s="374">
        <f>B36</f>
        <v>24</v>
      </c>
    </row>
    <row r="40" spans="1:14" x14ac:dyDescent="0.25">
      <c r="A40" s="490" t="s">
        <v>411</v>
      </c>
      <c r="B40" s="1"/>
      <c r="C40" s="1"/>
      <c r="D40" s="491">
        <f>D36</f>
        <v>125</v>
      </c>
      <c r="E40" s="1"/>
      <c r="F40" s="490" t="s">
        <v>411</v>
      </c>
      <c r="G40" s="1"/>
      <c r="H40" s="1"/>
      <c r="I40" s="491">
        <f>D36</f>
        <v>125</v>
      </c>
    </row>
    <row r="41" spans="1:14" x14ac:dyDescent="0.25">
      <c r="A41" s="490" t="s">
        <v>444</v>
      </c>
      <c r="B41" s="1"/>
      <c r="C41" s="1"/>
      <c r="D41" s="491">
        <f>E36</f>
        <v>125</v>
      </c>
      <c r="E41" s="1"/>
      <c r="F41" s="490" t="s">
        <v>444</v>
      </c>
      <c r="G41" s="1"/>
      <c r="H41" s="1"/>
      <c r="I41" s="491">
        <f>E36</f>
        <v>125</v>
      </c>
    </row>
    <row r="42" spans="1:14" x14ac:dyDescent="0.25">
      <c r="A42" s="373" t="s">
        <v>445</v>
      </c>
      <c r="D42" s="492">
        <f>H36</f>
        <v>18</v>
      </c>
      <c r="E42" s="1"/>
      <c r="F42" s="373" t="s">
        <v>445</v>
      </c>
      <c r="I42" s="492">
        <f>H36</f>
        <v>18</v>
      </c>
    </row>
    <row r="43" spans="1:14" x14ac:dyDescent="0.25">
      <c r="A43" s="373" t="s">
        <v>414</v>
      </c>
      <c r="D43" s="492">
        <f>I36</f>
        <v>889.59999999999991</v>
      </c>
      <c r="E43" s="1"/>
      <c r="F43" s="373" t="s">
        <v>414</v>
      </c>
      <c r="I43" s="492">
        <f>I36</f>
        <v>889.59999999999991</v>
      </c>
    </row>
    <row r="44" spans="1:14" ht="15.75" thickBot="1" x14ac:dyDescent="0.3">
      <c r="A44" s="353" t="s">
        <v>309</v>
      </c>
      <c r="B44" s="354"/>
      <c r="C44" s="354"/>
      <c r="D44" s="493" t="s">
        <v>310</v>
      </c>
      <c r="E44" s="1"/>
      <c r="F44" s="353" t="s">
        <v>309</v>
      </c>
      <c r="G44" s="354"/>
      <c r="H44" s="354"/>
      <c r="I44" s="493" t="s">
        <v>310</v>
      </c>
    </row>
    <row r="45" spans="1:14" ht="15.75" thickTop="1" x14ac:dyDescent="0.25"/>
  </sheetData>
  <conditionalFormatting sqref="J29:J33">
    <cfRule type="cellIs" dxfId="44" priority="1" operator="greaterThan">
      <formula>$Q$19</formula>
    </cfRule>
  </conditionalFormatting>
  <conditionalFormatting sqref="J33">
    <cfRule type="cellIs" dxfId="43" priority="7" operator="greaterThan">
      <formula>6296.819819</formula>
    </cfRule>
    <cfRule type="cellIs" dxfId="42" priority="8" operator="greaterThan">
      <formula>$Q$19</formula>
    </cfRule>
  </conditionalFormatting>
  <conditionalFormatting sqref="M33">
    <cfRule type="cellIs" dxfId="41" priority="2" operator="greaterThan">
      <formula>960</formula>
    </cfRule>
    <cfRule type="cellIs" priority="3" operator="greaterThan">
      <formula>960</formula>
    </cfRule>
    <cfRule type="expression" priority="4">
      <formula>$K$23</formula>
    </cfRule>
    <cfRule type="aboveAverage" priority="5" aboveAverage="0"/>
    <cfRule type="expression" priority="6">
      <formula>"IF K28 IS RED"</formula>
    </cfRule>
  </conditionalFormatting>
  <pageMargins left="0.7" right="0.7" top="0.75" bottom="0.75" header="0.3" footer="0.3"/>
  <drawing r:id="rId1"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202C-D137-48A0-96D1-490C68413428}">
  <sheetPr>
    <tabColor rgb="FF00B0F0"/>
  </sheetPr>
  <dimension ref="A1:Z26"/>
  <sheetViews>
    <sheetView workbookViewId="0">
      <selection activeCell="L15" sqref="L15"/>
    </sheetView>
  </sheetViews>
  <sheetFormatPr defaultRowHeight="15" x14ac:dyDescent="0.25"/>
  <cols>
    <col min="18" max="18" width="11.140625" customWidth="1"/>
  </cols>
  <sheetData>
    <row r="1" spans="1:26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1.5</v>
      </c>
      <c r="B3" s="65">
        <v>3</v>
      </c>
      <c r="C3" s="65">
        <v>3</v>
      </c>
      <c r="D3" s="66">
        <v>0.125</v>
      </c>
      <c r="E3" s="66">
        <v>6.5000000000000002E-2</v>
      </c>
      <c r="F3" s="66">
        <f>(A3+B3)*C3</f>
        <v>13.5</v>
      </c>
      <c r="G3" s="66">
        <f>(A3+B3)/E3</f>
        <v>69.230769230769226</v>
      </c>
      <c r="H3" s="66">
        <f t="shared" ref="H3" si="0">C3/10</f>
        <v>0.3</v>
      </c>
      <c r="I3" s="66">
        <v>3.5</v>
      </c>
      <c r="J3" s="67">
        <f t="shared" ref="J3" si="1">H3*G3/60</f>
        <v>0.34615384615384609</v>
      </c>
      <c r="K3" s="67">
        <f>J3+I3</f>
        <v>3.8461538461538463</v>
      </c>
      <c r="L3" s="68">
        <v>250</v>
      </c>
      <c r="M3" s="69">
        <f>L3/60</f>
        <v>4.166666666666667</v>
      </c>
      <c r="N3" s="70">
        <f>ROUNDUP(K3*M3,1)</f>
        <v>16.100000000000001</v>
      </c>
      <c r="O3" s="56"/>
      <c r="P3" s="30">
        <v>125</v>
      </c>
      <c r="Q3" s="71">
        <v>0.02</v>
      </c>
      <c r="R3" s="32">
        <v>15</v>
      </c>
      <c r="S3" s="35">
        <f>N3*R3</f>
        <v>241.50000000000003</v>
      </c>
      <c r="T3" s="33">
        <f>IF(S3&gt;Y3,S3,Y3)</f>
        <v>241.50000000000003</v>
      </c>
      <c r="U3" s="33">
        <f>T3+P3</f>
        <v>366.5</v>
      </c>
      <c r="V3" s="33">
        <f>ROUNDUP(U3*Q3,0)</f>
        <v>8</v>
      </c>
      <c r="W3" s="33">
        <f>U3+V3</f>
        <v>374.5</v>
      </c>
      <c r="X3" s="34"/>
      <c r="Y3" s="57">
        <v>225</v>
      </c>
      <c r="Z3" s="36">
        <f>ROUNDDOWN(Y3/N3,0)</f>
        <v>13</v>
      </c>
    </row>
    <row r="4" spans="1:26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0"/>
      <c r="T4" s="63"/>
      <c r="U4" s="63"/>
      <c r="V4" s="63"/>
      <c r="W4" s="63"/>
      <c r="X4" s="60"/>
      <c r="Y4" s="60"/>
      <c r="Z4" s="64"/>
    </row>
    <row r="5" spans="1:26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114" t="s">
        <v>287</v>
      </c>
      <c r="T5" s="52" t="s">
        <v>34</v>
      </c>
      <c r="U5" s="44" t="s">
        <v>30</v>
      </c>
      <c r="V5" s="53" t="s">
        <v>36</v>
      </c>
      <c r="W5" s="46" t="s">
        <v>37</v>
      </c>
      <c r="X5" s="21"/>
      <c r="Y5" s="37" t="s">
        <v>32</v>
      </c>
      <c r="Z5" s="37" t="s">
        <v>33</v>
      </c>
    </row>
    <row r="6" spans="1:26" x14ac:dyDescent="0.25">
      <c r="B6" s="14">
        <v>1.5</v>
      </c>
      <c r="C6" s="14">
        <v>36</v>
      </c>
      <c r="D6" s="66" t="s">
        <v>0</v>
      </c>
      <c r="E6" s="16">
        <v>4.4999999999999998E-2</v>
      </c>
      <c r="F6" s="16">
        <f>B6*3.14</f>
        <v>4.71</v>
      </c>
      <c r="G6" s="17">
        <f>F6/E6</f>
        <v>104.66666666666667</v>
      </c>
      <c r="H6" s="16">
        <f>C6/10</f>
        <v>3.6</v>
      </c>
      <c r="I6" s="16">
        <v>3</v>
      </c>
      <c r="J6" s="19">
        <f>H6*G6/60</f>
        <v>6.28</v>
      </c>
      <c r="K6" s="20">
        <f>J6+I6</f>
        <v>9.2800000000000011</v>
      </c>
      <c r="L6" s="68">
        <v>250</v>
      </c>
      <c r="M6" s="69">
        <f>L6/60</f>
        <v>4.166666666666667</v>
      </c>
      <c r="N6" s="18">
        <f>ROUNDUP(K6*M6,1)</f>
        <v>38.700000000000003</v>
      </c>
      <c r="O6" s="56"/>
      <c r="P6" s="30">
        <v>125</v>
      </c>
      <c r="Q6" s="71">
        <v>0.02</v>
      </c>
      <c r="R6" s="32">
        <v>20</v>
      </c>
      <c r="S6" s="35">
        <f>N6*R6</f>
        <v>774</v>
      </c>
      <c r="T6" s="33">
        <f>IF(S6&gt;Y6,S6,Y6)</f>
        <v>774</v>
      </c>
      <c r="U6" s="33">
        <f>T6+P6</f>
        <v>899</v>
      </c>
      <c r="V6" s="33">
        <f>ROUNDUP(U6*Q6,0)</f>
        <v>18</v>
      </c>
      <c r="W6" s="33">
        <f t="shared" ref="W6" si="2">U6+V6</f>
        <v>917</v>
      </c>
      <c r="X6" s="56"/>
      <c r="Y6" s="58">
        <v>225</v>
      </c>
      <c r="Z6" s="47">
        <f>ROUNDDOWN(Y6/N6,0)</f>
        <v>5</v>
      </c>
    </row>
    <row r="7" spans="1:26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8"/>
      <c r="Q7" s="29"/>
      <c r="R7" s="21"/>
      <c r="S7" s="21"/>
      <c r="T7" s="27"/>
      <c r="U7" s="27"/>
      <c r="V7" s="27"/>
      <c r="W7" s="27"/>
      <c r="X7" s="25"/>
      <c r="Y7" s="21"/>
      <c r="Z7" s="21"/>
    </row>
    <row r="8" spans="1:26" x14ac:dyDescent="0.25">
      <c r="A8" s="1"/>
    </row>
    <row r="9" spans="1:26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88"/>
    </row>
    <row r="10" spans="1:26" ht="30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39"/>
      <c r="P10" s="113" t="s">
        <v>27</v>
      </c>
      <c r="Q10" s="113" t="s">
        <v>38</v>
      </c>
      <c r="R10" s="114" t="s">
        <v>35</v>
      </c>
      <c r="S10" s="114" t="s">
        <v>287</v>
      </c>
      <c r="T10" s="114" t="s">
        <v>34</v>
      </c>
      <c r="U10" s="114" t="s">
        <v>30</v>
      </c>
      <c r="V10" s="113" t="s">
        <v>36</v>
      </c>
      <c r="W10" s="115" t="s">
        <v>31</v>
      </c>
      <c r="X10" s="113"/>
      <c r="Y10" s="113" t="s">
        <v>32</v>
      </c>
      <c r="Z10" s="114" t="s">
        <v>33</v>
      </c>
    </row>
    <row r="11" spans="1:26" x14ac:dyDescent="0.25">
      <c r="A11" s="65">
        <v>0.5</v>
      </c>
      <c r="B11" s="65">
        <v>1.5</v>
      </c>
      <c r="C11" s="65">
        <v>1.5</v>
      </c>
      <c r="D11" s="66">
        <v>0.125</v>
      </c>
      <c r="E11" s="66">
        <v>6.5000000000000002E-2</v>
      </c>
      <c r="F11" s="66">
        <f>(A11+B11)*C11</f>
        <v>3</v>
      </c>
      <c r="G11" s="66">
        <f>(A11+B11)/E11</f>
        <v>30.769230769230766</v>
      </c>
      <c r="H11" s="66">
        <f t="shared" ref="H11" si="3">C11/10</f>
        <v>0.15</v>
      </c>
      <c r="I11" s="66">
        <v>3.5</v>
      </c>
      <c r="J11" s="67">
        <f t="shared" ref="J11" si="4">H11*G11/60</f>
        <v>7.6923076923076913E-2</v>
      </c>
      <c r="K11" s="67">
        <f>J11+I11</f>
        <v>3.5769230769230771</v>
      </c>
      <c r="L11" s="68">
        <v>275</v>
      </c>
      <c r="M11" s="69">
        <f>L11/60</f>
        <v>4.583333333333333</v>
      </c>
      <c r="N11" s="70">
        <f>ROUNDUP(K11*M11,1)</f>
        <v>16.400000000000002</v>
      </c>
      <c r="O11" s="56"/>
      <c r="P11" s="30">
        <v>125</v>
      </c>
      <c r="Q11" s="71">
        <v>0.02</v>
      </c>
      <c r="R11" s="32">
        <v>50</v>
      </c>
      <c r="S11" s="35">
        <f>N11*R11</f>
        <v>820.00000000000011</v>
      </c>
      <c r="T11" s="33">
        <f>IF(S11&gt;Y11,S11,Y11)</f>
        <v>820.00000000000011</v>
      </c>
      <c r="U11" s="33">
        <f>T11+P11</f>
        <v>945.00000000000011</v>
      </c>
      <c r="V11" s="33">
        <f>ROUNDUP(U11*Q11,0)</f>
        <v>19</v>
      </c>
      <c r="W11" s="33">
        <f>U11+V11</f>
        <v>964.00000000000011</v>
      </c>
      <c r="X11" s="34"/>
      <c r="Y11" s="57">
        <v>250</v>
      </c>
      <c r="Z11" s="36">
        <f>ROUNDDOWN(Y11/N11,0)</f>
        <v>15</v>
      </c>
    </row>
    <row r="12" spans="1:26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0"/>
      <c r="S12" s="60"/>
      <c r="T12" s="63"/>
      <c r="U12" s="63"/>
      <c r="V12" s="63"/>
      <c r="W12" s="63"/>
      <c r="X12" s="60"/>
      <c r="Y12" s="60"/>
      <c r="Z12" s="64"/>
    </row>
    <row r="13" spans="1:26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40"/>
      <c r="P13" s="42" t="s">
        <v>27</v>
      </c>
      <c r="Q13" s="43" t="s">
        <v>38</v>
      </c>
      <c r="R13" s="49" t="s">
        <v>35</v>
      </c>
      <c r="S13" s="114" t="s">
        <v>287</v>
      </c>
      <c r="T13" s="52" t="s">
        <v>34</v>
      </c>
      <c r="U13" s="44" t="s">
        <v>30</v>
      </c>
      <c r="V13" s="53" t="s">
        <v>36</v>
      </c>
      <c r="W13" s="46" t="s">
        <v>37</v>
      </c>
      <c r="X13" s="21"/>
      <c r="Y13" s="37" t="s">
        <v>32</v>
      </c>
      <c r="Z13" s="37" t="s">
        <v>33</v>
      </c>
    </row>
    <row r="14" spans="1:26" x14ac:dyDescent="0.25">
      <c r="A14" s="1"/>
      <c r="B14" s="14">
        <v>9.5</v>
      </c>
      <c r="C14" s="14">
        <v>2</v>
      </c>
      <c r="D14" s="66" t="s">
        <v>0</v>
      </c>
      <c r="E14" s="16">
        <v>6.5000000000000002E-2</v>
      </c>
      <c r="F14" s="16">
        <f>B14*3.14</f>
        <v>29.830000000000002</v>
      </c>
      <c r="G14" s="17">
        <f>F14/E14</f>
        <v>458.92307692307696</v>
      </c>
      <c r="H14" s="16">
        <f>C14/10</f>
        <v>0.2</v>
      </c>
      <c r="I14" s="16">
        <v>3</v>
      </c>
      <c r="J14" s="19">
        <f>H14*G14/60</f>
        <v>1.5297435897435898</v>
      </c>
      <c r="K14" s="20">
        <f>J14+I14</f>
        <v>4.5297435897435898</v>
      </c>
      <c r="L14" s="68">
        <v>275</v>
      </c>
      <c r="M14" s="69">
        <f>L14/60</f>
        <v>4.583333333333333</v>
      </c>
      <c r="N14" s="18">
        <f>ROUNDUP(K14*M14,1)</f>
        <v>20.8</v>
      </c>
      <c r="O14" s="56"/>
      <c r="P14" s="30">
        <v>125</v>
      </c>
      <c r="Q14" s="71">
        <v>0.02</v>
      </c>
      <c r="R14" s="32">
        <v>1</v>
      </c>
      <c r="S14" s="35">
        <f>N14*R14</f>
        <v>20.8</v>
      </c>
      <c r="T14" s="33">
        <f>IF(S14&gt;Y14,S14,Y14)</f>
        <v>250</v>
      </c>
      <c r="U14" s="33">
        <f>T14+P14</f>
        <v>375</v>
      </c>
      <c r="V14" s="33">
        <f>ROUNDUP(U14*Q14,0)</f>
        <v>8</v>
      </c>
      <c r="W14" s="33">
        <f t="shared" ref="W14" si="5">U14+V14</f>
        <v>383</v>
      </c>
      <c r="X14" s="56"/>
      <c r="Y14" s="58">
        <v>250</v>
      </c>
      <c r="Z14" s="47">
        <f>ROUNDDOWN(Y14/N14,0)</f>
        <v>12</v>
      </c>
    </row>
    <row r="16" spans="1:26" ht="15.75" thickBot="1" x14ac:dyDescent="0.3"/>
    <row r="17" spans="1:26" ht="21.75" thickTop="1" x14ac:dyDescent="0.35">
      <c r="A17" s="351"/>
      <c r="B17" s="372" t="s">
        <v>119</v>
      </c>
      <c r="C17" s="359"/>
      <c r="I17" s="1"/>
      <c r="J17" s="1"/>
      <c r="K17" s="1"/>
      <c r="L17" s="1"/>
      <c r="M17" s="1"/>
      <c r="N17" s="351"/>
      <c r="O17" s="352"/>
      <c r="P17" s="372" t="s">
        <v>149</v>
      </c>
      <c r="Q17" s="352"/>
      <c r="R17" s="352"/>
      <c r="S17" s="372" t="s">
        <v>149</v>
      </c>
      <c r="T17" s="359"/>
      <c r="X17" s="1"/>
      <c r="Y17" s="1"/>
      <c r="Z17" s="1"/>
    </row>
    <row r="18" spans="1:26" x14ac:dyDescent="0.25">
      <c r="A18" s="373" t="s">
        <v>32</v>
      </c>
      <c r="C18" s="376">
        <v>250</v>
      </c>
      <c r="I18" s="1"/>
      <c r="J18" s="1"/>
      <c r="K18" s="1"/>
      <c r="L18" s="1"/>
      <c r="M18" s="1"/>
      <c r="N18" s="373" t="s">
        <v>150</v>
      </c>
      <c r="T18" s="374"/>
      <c r="X18" s="1"/>
      <c r="Y18" s="1"/>
      <c r="Z18" s="1"/>
    </row>
    <row r="19" spans="1:26" x14ac:dyDescent="0.25">
      <c r="A19" s="373" t="s">
        <v>120</v>
      </c>
      <c r="C19" s="376">
        <v>125</v>
      </c>
      <c r="I19" s="1"/>
      <c r="J19" s="1"/>
      <c r="K19" s="1"/>
      <c r="L19" s="1"/>
      <c r="M19" s="1"/>
      <c r="N19" s="373" t="s">
        <v>151</v>
      </c>
      <c r="T19" s="374"/>
      <c r="X19" s="1"/>
      <c r="Y19" s="1"/>
      <c r="Z19" s="1"/>
    </row>
    <row r="20" spans="1:26" x14ac:dyDescent="0.25">
      <c r="A20" s="373" t="s">
        <v>36</v>
      </c>
      <c r="C20" s="377" t="s">
        <v>122</v>
      </c>
      <c r="I20" s="1"/>
      <c r="J20" s="1"/>
      <c r="K20" s="1"/>
      <c r="L20" s="1"/>
      <c r="M20" s="1"/>
      <c r="N20" s="373"/>
      <c r="T20" s="374"/>
      <c r="X20" s="1"/>
      <c r="Y20" s="1"/>
      <c r="Z20" s="1"/>
    </row>
    <row r="21" spans="1:26" x14ac:dyDescent="0.25">
      <c r="A21" s="373" t="s">
        <v>121</v>
      </c>
      <c r="C21" s="377" t="s">
        <v>123</v>
      </c>
      <c r="I21" s="1"/>
      <c r="J21" s="1"/>
      <c r="K21" s="1"/>
      <c r="L21" s="1"/>
      <c r="M21" s="1"/>
      <c r="N21" s="373" t="s">
        <v>152</v>
      </c>
      <c r="T21" s="374"/>
      <c r="X21" s="1"/>
      <c r="Y21" s="1"/>
      <c r="Z21" s="1"/>
    </row>
    <row r="22" spans="1:26" ht="15.75" thickBot="1" x14ac:dyDescent="0.3">
      <c r="A22" s="353" t="s">
        <v>124</v>
      </c>
      <c r="B22" s="354"/>
      <c r="C22" s="378" t="s">
        <v>156</v>
      </c>
      <c r="I22" s="1"/>
      <c r="J22" s="1"/>
      <c r="K22" s="1"/>
      <c r="L22" s="1"/>
      <c r="M22" s="1"/>
      <c r="N22" s="373" t="s">
        <v>153</v>
      </c>
      <c r="T22" s="374"/>
      <c r="X22" s="1"/>
      <c r="Y22" s="1"/>
      <c r="Z22" s="1"/>
    </row>
    <row r="23" spans="1:26" ht="15.75" thickTop="1" x14ac:dyDescent="0.25">
      <c r="I23" s="1"/>
      <c r="J23" s="1"/>
      <c r="K23" s="1"/>
      <c r="L23" s="1"/>
      <c r="M23" s="1"/>
      <c r="N23" s="373"/>
      <c r="T23" s="374"/>
      <c r="X23" s="1"/>
      <c r="Y23" s="1"/>
      <c r="Z23" s="1"/>
    </row>
    <row r="24" spans="1:26" x14ac:dyDescent="0.25">
      <c r="I24" s="1"/>
      <c r="J24" s="1"/>
      <c r="K24" s="1"/>
      <c r="L24" s="1"/>
      <c r="M24" s="1"/>
      <c r="N24" s="373" t="s">
        <v>154</v>
      </c>
      <c r="T24" s="374"/>
      <c r="X24" s="1"/>
      <c r="Y24" s="1"/>
      <c r="Z24" s="1"/>
    </row>
    <row r="25" spans="1:26" ht="15.75" thickBot="1" x14ac:dyDescent="0.3">
      <c r="I25" s="1"/>
      <c r="J25" s="1"/>
      <c r="K25" s="1"/>
      <c r="L25" s="1"/>
      <c r="M25" s="1"/>
      <c r="N25" s="353" t="s">
        <v>155</v>
      </c>
      <c r="O25" s="354"/>
      <c r="P25" s="354"/>
      <c r="Q25" s="354"/>
      <c r="R25" s="354"/>
      <c r="S25" s="354"/>
      <c r="T25" s="375"/>
      <c r="X25" s="1"/>
      <c r="Y25" s="1"/>
      <c r="Z25" s="1"/>
    </row>
    <row r="26" spans="1:26" ht="15.75" thickTop="1" x14ac:dyDescent="0.25"/>
  </sheetData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78A3-B77F-4619-AEB6-517FBCA39925}">
  <sheetPr>
    <tabColor rgb="FF92D050"/>
  </sheetPr>
  <dimension ref="A1:Z34"/>
  <sheetViews>
    <sheetView zoomScaleNormal="100" workbookViewId="0">
      <selection activeCell="C7" sqref="C7"/>
    </sheetView>
  </sheetViews>
  <sheetFormatPr defaultRowHeight="15" x14ac:dyDescent="0.25"/>
  <cols>
    <col min="4" max="4" width="9.140625" hidden="1" customWidth="1"/>
    <col min="5" max="5" width="0" hidden="1" customWidth="1"/>
    <col min="6" max="8" width="9.140625" hidden="1" customWidth="1"/>
    <col min="10" max="13" width="9.140625" hidden="1" customWidth="1"/>
    <col min="17" max="17" width="0" hidden="1" customWidth="1"/>
    <col min="19" max="19" width="11" hidden="1" customWidth="1"/>
    <col min="20" max="20" width="12" bestFit="1" customWidth="1"/>
    <col min="21" max="21" width="10.5703125" bestFit="1" customWidth="1"/>
    <col min="23" max="23" width="13.42578125" customWidth="1"/>
    <col min="25" max="25" width="17" customWidth="1"/>
  </cols>
  <sheetData>
    <row r="1" spans="1:26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4</v>
      </c>
      <c r="B3" s="65">
        <v>7.5</v>
      </c>
      <c r="C3" s="65">
        <v>18</v>
      </c>
      <c r="D3" s="66">
        <v>0.125</v>
      </c>
      <c r="E3" s="66">
        <v>6.5000000000000002E-2</v>
      </c>
      <c r="F3" s="66">
        <f>(A3+B3)*C3</f>
        <v>207</v>
      </c>
      <c r="G3" s="66">
        <f>(A3+B3)/E3</f>
        <v>176.92307692307691</v>
      </c>
      <c r="H3" s="66">
        <f t="shared" ref="H3" si="0">C3/10</f>
        <v>1.8</v>
      </c>
      <c r="I3" s="66">
        <v>3</v>
      </c>
      <c r="J3" s="67">
        <f t="shared" ref="J3" si="1">H3*G3/60</f>
        <v>5.3076923076923075</v>
      </c>
      <c r="K3" s="67">
        <f>J3+I3</f>
        <v>8.3076923076923066</v>
      </c>
      <c r="L3" s="68">
        <v>250</v>
      </c>
      <c r="M3" s="69">
        <f>L3/60</f>
        <v>4.166666666666667</v>
      </c>
      <c r="N3" s="70">
        <f>ROUNDUP(K3*M3,1)</f>
        <v>34.700000000000003</v>
      </c>
      <c r="O3" s="56" t="s">
        <v>197</v>
      </c>
      <c r="P3" s="30">
        <v>125</v>
      </c>
      <c r="Q3" s="71">
        <v>0.02</v>
      </c>
      <c r="R3" s="32">
        <v>18</v>
      </c>
      <c r="S3" s="35">
        <f>N3*R3</f>
        <v>624.6</v>
      </c>
      <c r="T3" s="33">
        <f>IF(S3&gt;Y3,S3,Y3)</f>
        <v>624.6</v>
      </c>
      <c r="U3" s="55">
        <f>(T3+P3)</f>
        <v>749.6</v>
      </c>
      <c r="V3" s="33">
        <f>ROUNDUP(U3*Q3,0)</f>
        <v>15</v>
      </c>
      <c r="W3" s="33">
        <f>U3+V3</f>
        <v>764.6</v>
      </c>
      <c r="X3" s="34"/>
      <c r="Y3" s="57">
        <v>250</v>
      </c>
      <c r="Z3" s="36">
        <f>ROUNDDOWN(Y3/N3,0)</f>
        <v>7</v>
      </c>
    </row>
    <row r="4" spans="1:26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0"/>
      <c r="T4" s="63"/>
      <c r="U4" s="63"/>
      <c r="V4" s="63"/>
      <c r="W4" s="63"/>
      <c r="X4" s="60"/>
      <c r="Y4" s="60"/>
      <c r="Z4" s="64"/>
    </row>
    <row r="5" spans="1:26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114" t="s">
        <v>204</v>
      </c>
      <c r="T5" s="52" t="s">
        <v>34</v>
      </c>
      <c r="U5" s="44" t="s">
        <v>30</v>
      </c>
      <c r="V5" s="53" t="s">
        <v>36</v>
      </c>
      <c r="W5" s="46" t="s">
        <v>37</v>
      </c>
      <c r="X5" s="21"/>
      <c r="Y5" s="37" t="s">
        <v>32</v>
      </c>
      <c r="Z5" s="37" t="s">
        <v>33</v>
      </c>
    </row>
    <row r="6" spans="1:26" x14ac:dyDescent="0.25">
      <c r="B6" s="14">
        <v>2.75</v>
      </c>
      <c r="C6" s="14">
        <v>1.75</v>
      </c>
      <c r="D6" s="66" t="s">
        <v>0</v>
      </c>
      <c r="E6" s="16">
        <v>6.5000000000000002E-2</v>
      </c>
      <c r="F6" s="16">
        <f>B6*3.14</f>
        <v>8.6349999999999998</v>
      </c>
      <c r="G6" s="17">
        <f>F6/E6</f>
        <v>132.84615384615384</v>
      </c>
      <c r="H6" s="16">
        <f>C6/10</f>
        <v>0.17499999999999999</v>
      </c>
      <c r="I6" s="16">
        <v>3</v>
      </c>
      <c r="J6" s="19">
        <f>H6*G6/60</f>
        <v>0.38746794871794865</v>
      </c>
      <c r="K6" s="20">
        <f>J6+I6</f>
        <v>3.3874679487179487</v>
      </c>
      <c r="L6" s="68">
        <v>250</v>
      </c>
      <c r="M6" s="69">
        <f>L6/60</f>
        <v>4.166666666666667</v>
      </c>
      <c r="N6" s="18">
        <f>ROUNDUP(K6*M6,1)</f>
        <v>14.2</v>
      </c>
      <c r="O6" s="56" t="s">
        <v>197</v>
      </c>
      <c r="P6" s="30">
        <v>125</v>
      </c>
      <c r="Q6" s="71">
        <v>0.02</v>
      </c>
      <c r="R6" s="32">
        <v>9</v>
      </c>
      <c r="S6" s="35">
        <f>N6*R6</f>
        <v>127.8</v>
      </c>
      <c r="T6" s="33">
        <f>IF(S6&gt;Y6,S6,Y6)</f>
        <v>250</v>
      </c>
      <c r="U6" s="55">
        <f>(T6+P6)</f>
        <v>375</v>
      </c>
      <c r="V6" s="33">
        <f>ROUNDUP(U6*Q6,0)</f>
        <v>8</v>
      </c>
      <c r="W6" s="33">
        <f t="shared" ref="W6" si="2">U6+V6</f>
        <v>383</v>
      </c>
      <c r="X6" s="56"/>
      <c r="Y6" s="58">
        <v>250</v>
      </c>
      <c r="Z6" s="47">
        <f>ROUNDDOWN(Y6/N6,0)</f>
        <v>17</v>
      </c>
    </row>
    <row r="7" spans="1:26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8"/>
      <c r="Q7" s="29"/>
      <c r="R7" s="21"/>
      <c r="S7" s="21"/>
      <c r="T7" s="27"/>
      <c r="U7" s="27"/>
      <c r="V7" s="27"/>
      <c r="W7" s="27"/>
      <c r="X7" s="25"/>
      <c r="Y7" s="21"/>
      <c r="Z7" s="21"/>
    </row>
    <row r="8" spans="1:26" x14ac:dyDescent="0.25">
      <c r="A8" s="1"/>
    </row>
    <row r="9" spans="1:26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88"/>
    </row>
    <row r="10" spans="1:26" ht="30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39"/>
      <c r="P10" s="113" t="s">
        <v>27</v>
      </c>
      <c r="Q10" s="113" t="s">
        <v>38</v>
      </c>
      <c r="R10" s="114" t="s">
        <v>35</v>
      </c>
      <c r="S10" s="114" t="s">
        <v>204</v>
      </c>
      <c r="T10" s="114" t="s">
        <v>34</v>
      </c>
      <c r="U10" s="114" t="s">
        <v>30</v>
      </c>
      <c r="V10" s="113" t="s">
        <v>36</v>
      </c>
      <c r="W10" s="115" t="s">
        <v>31</v>
      </c>
      <c r="X10" s="113"/>
      <c r="Y10" s="113" t="s">
        <v>32</v>
      </c>
      <c r="Z10" s="114" t="s">
        <v>33</v>
      </c>
    </row>
    <row r="11" spans="1:26" x14ac:dyDescent="0.25">
      <c r="A11" s="65">
        <v>2</v>
      </c>
      <c r="B11" s="65">
        <v>7.65</v>
      </c>
      <c r="C11" s="65">
        <v>8.1999999999999993</v>
      </c>
      <c r="D11" s="66">
        <v>0.125</v>
      </c>
      <c r="E11" s="66">
        <v>6.5000000000000002E-2</v>
      </c>
      <c r="F11" s="66">
        <f>(A11+B11)*C11</f>
        <v>79.13</v>
      </c>
      <c r="G11" s="66">
        <f>(A11+B11)/E11</f>
        <v>148.46153846153845</v>
      </c>
      <c r="H11" s="66">
        <f t="shared" ref="H11" si="3">C11/10</f>
        <v>0.82</v>
      </c>
      <c r="I11" s="66">
        <v>3</v>
      </c>
      <c r="J11" s="67">
        <f t="shared" ref="J11" si="4">H11*G11/60</f>
        <v>2.0289743589743585</v>
      </c>
      <c r="K11" s="67">
        <f>J11+I11</f>
        <v>5.0289743589743585</v>
      </c>
      <c r="L11" s="68">
        <v>275</v>
      </c>
      <c r="M11" s="69">
        <f>L11/60</f>
        <v>4.583333333333333</v>
      </c>
      <c r="N11" s="70">
        <f>ROUNDUP(K11*M11,1)</f>
        <v>23.1</v>
      </c>
      <c r="O11" s="56" t="s">
        <v>197</v>
      </c>
      <c r="P11" s="30">
        <v>125</v>
      </c>
      <c r="Q11" s="71">
        <v>0.02</v>
      </c>
      <c r="R11" s="32">
        <v>7</v>
      </c>
      <c r="S11" s="35">
        <f>N11*R11</f>
        <v>161.70000000000002</v>
      </c>
      <c r="T11" s="33">
        <f>IF(S11&gt;Y11,S11,Y11)</f>
        <v>275</v>
      </c>
      <c r="U11" s="55">
        <f>(T11+P11)</f>
        <v>400</v>
      </c>
      <c r="V11" s="33">
        <f>ROUNDUP(U11*Q11,0)</f>
        <v>8</v>
      </c>
      <c r="W11" s="33">
        <f>U11+V11</f>
        <v>408</v>
      </c>
      <c r="X11" s="34"/>
      <c r="Y11" s="57">
        <v>275</v>
      </c>
      <c r="Z11" s="36">
        <f>ROUNDDOWN(Y11/N11,0)</f>
        <v>11</v>
      </c>
    </row>
    <row r="12" spans="1:26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0"/>
      <c r="S12" s="60"/>
      <c r="T12" s="63"/>
      <c r="U12" s="63"/>
      <c r="V12" s="63"/>
      <c r="W12" s="63"/>
      <c r="X12" s="60"/>
      <c r="Y12" s="60"/>
      <c r="Z12" s="64"/>
    </row>
    <row r="13" spans="1:26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40"/>
      <c r="P13" s="42" t="s">
        <v>27</v>
      </c>
      <c r="Q13" s="43" t="s">
        <v>38</v>
      </c>
      <c r="R13" s="49" t="s">
        <v>35</v>
      </c>
      <c r="S13" s="114" t="s">
        <v>204</v>
      </c>
      <c r="T13" s="52" t="s">
        <v>34</v>
      </c>
      <c r="U13" s="44" t="s">
        <v>30</v>
      </c>
      <c r="V13" s="53" t="s">
        <v>36</v>
      </c>
      <c r="W13" s="46" t="s">
        <v>37</v>
      </c>
      <c r="X13" s="21"/>
      <c r="Y13" s="37" t="s">
        <v>32</v>
      </c>
      <c r="Z13" s="37" t="s">
        <v>33</v>
      </c>
    </row>
    <row r="14" spans="1:26" x14ac:dyDescent="0.25">
      <c r="A14" s="1"/>
      <c r="B14" s="14">
        <v>2</v>
      </c>
      <c r="C14" s="14">
        <v>2.8</v>
      </c>
      <c r="D14" s="66" t="s">
        <v>0</v>
      </c>
      <c r="E14" s="16">
        <v>6.5000000000000002E-2</v>
      </c>
      <c r="F14" s="16">
        <f>B14*3.14</f>
        <v>6.28</v>
      </c>
      <c r="G14" s="17">
        <f>F14/E14</f>
        <v>96.615384615384613</v>
      </c>
      <c r="H14" s="16">
        <f>C14/10</f>
        <v>0.27999999999999997</v>
      </c>
      <c r="I14" s="16">
        <v>3</v>
      </c>
      <c r="J14" s="19">
        <f>H14*G14/60</f>
        <v>0.4508717948717948</v>
      </c>
      <c r="K14" s="20">
        <f>J14+I14</f>
        <v>3.4508717948717949</v>
      </c>
      <c r="L14" s="68">
        <v>275</v>
      </c>
      <c r="M14" s="69">
        <f>L14/60</f>
        <v>4.583333333333333</v>
      </c>
      <c r="N14" s="18">
        <f>ROUNDUP(K14*M14,1)</f>
        <v>15.9</v>
      </c>
      <c r="O14" s="56" t="s">
        <v>197</v>
      </c>
      <c r="P14" s="30">
        <v>125</v>
      </c>
      <c r="Q14" s="71">
        <v>0.02</v>
      </c>
      <c r="R14" s="32">
        <v>100</v>
      </c>
      <c r="S14" s="35">
        <f>N14*R14</f>
        <v>1590</v>
      </c>
      <c r="T14" s="33">
        <f>IF(S14&gt;Y14,S14,Y14)</f>
        <v>1590</v>
      </c>
      <c r="U14" s="55">
        <f>(T14+P14)</f>
        <v>1715</v>
      </c>
      <c r="V14" s="33">
        <f>ROUNDUP(U14*Q14,0)</f>
        <v>35</v>
      </c>
      <c r="W14" s="33">
        <f t="shared" ref="W14" si="5">U14+V14</f>
        <v>1750</v>
      </c>
      <c r="X14" s="56"/>
      <c r="Y14" s="58">
        <v>275</v>
      </c>
      <c r="Z14" s="47">
        <f>ROUNDDOWN(Y14/N14,0)</f>
        <v>17</v>
      </c>
    </row>
    <row r="17" spans="1:25" ht="24" thickBot="1" x14ac:dyDescent="0.4">
      <c r="A17" s="171"/>
      <c r="B17" s="172" t="s">
        <v>119</v>
      </c>
      <c r="C17" s="173"/>
      <c r="I17" s="171"/>
      <c r="J17" s="198"/>
      <c r="K17" s="198"/>
      <c r="L17" s="198"/>
      <c r="M17" s="198"/>
      <c r="N17" s="172" t="s">
        <v>149</v>
      </c>
      <c r="O17" s="198"/>
      <c r="P17" s="198"/>
      <c r="Q17" s="198"/>
      <c r="R17" s="173"/>
      <c r="V17" s="541" t="s">
        <v>348</v>
      </c>
      <c r="W17" s="541"/>
      <c r="X17" s="541"/>
      <c r="Y17" s="541"/>
    </row>
    <row r="18" spans="1:25" ht="16.5" thickTop="1" x14ac:dyDescent="0.25">
      <c r="A18" s="174" t="s">
        <v>32</v>
      </c>
      <c r="C18" s="175">
        <v>250</v>
      </c>
      <c r="I18" s="174" t="s">
        <v>150</v>
      </c>
      <c r="R18" s="176"/>
      <c r="V18" s="362" t="s">
        <v>207</v>
      </c>
      <c r="W18" s="363"/>
      <c r="X18" s="352"/>
      <c r="Y18" s="364">
        <f>N3</f>
        <v>34.700000000000003</v>
      </c>
    </row>
    <row r="19" spans="1:25" ht="15.75" x14ac:dyDescent="0.25">
      <c r="A19" s="174" t="s">
        <v>120</v>
      </c>
      <c r="C19" s="175">
        <v>125</v>
      </c>
      <c r="I19" s="174" t="s">
        <v>151</v>
      </c>
      <c r="R19" s="176"/>
      <c r="V19" s="365" t="s">
        <v>208</v>
      </c>
      <c r="W19" s="1"/>
      <c r="Y19" s="366">
        <f>R3</f>
        <v>18</v>
      </c>
    </row>
    <row r="20" spans="1:25" ht="15.75" x14ac:dyDescent="0.25">
      <c r="A20" s="174" t="s">
        <v>36</v>
      </c>
      <c r="C20" s="176" t="s">
        <v>122</v>
      </c>
      <c r="I20" s="174"/>
      <c r="R20" s="176"/>
      <c r="V20" s="365" t="s">
        <v>209</v>
      </c>
      <c r="W20" s="1"/>
      <c r="Y20" s="367">
        <f>T3</f>
        <v>624.6</v>
      </c>
    </row>
    <row r="21" spans="1:25" ht="15.75" x14ac:dyDescent="0.25">
      <c r="A21" s="174" t="s">
        <v>121</v>
      </c>
      <c r="C21" s="176" t="s">
        <v>123</v>
      </c>
      <c r="I21" s="174" t="s">
        <v>152</v>
      </c>
      <c r="R21" s="176"/>
      <c r="V21" s="365" t="s">
        <v>210</v>
      </c>
      <c r="W21" s="1"/>
      <c r="Y21" s="367">
        <f>V3</f>
        <v>15</v>
      </c>
    </row>
    <row r="22" spans="1:25" ht="15.75" x14ac:dyDescent="0.25">
      <c r="A22" s="174" t="s">
        <v>124</v>
      </c>
      <c r="C22" s="175" t="s">
        <v>198</v>
      </c>
      <c r="I22" s="174" t="s">
        <v>153</v>
      </c>
      <c r="R22" s="176"/>
      <c r="V22" s="365" t="s">
        <v>216</v>
      </c>
      <c r="Y22" s="368">
        <f>P3</f>
        <v>125</v>
      </c>
    </row>
    <row r="23" spans="1:25" ht="15.75" x14ac:dyDescent="0.25">
      <c r="A23" s="174" t="s">
        <v>238</v>
      </c>
      <c r="C23" s="175">
        <v>75</v>
      </c>
      <c r="I23" s="174"/>
      <c r="R23" s="176"/>
      <c r="V23" s="365" t="s">
        <v>211</v>
      </c>
      <c r="W23" s="1"/>
      <c r="Y23" s="367">
        <f>W3</f>
        <v>764.6</v>
      </c>
    </row>
    <row r="24" spans="1:25" ht="16.5" thickBot="1" x14ac:dyDescent="0.3">
      <c r="A24" s="174"/>
      <c r="C24" s="176"/>
      <c r="I24" s="174" t="s">
        <v>154</v>
      </c>
      <c r="R24" s="176"/>
      <c r="V24" s="369" t="s">
        <v>346</v>
      </c>
      <c r="W24" s="354"/>
      <c r="X24" s="539" t="s">
        <v>347</v>
      </c>
      <c r="Y24" s="540"/>
    </row>
    <row r="25" spans="1:25" ht="15.75" thickTop="1" x14ac:dyDescent="0.25">
      <c r="A25" s="177"/>
      <c r="B25" s="178"/>
      <c r="C25" s="199"/>
      <c r="I25" s="177" t="s">
        <v>155</v>
      </c>
      <c r="J25" s="178"/>
      <c r="K25" s="178"/>
      <c r="L25" s="178"/>
      <c r="M25" s="178"/>
      <c r="N25" s="178"/>
      <c r="O25" s="178"/>
      <c r="P25" s="178"/>
      <c r="Q25" s="178"/>
      <c r="R25" s="199"/>
      <c r="X25" s="1"/>
      <c r="Y25" s="1"/>
    </row>
    <row r="26" spans="1:25" ht="24" thickBot="1" x14ac:dyDescent="0.4">
      <c r="V26" s="541" t="s">
        <v>284</v>
      </c>
      <c r="W26" s="541"/>
      <c r="X26" s="541"/>
      <c r="Y26" s="541"/>
    </row>
    <row r="27" spans="1:25" ht="16.5" thickTop="1" x14ac:dyDescent="0.25">
      <c r="V27" s="362" t="s">
        <v>207</v>
      </c>
      <c r="W27" s="363"/>
      <c r="X27" s="352"/>
      <c r="Y27" s="364">
        <f>N6</f>
        <v>14.2</v>
      </c>
    </row>
    <row r="28" spans="1:25" ht="15.75" x14ac:dyDescent="0.25">
      <c r="V28" s="365" t="s">
        <v>208</v>
      </c>
      <c r="W28" s="1"/>
      <c r="Y28" s="366">
        <f>R6</f>
        <v>9</v>
      </c>
    </row>
    <row r="29" spans="1:25" ht="15.75" x14ac:dyDescent="0.25">
      <c r="V29" s="365" t="s">
        <v>209</v>
      </c>
      <c r="W29" s="1"/>
      <c r="Y29" s="367">
        <f>T6</f>
        <v>250</v>
      </c>
    </row>
    <row r="30" spans="1:25" ht="15.75" x14ac:dyDescent="0.25">
      <c r="V30" s="365" t="s">
        <v>210</v>
      </c>
      <c r="W30" s="1"/>
      <c r="Y30" s="367">
        <f>V6</f>
        <v>8</v>
      </c>
    </row>
    <row r="31" spans="1:25" ht="15.75" x14ac:dyDescent="0.25">
      <c r="V31" s="365" t="s">
        <v>216</v>
      </c>
      <c r="Y31" s="368">
        <f>P6</f>
        <v>125</v>
      </c>
    </row>
    <row r="32" spans="1:25" ht="15.75" x14ac:dyDescent="0.25">
      <c r="V32" s="365" t="s">
        <v>211</v>
      </c>
      <c r="W32" s="1"/>
      <c r="Y32" s="367">
        <f>W6</f>
        <v>383</v>
      </c>
    </row>
    <row r="33" spans="22:25" ht="16.5" thickBot="1" x14ac:dyDescent="0.3">
      <c r="V33" s="369" t="s">
        <v>346</v>
      </c>
      <c r="W33" s="354"/>
      <c r="X33" s="539" t="s">
        <v>347</v>
      </c>
      <c r="Y33" s="540"/>
    </row>
    <row r="34" spans="22:25" ht="15.75" thickTop="1" x14ac:dyDescent="0.25"/>
  </sheetData>
  <mergeCells count="4">
    <mergeCell ref="V17:Y17"/>
    <mergeCell ref="X24:Y24"/>
    <mergeCell ref="V26:Y26"/>
    <mergeCell ref="X33:Y33"/>
  </mergeCell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1330-B6F1-41B3-8261-F13769A2D263}">
  <sheetPr>
    <tabColor rgb="FF92D050"/>
  </sheetPr>
  <dimension ref="A2:Z42"/>
  <sheetViews>
    <sheetView zoomScale="80" zoomScaleNormal="80" workbookViewId="0">
      <selection activeCell="E18" sqref="E18"/>
    </sheetView>
  </sheetViews>
  <sheetFormatPr defaultRowHeight="15" x14ac:dyDescent="0.25"/>
  <cols>
    <col min="14" max="15" width="0" hidden="1" customWidth="1"/>
    <col min="19" max="19" width="14.28515625" customWidth="1"/>
    <col min="22" max="22" width="11.5703125" customWidth="1"/>
    <col min="24" max="24" width="12" customWidth="1"/>
  </cols>
  <sheetData>
    <row r="2" spans="1:26" ht="21" x14ac:dyDescent="0.25">
      <c r="A2" s="218" t="s">
        <v>164</v>
      </c>
      <c r="B2" s="217"/>
      <c r="C2" s="217"/>
      <c r="D2" s="217"/>
      <c r="E2" s="217"/>
      <c r="F2" s="217"/>
      <c r="G2" s="217"/>
      <c r="H2" s="217"/>
      <c r="I2" s="217"/>
      <c r="J2" s="10"/>
      <c r="K2" s="10"/>
      <c r="L2" s="10"/>
      <c r="M2" s="10"/>
      <c r="N2" s="10"/>
      <c r="O2" s="193"/>
      <c r="P2" s="193"/>
      <c r="Q2" s="21"/>
      <c r="R2" s="21"/>
      <c r="S2" s="22"/>
      <c r="T2" s="22"/>
      <c r="U2" s="22"/>
      <c r="V2" s="22"/>
      <c r="W2" s="75"/>
      <c r="X2" s="22"/>
      <c r="Y2" s="22"/>
      <c r="Z2" s="22"/>
    </row>
    <row r="3" spans="1:26" ht="60" x14ac:dyDescent="0.25">
      <c r="A3" s="2" t="s">
        <v>23</v>
      </c>
      <c r="B3" s="2" t="s">
        <v>8</v>
      </c>
      <c r="C3" s="2" t="s">
        <v>7</v>
      </c>
      <c r="D3" s="2" t="s">
        <v>2</v>
      </c>
      <c r="E3" s="2" t="s">
        <v>1</v>
      </c>
      <c r="F3" s="2" t="s">
        <v>6</v>
      </c>
      <c r="G3" s="2" t="s">
        <v>3</v>
      </c>
      <c r="H3" s="2" t="s">
        <v>21</v>
      </c>
      <c r="I3" s="2" t="s">
        <v>9</v>
      </c>
      <c r="J3" s="2" t="s">
        <v>4</v>
      </c>
      <c r="K3" s="2" t="s">
        <v>10</v>
      </c>
      <c r="L3" s="2" t="s">
        <v>24</v>
      </c>
      <c r="M3" s="2" t="s">
        <v>25</v>
      </c>
      <c r="N3" s="195" t="s">
        <v>145</v>
      </c>
      <c r="O3" s="196" t="s">
        <v>144</v>
      </c>
      <c r="P3" s="196" t="s">
        <v>146</v>
      </c>
      <c r="Q3" s="194"/>
      <c r="R3" s="38" t="s">
        <v>29</v>
      </c>
      <c r="S3" s="37" t="s">
        <v>34</v>
      </c>
      <c r="T3" s="37" t="s">
        <v>27</v>
      </c>
      <c r="U3" s="38" t="s">
        <v>39</v>
      </c>
      <c r="V3" s="38" t="s">
        <v>30</v>
      </c>
      <c r="W3" s="74" t="s">
        <v>36</v>
      </c>
      <c r="X3" s="38" t="s">
        <v>31</v>
      </c>
      <c r="Y3" s="37" t="s">
        <v>32</v>
      </c>
      <c r="Z3" s="41" t="s">
        <v>33</v>
      </c>
    </row>
    <row r="4" spans="1:26" x14ac:dyDescent="0.25">
      <c r="A4" s="65">
        <v>4</v>
      </c>
      <c r="B4" s="65">
        <v>3.1</v>
      </c>
      <c r="C4" s="65">
        <v>5.35</v>
      </c>
      <c r="D4" s="66" t="s">
        <v>0</v>
      </c>
      <c r="E4" s="66">
        <v>6.5000000000000002E-2</v>
      </c>
      <c r="F4" s="7">
        <f>(A4+B4)*C4</f>
        <v>37.984999999999992</v>
      </c>
      <c r="G4" s="7">
        <f>(A4+B4)/E4</f>
        <v>109.23076923076923</v>
      </c>
      <c r="H4" s="7">
        <f t="shared" ref="H4" si="0">C4/10</f>
        <v>0.53499999999999992</v>
      </c>
      <c r="I4" s="66">
        <v>2.5</v>
      </c>
      <c r="J4" s="67">
        <f t="shared" ref="J4" si="1">H4*G4/60</f>
        <v>0.97397435897435869</v>
      </c>
      <c r="K4" s="67">
        <f>J4+I4</f>
        <v>3.4739743589743588</v>
      </c>
      <c r="L4" s="68">
        <v>225</v>
      </c>
      <c r="M4" s="69">
        <f>L4/60</f>
        <v>3.75</v>
      </c>
      <c r="N4" s="70">
        <f>ROUNDUP(K4*M4,1)</f>
        <v>13.1</v>
      </c>
      <c r="O4" s="197">
        <f>G38</f>
        <v>2.6605104166666669</v>
      </c>
      <c r="P4" s="216">
        <f>IF(N4&gt;O4, N4, O4)</f>
        <v>13.1</v>
      </c>
      <c r="Q4" s="23" t="s">
        <v>166</v>
      </c>
      <c r="R4" s="32">
        <v>60</v>
      </c>
      <c r="S4" s="33">
        <f>P4*R4</f>
        <v>786</v>
      </c>
      <c r="T4" s="30">
        <v>0</v>
      </c>
      <c r="U4" s="79">
        <v>0.02</v>
      </c>
      <c r="V4" s="33">
        <f>S4+T4</f>
        <v>786</v>
      </c>
      <c r="W4" s="77">
        <f>ROUNDUP(V4*U4,0)</f>
        <v>16</v>
      </c>
      <c r="X4" s="33">
        <f>V4+W4</f>
        <v>802</v>
      </c>
      <c r="Y4" s="57">
        <v>225</v>
      </c>
      <c r="Z4" s="78">
        <f>ROUNDDOWN(Y4/N4,0)</f>
        <v>17</v>
      </c>
    </row>
    <row r="5" spans="1:26" ht="18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Q5" s="24"/>
      <c r="R5" s="21"/>
      <c r="S5" s="27"/>
      <c r="T5" s="28"/>
      <c r="U5" s="72"/>
      <c r="V5" s="27"/>
      <c r="W5" s="76"/>
      <c r="X5" s="27"/>
      <c r="Y5" s="25"/>
      <c r="Z5" s="26"/>
    </row>
    <row r="6" spans="1:26" ht="21" x14ac:dyDescent="0.25">
      <c r="A6" s="218" t="s">
        <v>165</v>
      </c>
      <c r="B6" s="217"/>
      <c r="C6" s="219"/>
      <c r="D6" s="217"/>
      <c r="E6" s="217"/>
      <c r="F6" s="217"/>
      <c r="G6" s="217"/>
      <c r="H6" s="217"/>
      <c r="I6" s="217"/>
      <c r="J6" s="10"/>
      <c r="K6" s="10"/>
      <c r="L6" s="10"/>
      <c r="M6" s="10"/>
      <c r="N6" s="10"/>
      <c r="O6" s="193"/>
      <c r="P6" s="193"/>
      <c r="Q6" s="21"/>
      <c r="R6" s="21"/>
      <c r="S6" s="22"/>
      <c r="T6" s="22"/>
      <c r="U6" s="22"/>
      <c r="V6" s="22"/>
      <c r="W6" s="75"/>
      <c r="X6" s="22"/>
      <c r="Y6" s="22"/>
      <c r="Z6" s="22"/>
    </row>
    <row r="7" spans="1:26" ht="60" x14ac:dyDescent="0.25">
      <c r="A7" s="2" t="s">
        <v>23</v>
      </c>
      <c r="B7" s="2" t="s">
        <v>8</v>
      </c>
      <c r="C7" s="2" t="s">
        <v>7</v>
      </c>
      <c r="D7" s="2" t="s">
        <v>2</v>
      </c>
      <c r="E7" s="2" t="s">
        <v>1</v>
      </c>
      <c r="F7" s="2" t="s">
        <v>6</v>
      </c>
      <c r="G7" s="2" t="s">
        <v>3</v>
      </c>
      <c r="H7" s="2" t="s">
        <v>21</v>
      </c>
      <c r="I7" s="2" t="s">
        <v>9</v>
      </c>
      <c r="J7" s="2" t="s">
        <v>4</v>
      </c>
      <c r="K7" s="2" t="s">
        <v>10</v>
      </c>
      <c r="L7" s="2" t="s">
        <v>24</v>
      </c>
      <c r="M7" s="2" t="s">
        <v>25</v>
      </c>
      <c r="N7" s="195" t="s">
        <v>145</v>
      </c>
      <c r="O7" s="196" t="s">
        <v>144</v>
      </c>
      <c r="P7" s="196" t="s">
        <v>146</v>
      </c>
      <c r="Q7" s="194"/>
      <c r="R7" s="38" t="s">
        <v>29</v>
      </c>
      <c r="S7" s="37" t="s">
        <v>34</v>
      </c>
      <c r="T7" s="37" t="s">
        <v>27</v>
      </c>
      <c r="U7" s="38" t="s">
        <v>39</v>
      </c>
      <c r="V7" s="38" t="s">
        <v>30</v>
      </c>
      <c r="W7" s="74" t="s">
        <v>36</v>
      </c>
      <c r="X7" s="38" t="s">
        <v>31</v>
      </c>
      <c r="Y7" s="37" t="s">
        <v>32</v>
      </c>
      <c r="Z7" s="41" t="s">
        <v>33</v>
      </c>
    </row>
    <row r="8" spans="1:26" x14ac:dyDescent="0.25">
      <c r="A8" s="65">
        <v>1</v>
      </c>
      <c r="B8" s="65">
        <v>25</v>
      </c>
      <c r="C8" s="65">
        <v>25</v>
      </c>
      <c r="D8" s="66" t="s">
        <v>0</v>
      </c>
      <c r="E8" s="66">
        <v>0.06</v>
      </c>
      <c r="F8" s="7">
        <f>(A8+B8)*C8</f>
        <v>650</v>
      </c>
      <c r="G8" s="7">
        <f>(A8+B8)/E8</f>
        <v>433.33333333333337</v>
      </c>
      <c r="H8" s="7">
        <f t="shared" ref="H8" si="2">C8/10</f>
        <v>2.5</v>
      </c>
      <c r="I8" s="66">
        <v>4</v>
      </c>
      <c r="J8" s="67">
        <f t="shared" ref="J8" si="3">H8*G8/60</f>
        <v>18.055555555555557</v>
      </c>
      <c r="K8" s="67">
        <f>J8+I8</f>
        <v>22.055555555555557</v>
      </c>
      <c r="L8" s="68">
        <v>225</v>
      </c>
      <c r="M8" s="69">
        <f>L8/60</f>
        <v>3.75</v>
      </c>
      <c r="N8" s="70">
        <f>ROUNDUP(K8*M8,1)</f>
        <v>82.8</v>
      </c>
      <c r="O8" s="197">
        <f>G39</f>
        <v>28.645833333333336</v>
      </c>
      <c r="P8" s="216">
        <f>IF(N8&gt;O8, N8, O8)</f>
        <v>82.8</v>
      </c>
      <c r="Q8" s="23" t="s">
        <v>167</v>
      </c>
      <c r="R8" s="32">
        <v>30</v>
      </c>
      <c r="S8" s="33">
        <f>P8*R8</f>
        <v>2484</v>
      </c>
      <c r="T8" s="30">
        <v>125</v>
      </c>
      <c r="U8" s="79">
        <v>0.02</v>
      </c>
      <c r="V8" s="33">
        <f>S8+T8</f>
        <v>2609</v>
      </c>
      <c r="W8" s="77">
        <f>ROUNDUP(V8*U8,0)</f>
        <v>53</v>
      </c>
      <c r="X8" s="33">
        <f>V8+W8</f>
        <v>2662</v>
      </c>
      <c r="Y8" s="57">
        <v>225</v>
      </c>
      <c r="Z8" s="78">
        <f>ROUNDDOWN(Y8/N8,0)</f>
        <v>2</v>
      </c>
    </row>
    <row r="11" spans="1:26" ht="21" x14ac:dyDescent="0.25">
      <c r="A11" s="220" t="s">
        <v>168</v>
      </c>
      <c r="B11" s="217"/>
      <c r="C11" s="217"/>
      <c r="D11" s="217"/>
      <c r="E11" s="217"/>
      <c r="F11" s="217"/>
      <c r="G11" s="217"/>
      <c r="H11" s="217"/>
      <c r="I11" s="217"/>
      <c r="J11" s="10"/>
      <c r="K11" s="10"/>
      <c r="L11" s="10"/>
      <c r="M11" s="10"/>
      <c r="N11" s="10"/>
      <c r="O11" s="193"/>
      <c r="P11" s="193"/>
      <c r="Q11" s="21"/>
      <c r="R11" s="21"/>
      <c r="S11" s="22"/>
      <c r="T11" s="22"/>
      <c r="U11" s="22"/>
      <c r="V11" s="22"/>
      <c r="W11" s="75"/>
      <c r="X11" s="22"/>
      <c r="Y11" s="22"/>
      <c r="Z11" s="22"/>
    </row>
    <row r="12" spans="1:26" ht="60" x14ac:dyDescent="0.25">
      <c r="A12" s="2" t="s">
        <v>23</v>
      </c>
      <c r="B12" s="2" t="s">
        <v>8</v>
      </c>
      <c r="C12" s="2" t="s">
        <v>7</v>
      </c>
      <c r="D12" s="2" t="s">
        <v>2</v>
      </c>
      <c r="E12" s="2" t="s">
        <v>1</v>
      </c>
      <c r="F12" s="2" t="s">
        <v>6</v>
      </c>
      <c r="G12" s="2" t="s">
        <v>3</v>
      </c>
      <c r="H12" s="2" t="s">
        <v>21</v>
      </c>
      <c r="I12" s="2" t="s">
        <v>9</v>
      </c>
      <c r="J12" s="2" t="s">
        <v>4</v>
      </c>
      <c r="K12" s="2" t="s">
        <v>10</v>
      </c>
      <c r="L12" s="2" t="s">
        <v>24</v>
      </c>
      <c r="M12" s="2" t="s">
        <v>25</v>
      </c>
      <c r="N12" s="195" t="s">
        <v>145</v>
      </c>
      <c r="O12" s="196" t="s">
        <v>144</v>
      </c>
      <c r="P12" s="196" t="s">
        <v>146</v>
      </c>
      <c r="Q12" s="194"/>
      <c r="R12" s="38" t="s">
        <v>29</v>
      </c>
      <c r="S12" s="37" t="s">
        <v>34</v>
      </c>
      <c r="T12" s="37" t="s">
        <v>27</v>
      </c>
      <c r="U12" s="38" t="s">
        <v>39</v>
      </c>
      <c r="V12" s="38" t="s">
        <v>30</v>
      </c>
      <c r="W12" s="74" t="s">
        <v>36</v>
      </c>
      <c r="X12" s="38" t="s">
        <v>31</v>
      </c>
      <c r="Y12" s="37" t="s">
        <v>32</v>
      </c>
      <c r="Z12" s="41" t="s">
        <v>33</v>
      </c>
    </row>
    <row r="13" spans="1:26" x14ac:dyDescent="0.25">
      <c r="A13" s="65">
        <v>2</v>
      </c>
      <c r="B13" s="65">
        <v>48</v>
      </c>
      <c r="C13" s="65">
        <v>62</v>
      </c>
      <c r="D13" s="66" t="s">
        <v>0</v>
      </c>
      <c r="E13" s="66">
        <v>4.4999999999999998E-2</v>
      </c>
      <c r="F13" s="7">
        <f>(A13+B13)*C13</f>
        <v>3100</v>
      </c>
      <c r="G13" s="7">
        <f>(A13+B13)/E13</f>
        <v>1111.1111111111111</v>
      </c>
      <c r="H13" s="7">
        <f t="shared" ref="H13" si="4">C13/10</f>
        <v>6.2</v>
      </c>
      <c r="I13" s="66">
        <v>4</v>
      </c>
      <c r="J13" s="67">
        <f t="shared" ref="J13" si="5">H13*G13/60</f>
        <v>114.81481481481481</v>
      </c>
      <c r="K13" s="67">
        <f>J13+I13</f>
        <v>118.81481481481481</v>
      </c>
      <c r="L13" s="68">
        <v>225</v>
      </c>
      <c r="M13" s="69">
        <f>L13/60</f>
        <v>3.75</v>
      </c>
      <c r="N13" s="70">
        <f>ROUNDUP(K13*M13,1)</f>
        <v>445.6</v>
      </c>
      <c r="O13" s="197">
        <f>W38</f>
        <v>189.1</v>
      </c>
      <c r="P13" s="216">
        <f>IF(N13&gt;O13, N13, O13)</f>
        <v>445.6</v>
      </c>
      <c r="Q13" s="23" t="s">
        <v>166</v>
      </c>
      <c r="R13" s="32">
        <v>6</v>
      </c>
      <c r="S13" s="33">
        <f>P13*R13</f>
        <v>2673.6000000000004</v>
      </c>
      <c r="T13" s="30">
        <v>0</v>
      </c>
      <c r="U13" s="79">
        <v>0.02</v>
      </c>
      <c r="V13" s="33">
        <f>S13+T13</f>
        <v>2673.6000000000004</v>
      </c>
      <c r="W13" s="77">
        <f>ROUNDUP(V13*U13,0)</f>
        <v>54</v>
      </c>
      <c r="X13" s="33">
        <f>V13+W13</f>
        <v>2727.6000000000004</v>
      </c>
      <c r="Y13" s="57">
        <v>225</v>
      </c>
      <c r="Z13" s="78">
        <f>ROUNDDOWN(Y13/N13,0)</f>
        <v>0</v>
      </c>
    </row>
    <row r="14" spans="1:26" ht="18.75" x14ac:dyDescent="0.25">
      <c r="A14" s="1"/>
      <c r="B14" s="1"/>
      <c r="C14" s="1">
        <v>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Q14" s="24"/>
      <c r="R14" s="21"/>
      <c r="S14" s="27"/>
      <c r="T14" s="28"/>
      <c r="U14" s="72"/>
      <c r="V14" s="27"/>
      <c r="W14" s="76"/>
      <c r="X14" s="27"/>
      <c r="Y14" s="25"/>
      <c r="Z14" s="26"/>
    </row>
    <row r="15" spans="1:26" ht="21" x14ac:dyDescent="0.25">
      <c r="A15" s="220" t="s">
        <v>169</v>
      </c>
      <c r="B15" s="217"/>
      <c r="C15" s="217"/>
      <c r="D15" s="217"/>
      <c r="E15" s="217"/>
      <c r="F15" s="217"/>
      <c r="G15" s="217"/>
      <c r="H15" s="217"/>
      <c r="I15" s="217"/>
      <c r="J15" s="10"/>
      <c r="K15" s="10"/>
      <c r="L15" s="10"/>
      <c r="M15" s="10"/>
      <c r="N15" s="10"/>
      <c r="O15" s="193"/>
      <c r="P15" s="193"/>
      <c r="Q15" s="21"/>
      <c r="R15" s="21"/>
      <c r="S15" s="22"/>
      <c r="T15" s="22"/>
      <c r="U15" s="22"/>
      <c r="V15" s="22"/>
      <c r="W15" s="75"/>
      <c r="X15" s="22"/>
      <c r="Y15" s="22"/>
      <c r="Z15" s="22"/>
    </row>
    <row r="16" spans="1:26" ht="60" x14ac:dyDescent="0.25">
      <c r="A16" s="2" t="s">
        <v>23</v>
      </c>
      <c r="B16" s="2" t="s">
        <v>8</v>
      </c>
      <c r="C16" s="2" t="s">
        <v>7</v>
      </c>
      <c r="D16" s="2" t="s">
        <v>2</v>
      </c>
      <c r="E16" s="2" t="s">
        <v>1</v>
      </c>
      <c r="F16" s="2" t="s">
        <v>6</v>
      </c>
      <c r="G16" s="2" t="s">
        <v>3</v>
      </c>
      <c r="H16" s="2" t="s">
        <v>21</v>
      </c>
      <c r="I16" s="2" t="s">
        <v>9</v>
      </c>
      <c r="J16" s="2" t="s">
        <v>4</v>
      </c>
      <c r="K16" s="2" t="s">
        <v>10</v>
      </c>
      <c r="L16" s="2" t="s">
        <v>24</v>
      </c>
      <c r="M16" s="2" t="s">
        <v>25</v>
      </c>
      <c r="N16" s="195" t="s">
        <v>145</v>
      </c>
      <c r="O16" s="196" t="s">
        <v>144</v>
      </c>
      <c r="P16" s="196" t="s">
        <v>146</v>
      </c>
      <c r="Q16" s="194"/>
      <c r="R16" s="38" t="s">
        <v>29</v>
      </c>
      <c r="S16" s="37" t="s">
        <v>34</v>
      </c>
      <c r="T16" s="37" t="s">
        <v>27</v>
      </c>
      <c r="U16" s="38" t="s">
        <v>39</v>
      </c>
      <c r="V16" s="38" t="s">
        <v>30</v>
      </c>
      <c r="W16" s="74" t="s">
        <v>36</v>
      </c>
      <c r="X16" s="38" t="s">
        <v>31</v>
      </c>
      <c r="Y16" s="37" t="s">
        <v>32</v>
      </c>
      <c r="Z16" s="41" t="s">
        <v>33</v>
      </c>
    </row>
    <row r="17" spans="1:26" x14ac:dyDescent="0.25">
      <c r="A17" s="65">
        <v>2</v>
      </c>
      <c r="B17" s="65">
        <v>14</v>
      </c>
      <c r="C17" s="65">
        <v>16</v>
      </c>
      <c r="D17" s="66" t="s">
        <v>0</v>
      </c>
      <c r="E17" s="66">
        <v>0.06</v>
      </c>
      <c r="F17" s="7">
        <f>(A17+B17)*C17</f>
        <v>256</v>
      </c>
      <c r="G17" s="7">
        <f>(A17+B17)/E17</f>
        <v>266.66666666666669</v>
      </c>
      <c r="H17" s="7">
        <f t="shared" ref="H17" si="6">C17/10</f>
        <v>1.6</v>
      </c>
      <c r="I17" s="66">
        <v>4</v>
      </c>
      <c r="J17" s="67">
        <f t="shared" ref="J17" si="7">H17*G17/60</f>
        <v>7.1111111111111125</v>
      </c>
      <c r="K17" s="67">
        <f>J17+I17</f>
        <v>11.111111111111112</v>
      </c>
      <c r="L17" s="68">
        <v>225</v>
      </c>
      <c r="M17" s="69">
        <f>L17/60</f>
        <v>3.75</v>
      </c>
      <c r="N17" s="70">
        <f>ROUNDUP(K17*M17,1)</f>
        <v>41.7</v>
      </c>
      <c r="O17" s="197">
        <f>W39</f>
        <v>15.9</v>
      </c>
      <c r="P17" s="216">
        <f>IF(N17&gt;O17, N17, O17)</f>
        <v>41.7</v>
      </c>
      <c r="Q17" s="23" t="s">
        <v>167</v>
      </c>
      <c r="R17" s="32">
        <v>2</v>
      </c>
      <c r="S17" s="33">
        <f>P17*R17</f>
        <v>83.4</v>
      </c>
      <c r="T17" s="30">
        <v>125</v>
      </c>
      <c r="U17" s="79">
        <v>0.02</v>
      </c>
      <c r="V17" s="33">
        <f>S17+T17</f>
        <v>208.4</v>
      </c>
      <c r="W17" s="77">
        <f>ROUNDUP(V17*U17,0)</f>
        <v>5</v>
      </c>
      <c r="X17" s="33">
        <f>V17+W17</f>
        <v>213.4</v>
      </c>
      <c r="Y17" s="57">
        <v>225</v>
      </c>
      <c r="Z17" s="78">
        <f>ROUNDDOWN(Y17/N17,0)</f>
        <v>5</v>
      </c>
    </row>
    <row r="25" spans="1:26" ht="21" x14ac:dyDescent="0.25">
      <c r="A25" s="15" t="s">
        <v>12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60"/>
      <c r="Q25" s="60"/>
      <c r="R25" s="63"/>
      <c r="S25" s="61"/>
      <c r="T25" s="209"/>
      <c r="U25" s="63"/>
      <c r="V25" s="210"/>
      <c r="W25" s="63"/>
      <c r="X25" s="60"/>
      <c r="Y25" s="211"/>
    </row>
    <row r="26" spans="1:26" ht="45" x14ac:dyDescent="0.25">
      <c r="A26" s="4" t="s">
        <v>13</v>
      </c>
      <c r="B26" s="4" t="s">
        <v>7</v>
      </c>
      <c r="C26" s="2" t="s">
        <v>2</v>
      </c>
      <c r="D26" s="4" t="s">
        <v>1</v>
      </c>
      <c r="E26" s="5" t="s">
        <v>20</v>
      </c>
      <c r="F26" s="4" t="s">
        <v>14</v>
      </c>
      <c r="G26" s="4" t="s">
        <v>15</v>
      </c>
      <c r="H26" s="4" t="s">
        <v>17</v>
      </c>
      <c r="I26" s="4" t="s">
        <v>16</v>
      </c>
      <c r="J26" s="4" t="s">
        <v>18</v>
      </c>
      <c r="K26" s="2" t="s">
        <v>24</v>
      </c>
      <c r="L26" s="2" t="s">
        <v>25</v>
      </c>
      <c r="M26" s="6" t="s">
        <v>19</v>
      </c>
      <c r="N26" s="6"/>
      <c r="O26" s="6"/>
      <c r="P26" s="37"/>
      <c r="Q26" s="38" t="s">
        <v>29</v>
      </c>
      <c r="R26" s="44" t="s">
        <v>34</v>
      </c>
      <c r="S26" s="42" t="s">
        <v>27</v>
      </c>
      <c r="T26" s="73" t="s">
        <v>39</v>
      </c>
      <c r="U26" s="44" t="s">
        <v>30</v>
      </c>
      <c r="V26" s="45" t="s">
        <v>36</v>
      </c>
      <c r="W26" s="44" t="s">
        <v>31</v>
      </c>
      <c r="X26" s="37" t="s">
        <v>32</v>
      </c>
      <c r="Y26" s="41" t="s">
        <v>33</v>
      </c>
    </row>
    <row r="27" spans="1:26" x14ac:dyDescent="0.25">
      <c r="A27" s="14">
        <v>1</v>
      </c>
      <c r="B27" s="14">
        <v>19.75</v>
      </c>
      <c r="C27" s="66" t="s">
        <v>0</v>
      </c>
      <c r="D27" s="16">
        <v>6.5000000000000002E-2</v>
      </c>
      <c r="E27" s="16">
        <f>A27*3.14</f>
        <v>3.14</v>
      </c>
      <c r="F27" s="17">
        <f>E27/D27</f>
        <v>48.307692307692307</v>
      </c>
      <c r="G27" s="16">
        <f>B27/10</f>
        <v>1.9750000000000001</v>
      </c>
      <c r="H27" s="16">
        <v>3.5</v>
      </c>
      <c r="I27" s="19">
        <f>G27*F27/60</f>
        <v>1.5901282051282053</v>
      </c>
      <c r="J27" s="20">
        <f>I27+H27</f>
        <v>5.0901282051282051</v>
      </c>
      <c r="K27" s="68">
        <v>225</v>
      </c>
      <c r="L27" s="69">
        <f>K27/60</f>
        <v>3.75</v>
      </c>
      <c r="M27" s="18">
        <f>ROUNDUP(J27*L27,1)</f>
        <v>19.100000000000001</v>
      </c>
      <c r="N27" s="212"/>
      <c r="O27" s="212"/>
      <c r="P27" s="56" t="s">
        <v>143</v>
      </c>
      <c r="Q27" s="32">
        <v>50</v>
      </c>
      <c r="R27" s="33">
        <f>M27*Q27</f>
        <v>955.00000000000011</v>
      </c>
      <c r="S27" s="30">
        <v>0</v>
      </c>
      <c r="T27" s="79">
        <v>0.02</v>
      </c>
      <c r="U27" s="33">
        <f>R27+S27</f>
        <v>955.00000000000011</v>
      </c>
      <c r="V27" s="77">
        <f>ROUNDUP(U27*T27,0)</f>
        <v>20</v>
      </c>
      <c r="W27" s="33">
        <f t="shared" ref="W27" si="8">U27+V27</f>
        <v>975.00000000000011</v>
      </c>
      <c r="X27" s="57">
        <v>225</v>
      </c>
      <c r="Y27" s="78">
        <f>ROUNDDOWN(X27/M27,0)</f>
        <v>11</v>
      </c>
    </row>
    <row r="28" spans="1:26" x14ac:dyDescent="0.25">
      <c r="A28" s="171"/>
      <c r="B28" s="198"/>
      <c r="C28" s="198"/>
      <c r="D28" s="198"/>
      <c r="E28" s="198"/>
      <c r="F28" s="198"/>
      <c r="G28" s="173"/>
    </row>
    <row r="29" spans="1:26" x14ac:dyDescent="0.25">
      <c r="A29" s="174"/>
      <c r="G29" s="176"/>
      <c r="Q29" s="171"/>
      <c r="R29" s="198"/>
      <c r="S29" s="198"/>
      <c r="T29" s="198"/>
      <c r="U29" s="198"/>
      <c r="V29" s="198"/>
      <c r="W29" s="173"/>
      <c r="Y29" t="s">
        <v>184</v>
      </c>
    </row>
    <row r="30" spans="1:26" x14ac:dyDescent="0.25">
      <c r="A30" s="174"/>
      <c r="G30" s="176"/>
      <c r="J30" s="171"/>
      <c r="K30" s="198"/>
      <c r="L30" s="215" t="s">
        <v>163</v>
      </c>
      <c r="M30" s="198"/>
      <c r="N30" s="198"/>
      <c r="O30" s="173"/>
      <c r="Q30" s="174"/>
      <c r="W30" s="176"/>
      <c r="Y30">
        <v>10000</v>
      </c>
    </row>
    <row r="31" spans="1:26" x14ac:dyDescent="0.25">
      <c r="A31" s="174" t="s">
        <v>92</v>
      </c>
      <c r="B31">
        <f>12^3</f>
        <v>1728</v>
      </c>
      <c r="C31" t="s">
        <v>93</v>
      </c>
      <c r="G31" s="176"/>
      <c r="J31" s="174"/>
      <c r="M31" t="s">
        <v>94</v>
      </c>
      <c r="N31">
        <v>62.427959999999999</v>
      </c>
      <c r="O31" s="176"/>
      <c r="Q31" s="174" t="s">
        <v>92</v>
      </c>
      <c r="R31">
        <f>12^3</f>
        <v>1728</v>
      </c>
      <c r="S31" t="s">
        <v>93</v>
      </c>
      <c r="W31" s="176"/>
      <c r="Y31">
        <v>6000</v>
      </c>
    </row>
    <row r="32" spans="1:26" x14ac:dyDescent="0.25">
      <c r="A32" s="174"/>
      <c r="C32" t="s">
        <v>95</v>
      </c>
      <c r="E32" s="161">
        <v>495</v>
      </c>
      <c r="G32" s="176"/>
      <c r="J32" s="174" t="s">
        <v>96</v>
      </c>
      <c r="K32" t="s">
        <v>97</v>
      </c>
      <c r="L32" t="s">
        <v>98</v>
      </c>
      <c r="M32" t="s">
        <v>99</v>
      </c>
      <c r="O32" s="176"/>
      <c r="Q32" s="174"/>
      <c r="S32" t="s">
        <v>95</v>
      </c>
      <c r="U32" s="161">
        <v>305</v>
      </c>
      <c r="W32" s="176"/>
      <c r="Y32">
        <v>4000</v>
      </c>
    </row>
    <row r="33" spans="1:23" x14ac:dyDescent="0.25">
      <c r="A33" s="174"/>
      <c r="C33" t="s">
        <v>161</v>
      </c>
      <c r="E33" s="162">
        <v>0.14000000000000001</v>
      </c>
      <c r="G33" s="176"/>
      <c r="J33" s="174" t="s">
        <v>101</v>
      </c>
      <c r="K33">
        <v>7075</v>
      </c>
      <c r="L33">
        <v>2.81</v>
      </c>
      <c r="M33">
        <f>L33*$N$31</f>
        <v>175.42256760000001</v>
      </c>
      <c r="O33" s="176"/>
      <c r="Q33" s="174"/>
      <c r="S33" t="s">
        <v>161</v>
      </c>
      <c r="U33" s="162">
        <v>0.18</v>
      </c>
      <c r="W33" s="176"/>
    </row>
    <row r="34" spans="1:23" x14ac:dyDescent="0.25">
      <c r="A34" s="174"/>
      <c r="C34" t="s">
        <v>162</v>
      </c>
      <c r="E34" s="258">
        <v>0.16</v>
      </c>
      <c r="G34" s="176"/>
      <c r="J34" s="174" t="s">
        <v>101</v>
      </c>
      <c r="K34">
        <v>2219</v>
      </c>
      <c r="L34">
        <v>2.84</v>
      </c>
      <c r="M34">
        <f>L34*$N$31</f>
        <v>177.29540639999999</v>
      </c>
      <c r="O34" s="176"/>
      <c r="Q34" s="174"/>
      <c r="S34" t="s">
        <v>162</v>
      </c>
      <c r="U34" s="259">
        <v>0.2</v>
      </c>
      <c r="W34" s="176"/>
    </row>
    <row r="35" spans="1:23" x14ac:dyDescent="0.25">
      <c r="A35" s="174"/>
      <c r="G35" s="176"/>
      <c r="J35" s="174" t="s">
        <v>101</v>
      </c>
      <c r="K35">
        <v>6061</v>
      </c>
      <c r="L35">
        <v>2.7</v>
      </c>
      <c r="M35">
        <f>L35*$N$31</f>
        <v>168.55549200000002</v>
      </c>
      <c r="O35" s="176"/>
      <c r="Q35" s="174"/>
      <c r="W35" s="176"/>
    </row>
    <row r="36" spans="1:23" x14ac:dyDescent="0.25">
      <c r="A36" s="174"/>
      <c r="G36" s="176"/>
      <c r="J36" s="174" t="s">
        <v>101</v>
      </c>
      <c r="K36">
        <v>7050</v>
      </c>
      <c r="L36">
        <v>2.83</v>
      </c>
      <c r="M36">
        <f>L36*$N$31</f>
        <v>176.6711268</v>
      </c>
      <c r="O36" s="176"/>
      <c r="Q36" s="174"/>
      <c r="W36" s="176"/>
    </row>
    <row r="37" spans="1:23" x14ac:dyDescent="0.25">
      <c r="A37" s="213" t="s">
        <v>102</v>
      </c>
      <c r="B37" s="163" t="s">
        <v>103</v>
      </c>
      <c r="C37" s="163" t="s">
        <v>104</v>
      </c>
      <c r="D37" s="163" t="s">
        <v>105</v>
      </c>
      <c r="E37" s="163" t="s">
        <v>106</v>
      </c>
      <c r="F37" s="163" t="s">
        <v>107</v>
      </c>
      <c r="G37" s="214" t="s">
        <v>108</v>
      </c>
      <c r="H37" s="163"/>
      <c r="I37" s="163"/>
      <c r="J37" s="213" t="s">
        <v>109</v>
      </c>
      <c r="K37" s="163"/>
      <c r="L37" s="163"/>
      <c r="M37" s="163">
        <v>494.21</v>
      </c>
      <c r="N37" s="163" t="s">
        <v>110</v>
      </c>
      <c r="O37" s="214"/>
      <c r="P37" s="163"/>
      <c r="Q37" s="213" t="s">
        <v>102</v>
      </c>
      <c r="R37" s="163" t="s">
        <v>103</v>
      </c>
      <c r="S37" s="163" t="s">
        <v>104</v>
      </c>
      <c r="T37" s="163" t="s">
        <v>105</v>
      </c>
      <c r="U37" s="163" t="s">
        <v>106</v>
      </c>
      <c r="V37" s="163" t="s">
        <v>107</v>
      </c>
      <c r="W37" s="214" t="s">
        <v>108</v>
      </c>
    </row>
    <row r="38" spans="1:23" x14ac:dyDescent="0.25">
      <c r="A38" s="222">
        <f>A4</f>
        <v>4</v>
      </c>
      <c r="B38" s="164">
        <f>B4</f>
        <v>3.1</v>
      </c>
      <c r="C38" s="164">
        <f>C4</f>
        <v>5.35</v>
      </c>
      <c r="D38">
        <f>A38*B38*C38</f>
        <v>66.34</v>
      </c>
      <c r="E38">
        <f>D38/$B$31</f>
        <v>3.8391203703703705E-2</v>
      </c>
      <c r="F38">
        <f>E38*$E$32</f>
        <v>19.003645833333334</v>
      </c>
      <c r="G38" s="223">
        <f>F38*$E$33</f>
        <v>2.6605104166666669</v>
      </c>
      <c r="J38" s="174" t="s">
        <v>111</v>
      </c>
      <c r="M38">
        <v>283.39</v>
      </c>
      <c r="N38" t="s">
        <v>112</v>
      </c>
      <c r="O38" s="176"/>
      <c r="Q38" s="222">
        <f>A13</f>
        <v>2</v>
      </c>
      <c r="R38" s="164">
        <f>B13</f>
        <v>48</v>
      </c>
      <c r="S38" s="164">
        <f>C13</f>
        <v>62</v>
      </c>
      <c r="T38">
        <f>Q38*R38*S38</f>
        <v>5952</v>
      </c>
      <c r="U38">
        <f>T38/$B$31</f>
        <v>3.4444444444444446</v>
      </c>
      <c r="V38">
        <f>U38*$U$32</f>
        <v>1050.5555555555557</v>
      </c>
      <c r="W38" s="223">
        <f>ROUNDUP(V38*$U$33, 1)</f>
        <v>189.1</v>
      </c>
    </row>
    <row r="39" spans="1:23" x14ac:dyDescent="0.25">
      <c r="A39" s="224">
        <f>+A8</f>
        <v>1</v>
      </c>
      <c r="B39" s="165">
        <f>B8</f>
        <v>25</v>
      </c>
      <c r="C39" s="165">
        <f>C8</f>
        <v>25</v>
      </c>
      <c r="D39">
        <f t="shared" ref="D39:D42" si="9">A39*B39*C39</f>
        <v>625</v>
      </c>
      <c r="E39">
        <f>D39/$B$31</f>
        <v>0.36168981481481483</v>
      </c>
      <c r="F39">
        <f>E39*$E$32</f>
        <v>179.03645833333334</v>
      </c>
      <c r="G39" s="225">
        <f>F39*$E$34</f>
        <v>28.645833333333336</v>
      </c>
      <c r="J39" s="174" t="s">
        <v>113</v>
      </c>
      <c r="M39">
        <v>490</v>
      </c>
      <c r="O39" s="176"/>
      <c r="Q39" s="224">
        <f>A17</f>
        <v>2</v>
      </c>
      <c r="R39" s="165">
        <f>B17</f>
        <v>14</v>
      </c>
      <c r="S39" s="165">
        <f>C17</f>
        <v>16</v>
      </c>
      <c r="T39">
        <f t="shared" ref="T39:T42" si="10">Q39*R39*S39</f>
        <v>448</v>
      </c>
      <c r="U39">
        <f>T39/$B$31</f>
        <v>0.25925925925925924</v>
      </c>
      <c r="V39">
        <f>U39*$U$32</f>
        <v>79.074074074074076</v>
      </c>
      <c r="W39" s="225">
        <f>ROUNDUP(V39*$U$34, 1)</f>
        <v>15.9</v>
      </c>
    </row>
    <row r="40" spans="1:23" x14ac:dyDescent="0.25">
      <c r="A40" s="226">
        <v>5.625</v>
      </c>
      <c r="B40" s="166">
        <v>5.75</v>
      </c>
      <c r="C40" s="166">
        <v>9</v>
      </c>
      <c r="D40">
        <f t="shared" si="9"/>
        <v>291.09375</v>
      </c>
      <c r="E40">
        <f>D40/$B$31</f>
        <v>0.16845703125</v>
      </c>
      <c r="F40">
        <f>E40*$E$32</f>
        <v>83.38623046875</v>
      </c>
      <c r="G40" s="227">
        <f>F40*$E$33</f>
        <v>11.674072265625002</v>
      </c>
      <c r="J40" s="174" t="s">
        <v>114</v>
      </c>
      <c r="M40">
        <v>1204.4100000000001</v>
      </c>
      <c r="O40" s="176"/>
      <c r="Q40" s="226">
        <v>5.625</v>
      </c>
      <c r="R40" s="166">
        <v>5.75</v>
      </c>
      <c r="S40" s="166">
        <v>9</v>
      </c>
      <c r="T40">
        <f t="shared" si="10"/>
        <v>291.09375</v>
      </c>
      <c r="U40">
        <f>T40/$B$31</f>
        <v>0.16845703125</v>
      </c>
      <c r="V40">
        <f>U40*$E$32</f>
        <v>83.38623046875</v>
      </c>
      <c r="W40" s="227">
        <f>V40*$E$33</f>
        <v>11.674072265625002</v>
      </c>
    </row>
    <row r="41" spans="1:23" x14ac:dyDescent="0.25">
      <c r="A41" s="228">
        <v>11.75</v>
      </c>
      <c r="B41" s="167">
        <v>5.75</v>
      </c>
      <c r="C41" s="167">
        <v>55.875</v>
      </c>
      <c r="D41">
        <f t="shared" si="9"/>
        <v>3775.0546875</v>
      </c>
      <c r="E41">
        <f>D41/$B$31</f>
        <v>2.1846381293402777</v>
      </c>
      <c r="F41">
        <f>E41*$E$32</f>
        <v>1081.3958740234375</v>
      </c>
      <c r="G41" s="229">
        <f>F41*$E$33</f>
        <v>151.39542236328126</v>
      </c>
      <c r="J41" s="174" t="s">
        <v>115</v>
      </c>
      <c r="M41">
        <v>568.5</v>
      </c>
      <c r="O41" s="176"/>
      <c r="Q41" s="228">
        <v>11.75</v>
      </c>
      <c r="R41" s="167">
        <v>5.75</v>
      </c>
      <c r="S41" s="167">
        <v>55.875</v>
      </c>
      <c r="T41">
        <f t="shared" si="10"/>
        <v>3775.0546875</v>
      </c>
      <c r="U41">
        <f>T41/$B$31</f>
        <v>2.1846381293402777</v>
      </c>
      <c r="V41">
        <f>U41*$E$32</f>
        <v>1081.3958740234375</v>
      </c>
      <c r="W41" s="229">
        <f>V41*$E$33</f>
        <v>151.39542236328126</v>
      </c>
    </row>
    <row r="42" spans="1:23" x14ac:dyDescent="0.25">
      <c r="A42" s="230">
        <v>10</v>
      </c>
      <c r="B42" s="231">
        <v>10</v>
      </c>
      <c r="C42" s="231">
        <v>10</v>
      </c>
      <c r="D42" s="178">
        <f t="shared" si="9"/>
        <v>1000</v>
      </c>
      <c r="E42" s="178">
        <f>D42/$B$31</f>
        <v>0.57870370370370372</v>
      </c>
      <c r="F42" s="178">
        <f>E42*$E$32</f>
        <v>286.45833333333331</v>
      </c>
      <c r="G42" s="179">
        <f>F42*$E$33</f>
        <v>40.104166666666664</v>
      </c>
      <c r="J42" s="177"/>
      <c r="K42" s="178"/>
      <c r="L42" s="178"/>
      <c r="M42" s="178"/>
      <c r="N42" s="178"/>
      <c r="O42" s="199"/>
      <c r="Q42" s="230">
        <v>10</v>
      </c>
      <c r="R42" s="231">
        <v>10</v>
      </c>
      <c r="S42" s="231">
        <v>10</v>
      </c>
      <c r="T42" s="178">
        <f t="shared" si="10"/>
        <v>1000</v>
      </c>
      <c r="U42" s="178">
        <f>T42/$B$31</f>
        <v>0.57870370370370372</v>
      </c>
      <c r="V42" s="178">
        <f>U42*$E$32</f>
        <v>286.45833333333331</v>
      </c>
      <c r="W42" s="179">
        <f>V42*$E$33</f>
        <v>40.104166666666664</v>
      </c>
    </row>
  </sheetData>
  <conditionalFormatting sqref="P4">
    <cfRule type="expression" dxfId="40" priority="5">
      <formula>$F$38&gt;$Y$30</formula>
    </cfRule>
  </conditionalFormatting>
  <conditionalFormatting sqref="P8">
    <cfRule type="expression" dxfId="39" priority="4">
      <formula>$F$39&gt;$Y$30</formula>
    </cfRule>
  </conditionalFormatting>
  <conditionalFormatting sqref="P13">
    <cfRule type="expression" dxfId="38" priority="2">
      <formula>$V$38&gt;$Y$30</formula>
    </cfRule>
    <cfRule type="expression" priority="3">
      <formula>$V$38&gt;$Y$30</formula>
    </cfRule>
  </conditionalFormatting>
  <conditionalFormatting sqref="P17">
    <cfRule type="expression" dxfId="37" priority="1">
      <formula>$V$39&gt;$Y$30</formula>
    </cfRule>
  </conditionalFormatting>
  <pageMargins left="0.7" right="0.7" top="0.75" bottom="0.75" header="0.3" footer="0.3"/>
  <drawing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CA75-8336-4899-96C9-348C48C1F64D}">
  <sheetPr>
    <tabColor rgb="FF00B0F0"/>
  </sheetPr>
  <dimension ref="A1:AA45"/>
  <sheetViews>
    <sheetView topLeftCell="A6" zoomScale="90" zoomScaleNormal="90" workbookViewId="0">
      <selection activeCell="A39" sqref="A39:P45"/>
    </sheetView>
  </sheetViews>
  <sheetFormatPr defaultRowHeight="15" x14ac:dyDescent="0.25"/>
  <cols>
    <col min="2" max="2" width="22.85546875" customWidth="1"/>
    <col min="3" max="3" width="17.85546875" customWidth="1"/>
    <col min="13" max="13" width="10.28515625" customWidth="1"/>
    <col min="14" max="14" width="17" customWidth="1"/>
    <col min="15" max="15" width="9.140625" customWidth="1"/>
    <col min="16" max="16" width="12" bestFit="1" customWidth="1"/>
    <col min="19" max="19" width="10.85546875" customWidth="1"/>
    <col min="21" max="21" width="13.7109375" bestFit="1" customWidth="1"/>
  </cols>
  <sheetData>
    <row r="1" spans="1:27" ht="21" x14ac:dyDescent="0.25">
      <c r="A1" s="218" t="s">
        <v>164</v>
      </c>
      <c r="B1" s="217"/>
      <c r="C1" s="217"/>
      <c r="D1" s="217"/>
      <c r="E1" s="217"/>
      <c r="F1" s="217"/>
      <c r="G1" s="217"/>
      <c r="H1" s="217"/>
      <c r="I1" s="217"/>
      <c r="J1" s="10"/>
      <c r="K1" s="10"/>
      <c r="L1" s="10"/>
      <c r="M1" s="10"/>
      <c r="N1" s="10"/>
      <c r="O1" s="193"/>
      <c r="P1" s="193"/>
      <c r="Q1" s="21"/>
      <c r="R1" s="21"/>
      <c r="S1" s="21"/>
      <c r="T1" s="22"/>
      <c r="U1" s="22"/>
      <c r="V1" s="22"/>
      <c r="W1" s="22"/>
      <c r="X1" s="75"/>
      <c r="Y1" s="22"/>
      <c r="Z1" s="22"/>
      <c r="AA1" s="22"/>
    </row>
    <row r="2" spans="1:27" ht="37.5" customHeight="1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195" t="s">
        <v>145</v>
      </c>
      <c r="O2" s="326" t="s">
        <v>144</v>
      </c>
      <c r="P2" s="196" t="s">
        <v>146</v>
      </c>
      <c r="Q2" s="194"/>
      <c r="R2" s="38" t="s">
        <v>29</v>
      </c>
      <c r="S2" s="41" t="s">
        <v>204</v>
      </c>
      <c r="T2" s="37" t="s">
        <v>34</v>
      </c>
      <c r="U2" s="37" t="s">
        <v>27</v>
      </c>
      <c r="V2" s="38" t="s">
        <v>39</v>
      </c>
      <c r="W2" s="38" t="s">
        <v>30</v>
      </c>
      <c r="X2" s="74" t="s">
        <v>36</v>
      </c>
      <c r="Y2" s="38" t="s">
        <v>31</v>
      </c>
      <c r="Z2" s="37" t="s">
        <v>32</v>
      </c>
      <c r="AA2" s="41" t="s">
        <v>33</v>
      </c>
    </row>
    <row r="3" spans="1:27" ht="53.25" customHeight="1" x14ac:dyDescent="0.25">
      <c r="A3" s="65">
        <v>4</v>
      </c>
      <c r="B3" s="65">
        <v>19</v>
      </c>
      <c r="C3" s="65">
        <v>144</v>
      </c>
      <c r="D3" s="66" t="s">
        <v>0</v>
      </c>
      <c r="E3" s="66">
        <v>7.4999999999999997E-2</v>
      </c>
      <c r="F3" s="7">
        <f>(A3+B3)*C3</f>
        <v>3312</v>
      </c>
      <c r="G3" s="7">
        <f>(A3+B3)/E3</f>
        <v>306.66666666666669</v>
      </c>
      <c r="H3" s="7">
        <f t="shared" ref="H3" si="0">C3/10</f>
        <v>14.4</v>
      </c>
      <c r="I3" s="66">
        <v>5</v>
      </c>
      <c r="J3" s="67">
        <f t="shared" ref="J3" si="1">H3*G3/60</f>
        <v>73.599999999999994</v>
      </c>
      <c r="K3" s="67">
        <f>J3+I3</f>
        <v>78.599999999999994</v>
      </c>
      <c r="L3" s="68">
        <v>225</v>
      </c>
      <c r="M3" s="69">
        <f>L3/60</f>
        <v>3.75</v>
      </c>
      <c r="N3" s="70">
        <f>ROUNDUP(K3*M3,1)</f>
        <v>294.8</v>
      </c>
      <c r="O3" s="327">
        <f>ROUNDUP(G32, 1)</f>
        <v>326.20000000000005</v>
      </c>
      <c r="P3" s="216">
        <f>IF(N3&gt;O3, N3, O3)</f>
        <v>326.20000000000005</v>
      </c>
      <c r="Q3" s="23" t="s">
        <v>166</v>
      </c>
      <c r="R3" s="32">
        <v>1</v>
      </c>
      <c r="S3" s="325">
        <f>P3*R3</f>
        <v>326.20000000000005</v>
      </c>
      <c r="T3" s="33">
        <f>IF(S3&gt;Z3, S3, Z3)</f>
        <v>326.20000000000005</v>
      </c>
      <c r="U3" s="30">
        <v>0</v>
      </c>
      <c r="V3" s="79">
        <v>0.02</v>
      </c>
      <c r="W3" s="33">
        <f>T3+U3</f>
        <v>326.20000000000005</v>
      </c>
      <c r="X3" s="77">
        <f>ROUNDUP(W3*V3,0)</f>
        <v>7</v>
      </c>
      <c r="Y3" s="33">
        <f>W3+X3</f>
        <v>333.20000000000005</v>
      </c>
      <c r="Z3" s="57">
        <v>225</v>
      </c>
      <c r="AA3" s="78">
        <f>ROUNDDOWN(Z3/N3,0)</f>
        <v>0</v>
      </c>
    </row>
    <row r="4" spans="1:27" ht="18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Q4" s="24"/>
      <c r="R4" s="21"/>
      <c r="S4" s="21"/>
      <c r="T4" s="27"/>
      <c r="U4" s="28"/>
      <c r="V4" s="72"/>
      <c r="W4" s="27"/>
      <c r="X4" s="76"/>
      <c r="Y4" s="27"/>
      <c r="Z4" s="25"/>
      <c r="AA4" s="26"/>
    </row>
    <row r="5" spans="1:27" ht="21" x14ac:dyDescent="0.25">
      <c r="A5" s="218" t="s">
        <v>165</v>
      </c>
      <c r="B5" s="217"/>
      <c r="C5" s="219"/>
      <c r="D5" s="217"/>
      <c r="E5" s="217"/>
      <c r="F5" s="217"/>
      <c r="G5" s="217"/>
      <c r="H5" s="217"/>
      <c r="I5" s="217"/>
      <c r="J5" s="10"/>
      <c r="K5" s="10"/>
      <c r="L5" s="10"/>
      <c r="M5" s="10"/>
      <c r="N5" s="10"/>
      <c r="O5" s="193"/>
      <c r="P5" s="193"/>
      <c r="Q5" s="21"/>
      <c r="R5" s="21"/>
      <c r="S5" s="21"/>
      <c r="T5" s="22"/>
      <c r="U5" s="22"/>
      <c r="V5" s="22"/>
      <c r="W5" s="22"/>
      <c r="X5" s="75"/>
      <c r="Y5" s="22"/>
      <c r="Z5" s="22"/>
      <c r="AA5" s="22"/>
    </row>
    <row r="6" spans="1:27" ht="60" x14ac:dyDescent="0.25">
      <c r="A6" s="2" t="s">
        <v>23</v>
      </c>
      <c r="B6" s="2" t="s">
        <v>8</v>
      </c>
      <c r="C6" s="2" t="s">
        <v>7</v>
      </c>
      <c r="D6" s="2" t="s">
        <v>2</v>
      </c>
      <c r="E6" s="2" t="s">
        <v>1</v>
      </c>
      <c r="F6" s="2" t="s">
        <v>6</v>
      </c>
      <c r="G6" s="2" t="s">
        <v>3</v>
      </c>
      <c r="H6" s="2" t="s">
        <v>21</v>
      </c>
      <c r="I6" s="2" t="s">
        <v>9</v>
      </c>
      <c r="J6" s="2" t="s">
        <v>4</v>
      </c>
      <c r="K6" s="2" t="s">
        <v>10</v>
      </c>
      <c r="L6" s="2" t="s">
        <v>24</v>
      </c>
      <c r="M6" s="2" t="s">
        <v>25</v>
      </c>
      <c r="N6" s="195" t="s">
        <v>145</v>
      </c>
      <c r="O6" s="326" t="s">
        <v>144</v>
      </c>
      <c r="P6" s="196" t="s">
        <v>146</v>
      </c>
      <c r="Q6" s="194"/>
      <c r="R6" s="38" t="s">
        <v>29</v>
      </c>
      <c r="S6" s="38" t="s">
        <v>204</v>
      </c>
      <c r="T6" s="37" t="s">
        <v>34</v>
      </c>
      <c r="U6" s="37" t="s">
        <v>27</v>
      </c>
      <c r="V6" s="38" t="s">
        <v>39</v>
      </c>
      <c r="W6" s="38" t="s">
        <v>30</v>
      </c>
      <c r="X6" s="74" t="s">
        <v>36</v>
      </c>
      <c r="Y6" s="38" t="s">
        <v>31</v>
      </c>
      <c r="Z6" s="37" t="s">
        <v>32</v>
      </c>
      <c r="AA6" s="41" t="s">
        <v>33</v>
      </c>
    </row>
    <row r="7" spans="1:27" x14ac:dyDescent="0.25">
      <c r="A7" s="65">
        <v>4</v>
      </c>
      <c r="B7" s="65">
        <v>19</v>
      </c>
      <c r="C7" s="65">
        <v>144</v>
      </c>
      <c r="D7" s="66" t="s">
        <v>0</v>
      </c>
      <c r="E7" s="66">
        <v>5.5E-2</v>
      </c>
      <c r="F7" s="7">
        <f>(A7+B7)*C7</f>
        <v>3312</v>
      </c>
      <c r="G7" s="7">
        <f>(A7+B7)/E7</f>
        <v>418.18181818181819</v>
      </c>
      <c r="H7" s="7">
        <f t="shared" ref="H7" si="2">C7/10</f>
        <v>14.4</v>
      </c>
      <c r="I7" s="66">
        <v>5</v>
      </c>
      <c r="J7" s="67">
        <f t="shared" ref="J7" si="3">H7*G7/60</f>
        <v>100.36363636363636</v>
      </c>
      <c r="K7" s="67">
        <f>J7+I7</f>
        <v>105.36363636363636</v>
      </c>
      <c r="L7" s="68">
        <v>225</v>
      </c>
      <c r="M7" s="69">
        <f>L7/60</f>
        <v>3.75</v>
      </c>
      <c r="N7" s="70">
        <f>ROUNDUP(K7*M7,1)</f>
        <v>395.20000000000005</v>
      </c>
      <c r="O7" s="327">
        <f>ROUNDUP(G33, 1)</f>
        <v>391.4</v>
      </c>
      <c r="P7" s="216">
        <f>IF(N7&gt;O7, N7, O7)</f>
        <v>395.20000000000005</v>
      </c>
      <c r="Q7" s="23" t="s">
        <v>167</v>
      </c>
      <c r="R7" s="32">
        <v>2</v>
      </c>
      <c r="S7" s="325">
        <f>P7*R7</f>
        <v>790.40000000000009</v>
      </c>
      <c r="T7" s="33">
        <f>IF(S7&gt;Z7, S7, Z7)</f>
        <v>790.40000000000009</v>
      </c>
      <c r="U7" s="30">
        <v>0</v>
      </c>
      <c r="V7" s="79">
        <v>0.02</v>
      </c>
      <c r="W7" s="33">
        <f>T7+U7</f>
        <v>790.40000000000009</v>
      </c>
      <c r="X7" s="77">
        <f>ROUNDUP(W7*V7,0)</f>
        <v>16</v>
      </c>
      <c r="Y7" s="33">
        <f>W7+X7</f>
        <v>806.40000000000009</v>
      </c>
      <c r="Z7" s="57">
        <v>225</v>
      </c>
      <c r="AA7" s="78">
        <f>ROUNDDOWN(Z7/N7,0)</f>
        <v>0</v>
      </c>
    </row>
    <row r="10" spans="1:27" ht="21" x14ac:dyDescent="0.25">
      <c r="A10" s="292" t="s">
        <v>189</v>
      </c>
      <c r="B10" s="217"/>
      <c r="C10" s="217"/>
      <c r="D10" s="217"/>
      <c r="E10" s="217"/>
      <c r="F10" s="217"/>
      <c r="G10" s="217"/>
      <c r="H10" s="217"/>
      <c r="I10" s="10"/>
      <c r="J10" s="10"/>
      <c r="K10" s="10"/>
      <c r="L10" s="10"/>
      <c r="M10" s="10"/>
      <c r="N10" s="10"/>
      <c r="O10" s="193"/>
      <c r="P10" s="193"/>
      <c r="Q10" s="21"/>
      <c r="R10" s="21"/>
      <c r="S10" s="21"/>
      <c r="T10" s="22"/>
      <c r="U10" s="22"/>
      <c r="V10" s="22"/>
      <c r="W10" s="22"/>
      <c r="X10" s="75"/>
      <c r="Y10" s="22"/>
      <c r="Z10" s="22"/>
      <c r="AA10" s="22"/>
    </row>
    <row r="11" spans="1:27" ht="60" x14ac:dyDescent="0.25">
      <c r="A11" s="2" t="s">
        <v>23</v>
      </c>
      <c r="B11" s="2" t="s">
        <v>8</v>
      </c>
      <c r="C11" s="2" t="s">
        <v>7</v>
      </c>
      <c r="D11" s="2" t="s">
        <v>2</v>
      </c>
      <c r="E11" s="2" t="s">
        <v>1</v>
      </c>
      <c r="F11" s="2" t="s">
        <v>6</v>
      </c>
      <c r="G11" s="2" t="s">
        <v>3</v>
      </c>
      <c r="H11" s="2" t="s">
        <v>21</v>
      </c>
      <c r="I11" s="2" t="s">
        <v>9</v>
      </c>
      <c r="J11" s="2" t="s">
        <v>4</v>
      </c>
      <c r="K11" s="2" t="s">
        <v>10</v>
      </c>
      <c r="L11" s="2" t="s">
        <v>24</v>
      </c>
      <c r="M11" s="2" t="s">
        <v>25</v>
      </c>
      <c r="N11" s="195" t="s">
        <v>145</v>
      </c>
      <c r="O11" s="326" t="s">
        <v>144</v>
      </c>
      <c r="P11" s="196" t="s">
        <v>146</v>
      </c>
      <c r="Q11" s="194"/>
      <c r="R11" s="38" t="s">
        <v>29</v>
      </c>
      <c r="S11" s="38" t="s">
        <v>204</v>
      </c>
      <c r="T11" s="37" t="s">
        <v>34</v>
      </c>
      <c r="U11" s="37" t="s">
        <v>27</v>
      </c>
      <c r="V11" s="38" t="s">
        <v>39</v>
      </c>
      <c r="W11" s="38" t="s">
        <v>30</v>
      </c>
      <c r="X11" s="74" t="s">
        <v>36</v>
      </c>
      <c r="Y11" s="38" t="s">
        <v>31</v>
      </c>
      <c r="Z11" s="37" t="s">
        <v>32</v>
      </c>
      <c r="AA11" s="41" t="s">
        <v>33</v>
      </c>
    </row>
    <row r="12" spans="1:27" x14ac:dyDescent="0.25">
      <c r="A12" s="65">
        <v>3.5</v>
      </c>
      <c r="B12" s="65">
        <v>48</v>
      </c>
      <c r="C12" s="65">
        <v>33.5</v>
      </c>
      <c r="D12" s="66" t="s">
        <v>0</v>
      </c>
      <c r="E12" s="66">
        <v>7.4999999999999997E-2</v>
      </c>
      <c r="F12" s="7">
        <f>(A12+B12)*C12</f>
        <v>1725.25</v>
      </c>
      <c r="G12" s="7">
        <f>(A12+B12)/E12</f>
        <v>686.66666666666674</v>
      </c>
      <c r="H12" s="7">
        <f t="shared" ref="H12" si="4">C12/10</f>
        <v>3.35</v>
      </c>
      <c r="I12" s="66">
        <v>6</v>
      </c>
      <c r="J12" s="67">
        <f t="shared" ref="J12" si="5">H12*G12/60</f>
        <v>38.338888888888889</v>
      </c>
      <c r="K12" s="67">
        <f>J12+I12</f>
        <v>44.338888888888889</v>
      </c>
      <c r="L12" s="68">
        <v>225</v>
      </c>
      <c r="M12" s="69">
        <f>L12/60</f>
        <v>3.75</v>
      </c>
      <c r="N12" s="70">
        <f>ROUNDUP(K12*M12,1)</f>
        <v>166.29999999999998</v>
      </c>
      <c r="O12" s="327">
        <f>ROUNDUP(X32, 1)</f>
        <v>185</v>
      </c>
      <c r="P12" s="216">
        <f>IF(N12&gt;O12, N12, O12)</f>
        <v>185</v>
      </c>
      <c r="Q12" s="23" t="s">
        <v>166</v>
      </c>
      <c r="R12" s="32">
        <v>1</v>
      </c>
      <c r="S12" s="325">
        <f>P12*R12</f>
        <v>185</v>
      </c>
      <c r="T12" s="33">
        <f>IF(S12&gt;Z12, S12, Z12)</f>
        <v>225</v>
      </c>
      <c r="U12" s="30">
        <v>125</v>
      </c>
      <c r="V12" s="79">
        <v>0.02</v>
      </c>
      <c r="W12" s="33">
        <f>T12+U12</f>
        <v>350</v>
      </c>
      <c r="X12" s="77">
        <f>ROUNDUP(W12*V12,0)</f>
        <v>7</v>
      </c>
      <c r="Y12" s="33">
        <f>W12+X12</f>
        <v>357</v>
      </c>
      <c r="Z12" s="57">
        <v>225</v>
      </c>
      <c r="AA12" s="78">
        <f>ROUNDDOWN(Z12/N12,0)</f>
        <v>1</v>
      </c>
    </row>
    <row r="13" spans="1:27" ht="18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24"/>
      <c r="R13" s="21"/>
      <c r="S13" s="21"/>
      <c r="T13" s="27"/>
      <c r="U13" s="28"/>
      <c r="V13" s="72"/>
      <c r="W13" s="27"/>
      <c r="X13" s="76"/>
      <c r="Y13" s="27"/>
      <c r="Z13" s="25"/>
      <c r="AA13" s="26"/>
    </row>
    <row r="14" spans="1:27" ht="21" x14ac:dyDescent="0.25">
      <c r="A14" s="292" t="s">
        <v>190</v>
      </c>
      <c r="B14" s="217"/>
      <c r="C14" s="217"/>
      <c r="D14" s="217"/>
      <c r="E14" s="217"/>
      <c r="F14" s="217"/>
      <c r="G14" s="217"/>
      <c r="H14" s="217"/>
      <c r="I14" s="10"/>
      <c r="J14" s="10"/>
      <c r="K14" s="10"/>
      <c r="L14" s="10"/>
      <c r="M14" s="10"/>
      <c r="N14" s="10"/>
      <c r="O14" s="193"/>
      <c r="P14" s="193"/>
      <c r="Q14" s="21"/>
      <c r="R14" s="21"/>
      <c r="S14" s="21"/>
      <c r="T14" s="22"/>
      <c r="U14" s="22"/>
      <c r="V14" s="22"/>
      <c r="W14" s="22"/>
      <c r="X14" s="75"/>
      <c r="Y14" s="22"/>
      <c r="Z14" s="22"/>
      <c r="AA14" s="22"/>
    </row>
    <row r="15" spans="1:27" ht="60" x14ac:dyDescent="0.25">
      <c r="A15" s="2" t="s">
        <v>23</v>
      </c>
      <c r="B15" s="2" t="s">
        <v>8</v>
      </c>
      <c r="C15" s="2" t="s">
        <v>7</v>
      </c>
      <c r="D15" s="2" t="s">
        <v>2</v>
      </c>
      <c r="E15" s="2" t="s">
        <v>1</v>
      </c>
      <c r="F15" s="2" t="s">
        <v>6</v>
      </c>
      <c r="G15" s="2" t="s">
        <v>3</v>
      </c>
      <c r="H15" s="2" t="s">
        <v>21</v>
      </c>
      <c r="I15" s="2" t="s">
        <v>9</v>
      </c>
      <c r="J15" s="2" t="s">
        <v>4</v>
      </c>
      <c r="K15" s="2" t="s">
        <v>10</v>
      </c>
      <c r="L15" s="2" t="s">
        <v>24</v>
      </c>
      <c r="M15" s="2" t="s">
        <v>25</v>
      </c>
      <c r="N15" s="195" t="s">
        <v>145</v>
      </c>
      <c r="O15" s="326" t="s">
        <v>144</v>
      </c>
      <c r="P15" s="196" t="s">
        <v>146</v>
      </c>
      <c r="Q15" s="194"/>
      <c r="R15" s="38" t="s">
        <v>29</v>
      </c>
      <c r="S15" s="38" t="s">
        <v>204</v>
      </c>
      <c r="T15" s="37" t="s">
        <v>34</v>
      </c>
      <c r="U15" s="37" t="s">
        <v>27</v>
      </c>
      <c r="V15" s="38" t="s">
        <v>39</v>
      </c>
      <c r="W15" s="38" t="s">
        <v>30</v>
      </c>
      <c r="X15" s="74" t="s">
        <v>36</v>
      </c>
      <c r="Y15" s="38" t="s">
        <v>31</v>
      </c>
      <c r="Z15" s="37" t="s">
        <v>32</v>
      </c>
      <c r="AA15" s="41" t="s">
        <v>33</v>
      </c>
    </row>
    <row r="16" spans="1:27" x14ac:dyDescent="0.25">
      <c r="A16" s="65">
        <v>1.5</v>
      </c>
      <c r="B16" s="65">
        <v>16</v>
      </c>
      <c r="C16" s="65">
        <v>48</v>
      </c>
      <c r="D16" s="66" t="s">
        <v>0</v>
      </c>
      <c r="E16" s="66">
        <v>5.5E-2</v>
      </c>
      <c r="F16" s="7">
        <f>(A16+B16)*C16</f>
        <v>840</v>
      </c>
      <c r="G16" s="7">
        <f>(A16+B16)/E16</f>
        <v>318.18181818181819</v>
      </c>
      <c r="H16" s="7">
        <f t="shared" ref="H16" si="6">C16/10</f>
        <v>4.8</v>
      </c>
      <c r="I16" s="66">
        <v>4</v>
      </c>
      <c r="J16" s="67">
        <f t="shared" ref="J16" si="7">H16*G16/60</f>
        <v>25.454545454545453</v>
      </c>
      <c r="K16" s="67">
        <f>J16+I16</f>
        <v>29.454545454545453</v>
      </c>
      <c r="L16" s="68">
        <v>225</v>
      </c>
      <c r="M16" s="69">
        <f>L16/60</f>
        <v>3.75</v>
      </c>
      <c r="N16" s="70">
        <f>ROUNDUP(K16*M16,1)</f>
        <v>110.5</v>
      </c>
      <c r="O16" s="327">
        <f>ROUNDUP(X33, 1)</f>
        <v>45.5</v>
      </c>
      <c r="P16" s="216">
        <f>IF(N16&gt;O16, N16, O16)</f>
        <v>110.5</v>
      </c>
      <c r="Q16" s="23" t="s">
        <v>167</v>
      </c>
      <c r="R16" s="32">
        <v>1</v>
      </c>
      <c r="S16" s="325">
        <f>P16*R16</f>
        <v>110.5</v>
      </c>
      <c r="T16" s="33">
        <f>IF(S16&gt;Z16, S16, Z16)</f>
        <v>225</v>
      </c>
      <c r="U16" s="30">
        <v>125</v>
      </c>
      <c r="V16" s="79">
        <v>0.02</v>
      </c>
      <c r="W16" s="33">
        <f>T16+U16</f>
        <v>350</v>
      </c>
      <c r="X16" s="77">
        <f>ROUNDUP(W16*V16,0)</f>
        <v>7</v>
      </c>
      <c r="Y16" s="33">
        <f>W16+X16</f>
        <v>357</v>
      </c>
      <c r="Z16" s="57">
        <v>225</v>
      </c>
      <c r="AA16" s="78">
        <f>ROUNDDOWN(Z16/N16,0)</f>
        <v>2</v>
      </c>
    </row>
    <row r="19" spans="1:26" ht="21" x14ac:dyDescent="0.25">
      <c r="A19" s="15" t="s">
        <v>12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  <c r="Q19" s="60"/>
      <c r="R19" s="63"/>
      <c r="S19" s="63"/>
      <c r="T19" s="61"/>
      <c r="U19" s="209"/>
      <c r="V19" s="63"/>
      <c r="W19" s="210"/>
      <c r="X19" s="63"/>
      <c r="Y19" s="60"/>
      <c r="Z19" s="211"/>
    </row>
    <row r="20" spans="1:26" ht="45" x14ac:dyDescent="0.25">
      <c r="A20" s="4" t="s">
        <v>13</v>
      </c>
      <c r="B20" s="4" t="s">
        <v>7</v>
      </c>
      <c r="C20" s="2" t="s">
        <v>2</v>
      </c>
      <c r="D20" s="4" t="s">
        <v>1</v>
      </c>
      <c r="E20" s="5" t="s">
        <v>20</v>
      </c>
      <c r="F20" s="4" t="s">
        <v>14</v>
      </c>
      <c r="G20" s="4" t="s">
        <v>15</v>
      </c>
      <c r="H20" s="4" t="s">
        <v>17</v>
      </c>
      <c r="I20" s="4" t="s">
        <v>16</v>
      </c>
      <c r="J20" s="4" t="s">
        <v>18</v>
      </c>
      <c r="K20" s="2" t="s">
        <v>24</v>
      </c>
      <c r="L20" s="2" t="s">
        <v>25</v>
      </c>
      <c r="M20" s="6" t="s">
        <v>19</v>
      </c>
      <c r="N20" s="6"/>
      <c r="O20" s="6"/>
      <c r="P20" s="37"/>
      <c r="Q20" s="38" t="s">
        <v>29</v>
      </c>
      <c r="R20" s="44" t="s">
        <v>34</v>
      </c>
      <c r="S20" s="44"/>
      <c r="T20" s="42" t="s">
        <v>27</v>
      </c>
      <c r="U20" s="73" t="s">
        <v>39</v>
      </c>
      <c r="V20" s="44" t="s">
        <v>30</v>
      </c>
      <c r="W20" s="45" t="s">
        <v>36</v>
      </c>
      <c r="X20" s="44" t="s">
        <v>31</v>
      </c>
      <c r="Y20" s="37" t="s">
        <v>32</v>
      </c>
      <c r="Z20" s="41" t="s">
        <v>33</v>
      </c>
    </row>
    <row r="21" spans="1:26" x14ac:dyDescent="0.25">
      <c r="A21" s="14">
        <v>5.5</v>
      </c>
      <c r="B21" s="14">
        <v>52</v>
      </c>
      <c r="C21" s="66" t="s">
        <v>0</v>
      </c>
      <c r="D21" s="16">
        <v>6.5000000000000002E-2</v>
      </c>
      <c r="E21" s="16">
        <f>A21*3.14</f>
        <v>17.27</v>
      </c>
      <c r="F21" s="17">
        <f>E21/D21</f>
        <v>265.69230769230768</v>
      </c>
      <c r="G21" s="16">
        <f>B21/10</f>
        <v>5.2</v>
      </c>
      <c r="H21" s="16">
        <v>3</v>
      </c>
      <c r="I21" s="19">
        <f>G21*F21/60</f>
        <v>23.026666666666664</v>
      </c>
      <c r="J21" s="20">
        <f>I21+H21</f>
        <v>26.026666666666664</v>
      </c>
      <c r="K21" s="68">
        <v>225</v>
      </c>
      <c r="L21" s="69">
        <f>K21/60</f>
        <v>3.75</v>
      </c>
      <c r="M21" s="18">
        <f>ROUNDUP(J21*L21,1)</f>
        <v>97.6</v>
      </c>
      <c r="N21" s="212"/>
      <c r="O21" s="212"/>
      <c r="P21" s="56" t="s">
        <v>143</v>
      </c>
      <c r="Q21" s="32">
        <v>12</v>
      </c>
      <c r="R21" s="33">
        <f>M21*Q21</f>
        <v>1171.1999999999998</v>
      </c>
      <c r="S21" s="33"/>
      <c r="T21" s="30">
        <v>125</v>
      </c>
      <c r="U21" s="79">
        <v>0.02</v>
      </c>
      <c r="V21" s="33">
        <f>R21+T21</f>
        <v>1296.1999999999998</v>
      </c>
      <c r="W21" s="77">
        <f>ROUNDUP(V21*U21,0)</f>
        <v>26</v>
      </c>
      <c r="X21" s="33">
        <f t="shared" ref="X21" si="8">V21+W21</f>
        <v>1322.1999999999998</v>
      </c>
      <c r="Y21" s="57">
        <v>225</v>
      </c>
      <c r="Z21" s="78">
        <f>ROUNDDOWN(Y21/M21,0)</f>
        <v>2</v>
      </c>
    </row>
    <row r="22" spans="1:26" x14ac:dyDescent="0.25">
      <c r="A22" s="171"/>
      <c r="B22" s="198"/>
      <c r="C22" s="198"/>
      <c r="D22" s="198"/>
      <c r="E22" s="198"/>
      <c r="F22" s="198"/>
      <c r="G22" s="173"/>
    </row>
    <row r="23" spans="1:26" x14ac:dyDescent="0.25">
      <c r="A23" s="174"/>
      <c r="G23" s="176"/>
      <c r="Q23" s="171"/>
      <c r="R23" s="198"/>
      <c r="S23" s="198"/>
      <c r="T23" s="198"/>
      <c r="U23" s="198"/>
      <c r="V23" s="198"/>
      <c r="W23" s="198"/>
      <c r="X23" s="173"/>
      <c r="Z23" t="s">
        <v>184</v>
      </c>
    </row>
    <row r="24" spans="1:26" x14ac:dyDescent="0.25">
      <c r="A24" s="174"/>
      <c r="G24" s="176"/>
      <c r="J24" s="171"/>
      <c r="K24" s="198"/>
      <c r="L24" s="215" t="s">
        <v>163</v>
      </c>
      <c r="M24" s="198"/>
      <c r="N24" s="198"/>
      <c r="O24" s="173"/>
      <c r="Q24" s="174"/>
      <c r="X24" s="176"/>
      <c r="Z24" s="260">
        <v>10000</v>
      </c>
    </row>
    <row r="25" spans="1:26" x14ac:dyDescent="0.25">
      <c r="A25" s="174" t="s">
        <v>92</v>
      </c>
      <c r="B25">
        <f>12^3</f>
        <v>1728</v>
      </c>
      <c r="C25" t="s">
        <v>93</v>
      </c>
      <c r="G25" s="176"/>
      <c r="J25" s="174"/>
      <c r="M25" t="s">
        <v>94</v>
      </c>
      <c r="N25">
        <v>62.427959999999999</v>
      </c>
      <c r="O25" s="176"/>
      <c r="Q25" s="174" t="s">
        <v>92</v>
      </c>
      <c r="R25">
        <f>12^3</f>
        <v>1728</v>
      </c>
      <c r="T25" t="s">
        <v>93</v>
      </c>
      <c r="X25" s="176"/>
      <c r="Z25">
        <v>6000</v>
      </c>
    </row>
    <row r="26" spans="1:26" x14ac:dyDescent="0.25">
      <c r="A26" s="174"/>
      <c r="C26" t="s">
        <v>95</v>
      </c>
      <c r="E26" s="161">
        <v>515</v>
      </c>
      <c r="G26" s="176"/>
      <c r="J26" s="174" t="s">
        <v>96</v>
      </c>
      <c r="K26" t="s">
        <v>97</v>
      </c>
      <c r="L26" t="s">
        <v>98</v>
      </c>
      <c r="M26" t="s">
        <v>99</v>
      </c>
      <c r="O26" s="176"/>
      <c r="Q26" s="174"/>
      <c r="T26" t="s">
        <v>95</v>
      </c>
      <c r="V26" s="161">
        <v>568</v>
      </c>
      <c r="X26" s="176"/>
      <c r="Z26">
        <v>4000</v>
      </c>
    </row>
    <row r="27" spans="1:26" x14ac:dyDescent="0.25">
      <c r="A27" s="174"/>
      <c r="C27" t="s">
        <v>161</v>
      </c>
      <c r="E27" s="162">
        <v>0.1</v>
      </c>
      <c r="G27" s="176"/>
      <c r="J27" s="174" t="s">
        <v>101</v>
      </c>
      <c r="K27">
        <v>7075</v>
      </c>
      <c r="L27">
        <v>2.81</v>
      </c>
      <c r="M27">
        <f>L27*$N$25</f>
        <v>175.42256760000001</v>
      </c>
      <c r="O27" s="176"/>
      <c r="Q27" s="174"/>
      <c r="T27" t="s">
        <v>161</v>
      </c>
      <c r="V27" s="162">
        <v>0.1</v>
      </c>
      <c r="X27" s="176"/>
    </row>
    <row r="28" spans="1:26" x14ac:dyDescent="0.25">
      <c r="A28" s="174"/>
      <c r="C28" t="s">
        <v>162</v>
      </c>
      <c r="E28" s="258">
        <v>0.12</v>
      </c>
      <c r="G28" s="176"/>
      <c r="J28" s="174" t="s">
        <v>101</v>
      </c>
      <c r="K28">
        <v>2219</v>
      </c>
      <c r="L28">
        <v>2.84</v>
      </c>
      <c r="M28">
        <f>L28*$N$25</f>
        <v>177.29540639999999</v>
      </c>
      <c r="O28" s="176"/>
      <c r="Q28" s="174"/>
      <c r="T28" t="s">
        <v>162</v>
      </c>
      <c r="V28" s="259">
        <v>0.12</v>
      </c>
      <c r="X28" s="176"/>
    </row>
    <row r="29" spans="1:26" x14ac:dyDescent="0.25">
      <c r="A29" s="174"/>
      <c r="G29" s="176"/>
      <c r="J29" s="174" t="s">
        <v>101</v>
      </c>
      <c r="K29">
        <v>6061</v>
      </c>
      <c r="L29">
        <v>2.7</v>
      </c>
      <c r="M29">
        <f>L29*$N$25</f>
        <v>168.55549200000002</v>
      </c>
      <c r="O29" s="176"/>
      <c r="Q29" s="174"/>
      <c r="X29" s="176"/>
    </row>
    <row r="30" spans="1:26" x14ac:dyDescent="0.25">
      <c r="A30" s="174"/>
      <c r="G30" s="176"/>
      <c r="J30" s="174" t="s">
        <v>101</v>
      </c>
      <c r="K30">
        <v>7050</v>
      </c>
      <c r="L30">
        <v>2.83</v>
      </c>
      <c r="M30">
        <f>L30*$N$25</f>
        <v>176.6711268</v>
      </c>
      <c r="O30" s="176"/>
      <c r="Q30" s="174"/>
      <c r="X30" s="176"/>
    </row>
    <row r="31" spans="1:26" x14ac:dyDescent="0.25">
      <c r="A31" s="213" t="s">
        <v>102</v>
      </c>
      <c r="B31" s="163" t="s">
        <v>103</v>
      </c>
      <c r="C31" s="163" t="s">
        <v>104</v>
      </c>
      <c r="D31" s="163" t="s">
        <v>105</v>
      </c>
      <c r="E31" s="163" t="s">
        <v>106</v>
      </c>
      <c r="F31" s="163" t="s">
        <v>107</v>
      </c>
      <c r="G31" s="214" t="s">
        <v>108</v>
      </c>
      <c r="H31" s="163"/>
      <c r="I31" s="163"/>
      <c r="J31" s="213" t="s">
        <v>109</v>
      </c>
      <c r="K31" s="163"/>
      <c r="L31" s="163"/>
      <c r="M31" s="163">
        <v>494.21</v>
      </c>
      <c r="N31" s="163" t="s">
        <v>110</v>
      </c>
      <c r="O31" s="214"/>
      <c r="P31" s="163"/>
      <c r="Q31" s="213" t="s">
        <v>102</v>
      </c>
      <c r="R31" s="163" t="s">
        <v>103</v>
      </c>
      <c r="S31" s="163"/>
      <c r="T31" s="163" t="s">
        <v>104</v>
      </c>
      <c r="U31" s="163" t="s">
        <v>105</v>
      </c>
      <c r="V31" s="163" t="s">
        <v>106</v>
      </c>
      <c r="W31" s="163" t="s">
        <v>107</v>
      </c>
      <c r="X31" s="214" t="s">
        <v>108</v>
      </c>
    </row>
    <row r="32" spans="1:26" x14ac:dyDescent="0.25">
      <c r="A32" s="222">
        <f>A3</f>
        <v>4</v>
      </c>
      <c r="B32" s="164">
        <f>B3</f>
        <v>19</v>
      </c>
      <c r="C32" s="164">
        <f>C3</f>
        <v>144</v>
      </c>
      <c r="D32">
        <f>A32*B32*C32</f>
        <v>10944</v>
      </c>
      <c r="E32">
        <f>D32/$B$25</f>
        <v>6.333333333333333</v>
      </c>
      <c r="F32">
        <f>E32*$E$26</f>
        <v>3261.6666666666665</v>
      </c>
      <c r="G32" s="223">
        <f>F32*$E$27</f>
        <v>326.16666666666669</v>
      </c>
      <c r="J32" s="174" t="s">
        <v>111</v>
      </c>
      <c r="M32">
        <v>283.39</v>
      </c>
      <c r="N32" t="s">
        <v>112</v>
      </c>
      <c r="O32" s="176"/>
      <c r="Q32" s="222">
        <f>A12</f>
        <v>3.5</v>
      </c>
      <c r="R32" s="164">
        <f>B12</f>
        <v>48</v>
      </c>
      <c r="S32" s="164"/>
      <c r="T32" s="164">
        <f>C12</f>
        <v>33.5</v>
      </c>
      <c r="U32">
        <f>Q32*R32*T32</f>
        <v>5628</v>
      </c>
      <c r="V32">
        <f>U32/$B$25</f>
        <v>3.2569444444444446</v>
      </c>
      <c r="W32">
        <f>V32*$V$26</f>
        <v>1849.9444444444446</v>
      </c>
      <c r="X32" s="223">
        <f>W32*$V$27</f>
        <v>184.99444444444447</v>
      </c>
    </row>
    <row r="33" spans="1:24" x14ac:dyDescent="0.25">
      <c r="A33" s="224">
        <f>+A7</f>
        <v>4</v>
      </c>
      <c r="B33" s="165">
        <f>B7</f>
        <v>19</v>
      </c>
      <c r="C33" s="165">
        <f>C7</f>
        <v>144</v>
      </c>
      <c r="D33">
        <f t="shared" ref="D33:D36" si="9">A33*B33*C33</f>
        <v>10944</v>
      </c>
      <c r="E33">
        <f>D33/$B$25</f>
        <v>6.333333333333333</v>
      </c>
      <c r="F33">
        <f>E33*$E$26</f>
        <v>3261.6666666666665</v>
      </c>
      <c r="G33" s="225">
        <f>F33*$E$28</f>
        <v>391.4</v>
      </c>
      <c r="J33" s="174" t="s">
        <v>113</v>
      </c>
      <c r="M33">
        <v>490</v>
      </c>
      <c r="O33" s="176"/>
      <c r="Q33" s="224">
        <f>A16</f>
        <v>1.5</v>
      </c>
      <c r="R33" s="165">
        <f>B16</f>
        <v>16</v>
      </c>
      <c r="S33" s="165"/>
      <c r="T33" s="165">
        <f>C16</f>
        <v>48</v>
      </c>
      <c r="U33">
        <f t="shared" ref="U33:U36" si="10">Q33*R33*T33</f>
        <v>1152</v>
      </c>
      <c r="V33">
        <f>U33/$B$25</f>
        <v>0.66666666666666663</v>
      </c>
      <c r="W33">
        <f>V33*$V$26</f>
        <v>378.66666666666663</v>
      </c>
      <c r="X33" s="225">
        <f>W33*$V$28</f>
        <v>45.439999999999991</v>
      </c>
    </row>
    <row r="34" spans="1:24" x14ac:dyDescent="0.25">
      <c r="A34" s="226">
        <v>5.625</v>
      </c>
      <c r="B34" s="166">
        <v>5.75</v>
      </c>
      <c r="C34" s="166">
        <v>9</v>
      </c>
      <c r="D34">
        <f t="shared" si="9"/>
        <v>291.09375</v>
      </c>
      <c r="E34">
        <f>D34/$B$25</f>
        <v>0.16845703125</v>
      </c>
      <c r="F34">
        <f>E34*$E$26</f>
        <v>86.75537109375</v>
      </c>
      <c r="G34" s="227">
        <f>F34*$E$27</f>
        <v>8.675537109375</v>
      </c>
      <c r="J34" s="174" t="s">
        <v>114</v>
      </c>
      <c r="M34">
        <v>1204.4100000000001</v>
      </c>
      <c r="O34" s="176"/>
      <c r="Q34" s="226">
        <v>5.625</v>
      </c>
      <c r="R34" s="166">
        <v>5.75</v>
      </c>
      <c r="S34" s="166"/>
      <c r="T34" s="166">
        <v>9</v>
      </c>
      <c r="U34">
        <f t="shared" si="10"/>
        <v>291.09375</v>
      </c>
      <c r="V34">
        <f>U34/$B$25</f>
        <v>0.16845703125</v>
      </c>
      <c r="W34">
        <f>V34*$E$26</f>
        <v>86.75537109375</v>
      </c>
      <c r="X34" s="227">
        <f>W34*$E$27</f>
        <v>8.675537109375</v>
      </c>
    </row>
    <row r="35" spans="1:24" x14ac:dyDescent="0.25">
      <c r="A35" s="228">
        <v>11.75</v>
      </c>
      <c r="B35" s="167">
        <v>5.75</v>
      </c>
      <c r="C35" s="167">
        <v>55.875</v>
      </c>
      <c r="D35">
        <f t="shared" si="9"/>
        <v>3775.0546875</v>
      </c>
      <c r="E35">
        <f>D35/$B$25</f>
        <v>2.1846381293402777</v>
      </c>
      <c r="F35">
        <f>E35*$E$26</f>
        <v>1125.0886366102429</v>
      </c>
      <c r="G35" s="229">
        <f>F35*$E$27</f>
        <v>112.50886366102429</v>
      </c>
      <c r="J35" s="174" t="s">
        <v>115</v>
      </c>
      <c r="M35">
        <v>568.5</v>
      </c>
      <c r="O35" s="176"/>
      <c r="Q35" s="228">
        <v>11.75</v>
      </c>
      <c r="R35" s="167">
        <v>5.75</v>
      </c>
      <c r="S35" s="167"/>
      <c r="T35" s="167">
        <v>55.875</v>
      </c>
      <c r="U35">
        <f t="shared" si="10"/>
        <v>3775.0546875</v>
      </c>
      <c r="V35">
        <f>U35/$B$25</f>
        <v>2.1846381293402777</v>
      </c>
      <c r="W35">
        <f>V35*$E$26</f>
        <v>1125.0886366102429</v>
      </c>
      <c r="X35" s="229">
        <f>W35*$E$27</f>
        <v>112.50886366102429</v>
      </c>
    </row>
    <row r="36" spans="1:24" x14ac:dyDescent="0.25">
      <c r="A36" s="230">
        <v>10</v>
      </c>
      <c r="B36" s="231">
        <v>10</v>
      </c>
      <c r="C36" s="231">
        <v>10</v>
      </c>
      <c r="D36" s="178">
        <f t="shared" si="9"/>
        <v>1000</v>
      </c>
      <c r="E36" s="178">
        <f>D36/$B$25</f>
        <v>0.57870370370370372</v>
      </c>
      <c r="F36" s="178">
        <f>E36*$E$26</f>
        <v>298.03240740740739</v>
      </c>
      <c r="G36" s="179">
        <f>F36*$E$27</f>
        <v>29.80324074074074</v>
      </c>
      <c r="J36" s="177"/>
      <c r="K36" s="178"/>
      <c r="L36" s="178"/>
      <c r="M36" s="178"/>
      <c r="N36" s="178"/>
      <c r="O36" s="199"/>
      <c r="Q36" s="230">
        <v>10</v>
      </c>
      <c r="R36" s="231">
        <v>10</v>
      </c>
      <c r="S36" s="231"/>
      <c r="T36" s="231">
        <v>10</v>
      </c>
      <c r="U36" s="178">
        <f t="shared" si="10"/>
        <v>1000</v>
      </c>
      <c r="V36" s="178">
        <f>U36/$B$25</f>
        <v>0.57870370370370372</v>
      </c>
      <c r="W36" s="178">
        <f>V36*$E$26</f>
        <v>298.03240740740739</v>
      </c>
      <c r="X36" s="179">
        <f>W36*$E$27</f>
        <v>29.80324074074074</v>
      </c>
    </row>
    <row r="39" spans="1:24" ht="39.75" customHeight="1" x14ac:dyDescent="0.25"/>
    <row r="40" spans="1:24" ht="45" x14ac:dyDescent="0.25">
      <c r="B40" s="95" t="s">
        <v>178</v>
      </c>
      <c r="C40" s="246" t="s">
        <v>176</v>
      </c>
      <c r="D40" s="95" t="s">
        <v>173</v>
      </c>
      <c r="E40" s="95" t="s">
        <v>170</v>
      </c>
      <c r="F40" s="95" t="s">
        <v>171</v>
      </c>
      <c r="G40" s="246" t="s">
        <v>175</v>
      </c>
      <c r="H40" s="95" t="s">
        <v>172</v>
      </c>
      <c r="I40" s="95" t="s">
        <v>174</v>
      </c>
      <c r="J40" s="246" t="s">
        <v>177</v>
      </c>
      <c r="L40" s="184" t="s">
        <v>185</v>
      </c>
      <c r="M40" s="184" t="s">
        <v>186</v>
      </c>
      <c r="P40" s="250" t="s">
        <v>184</v>
      </c>
    </row>
    <row r="41" spans="1:24" x14ac:dyDescent="0.25">
      <c r="B41" s="232" t="s">
        <v>179</v>
      </c>
      <c r="C41" s="332">
        <v>16.75</v>
      </c>
      <c r="D41" s="333">
        <v>144</v>
      </c>
      <c r="E41" s="251">
        <f>C41/2</f>
        <v>8.375</v>
      </c>
      <c r="F41" s="161">
        <v>3.1415926535900001</v>
      </c>
      <c r="G41" s="161">
        <f>F41*(E41^2)</f>
        <v>220.35327221821109</v>
      </c>
      <c r="H41" s="161">
        <f>G41*D41</f>
        <v>31730.871199422396</v>
      </c>
      <c r="I41" s="161">
        <v>0.28299999999999997</v>
      </c>
      <c r="J41" s="233">
        <f>H41*I41</f>
        <v>8979.8365494365371</v>
      </c>
      <c r="L41" s="257">
        <v>0.12</v>
      </c>
      <c r="M41" s="256">
        <f>ROUND(L41*J41, 2)</f>
        <v>1077.58</v>
      </c>
      <c r="P41" s="95">
        <v>6000</v>
      </c>
    </row>
    <row r="42" spans="1:24" x14ac:dyDescent="0.25">
      <c r="B42" s="234" t="s">
        <v>180</v>
      </c>
      <c r="C42" s="332">
        <v>6.25</v>
      </c>
      <c r="D42" s="333">
        <v>52</v>
      </c>
      <c r="E42" s="252">
        <f>C42/2</f>
        <v>3.125</v>
      </c>
      <c r="F42" s="235">
        <v>3.1415926535900001</v>
      </c>
      <c r="G42" s="235">
        <f t="shared" ref="G42:G45" si="11">F42*(E42^2)</f>
        <v>30.679615757714846</v>
      </c>
      <c r="H42" s="235">
        <f>G42*D42</f>
        <v>1595.340019401172</v>
      </c>
      <c r="I42" s="235">
        <v>0.28999999999999998</v>
      </c>
      <c r="J42" s="236">
        <f>H42*I42</f>
        <v>462.64860562633982</v>
      </c>
      <c r="L42" s="257">
        <v>0.14000000000000001</v>
      </c>
      <c r="M42" s="256">
        <f t="shared" ref="M42:M45" si="12">ROUND(L42*J42, 2)</f>
        <v>64.77</v>
      </c>
    </row>
    <row r="43" spans="1:24" x14ac:dyDescent="0.25">
      <c r="B43" s="237" t="s">
        <v>181</v>
      </c>
      <c r="C43" s="332">
        <v>13</v>
      </c>
      <c r="D43" s="333">
        <v>148</v>
      </c>
      <c r="E43" s="253">
        <f>C43/2</f>
        <v>6.5</v>
      </c>
      <c r="F43" s="238">
        <v>3.1415926535900001</v>
      </c>
      <c r="G43" s="238">
        <f t="shared" si="11"/>
        <v>132.73228961417749</v>
      </c>
      <c r="H43" s="238">
        <f>G43*D43</f>
        <v>19644.378862898269</v>
      </c>
      <c r="I43" s="238">
        <v>0.1</v>
      </c>
      <c r="J43" s="239">
        <f>H43*I43</f>
        <v>1964.437886289827</v>
      </c>
      <c r="L43" s="257">
        <v>0.16</v>
      </c>
      <c r="M43" s="256">
        <f t="shared" si="12"/>
        <v>314.31</v>
      </c>
    </row>
    <row r="44" spans="1:24" x14ac:dyDescent="0.25">
      <c r="B44" s="240" t="s">
        <v>182</v>
      </c>
      <c r="C44" s="332">
        <v>13</v>
      </c>
      <c r="D44" s="333">
        <v>148</v>
      </c>
      <c r="E44" s="254">
        <f>C44/2</f>
        <v>6.5</v>
      </c>
      <c r="F44" s="241">
        <v>3.1415926535900001</v>
      </c>
      <c r="G44" s="241">
        <f t="shared" si="11"/>
        <v>132.73228961417749</v>
      </c>
      <c r="H44" s="241">
        <f>G44*D44</f>
        <v>19644.378862898269</v>
      </c>
      <c r="I44" s="241">
        <v>0.16</v>
      </c>
      <c r="J44" s="242">
        <f>H44*I44</f>
        <v>3143.1006180637232</v>
      </c>
      <c r="L44" s="257">
        <v>0.2</v>
      </c>
      <c r="M44" s="256">
        <f t="shared" si="12"/>
        <v>628.62</v>
      </c>
    </row>
    <row r="45" spans="1:24" x14ac:dyDescent="0.25">
      <c r="B45" s="243" t="s">
        <v>187</v>
      </c>
      <c r="C45" s="332">
        <v>2.25</v>
      </c>
      <c r="D45" s="333">
        <v>144</v>
      </c>
      <c r="E45" s="255">
        <f>C45/2</f>
        <v>1.125</v>
      </c>
      <c r="F45" s="244">
        <v>3.1415926535900001</v>
      </c>
      <c r="G45" s="244">
        <f t="shared" si="11"/>
        <v>3.9760782021998438</v>
      </c>
      <c r="H45" s="244">
        <f>G45*D45</f>
        <v>572.5552611167775</v>
      </c>
      <c r="I45" s="244">
        <v>0.29649999999999999</v>
      </c>
      <c r="J45" s="245">
        <f>H45*I45</f>
        <v>169.76263492112452</v>
      </c>
      <c r="L45" s="257">
        <v>0.14000000000000001</v>
      </c>
      <c r="M45" s="256">
        <f t="shared" si="12"/>
        <v>23.77</v>
      </c>
    </row>
  </sheetData>
  <conditionalFormatting sqref="J41:J45">
    <cfRule type="cellIs" dxfId="36" priority="6" operator="greaterThan">
      <formula>$Q$19</formula>
    </cfRule>
  </conditionalFormatting>
  <conditionalFormatting sqref="J45">
    <cfRule type="cellIs" dxfId="35" priority="12" operator="greaterThan">
      <formula>6296.819819</formula>
    </cfRule>
    <cfRule type="cellIs" dxfId="34" priority="13" operator="greaterThan">
      <formula>$Q$19</formula>
    </cfRule>
  </conditionalFormatting>
  <conditionalFormatting sqref="M45">
    <cfRule type="cellIs" dxfId="33" priority="7" operator="greaterThan">
      <formula>960</formula>
    </cfRule>
    <cfRule type="cellIs" priority="8" operator="greaterThan">
      <formula>960</formula>
    </cfRule>
    <cfRule type="expression" priority="9">
      <formula>$K$23</formula>
    </cfRule>
    <cfRule type="aboveAverage" priority="10" aboveAverage="0"/>
    <cfRule type="expression" priority="11">
      <formula>"IF K28 IS RED"</formula>
    </cfRule>
  </conditionalFormatting>
  <conditionalFormatting sqref="P3">
    <cfRule type="expression" dxfId="32" priority="1">
      <formula>$F$32&gt;$Z$24</formula>
    </cfRule>
    <cfRule type="expression" priority="5">
      <formula>$W$32&gt;$Z$24</formula>
    </cfRule>
  </conditionalFormatting>
  <conditionalFormatting sqref="P7">
    <cfRule type="expression" dxfId="31" priority="2">
      <formula>$F$33&gt;$Z$24</formula>
    </cfRule>
  </conditionalFormatting>
  <conditionalFormatting sqref="P12">
    <cfRule type="expression" dxfId="30" priority="4">
      <formula>$W$32&gt;$Z$24</formula>
    </cfRule>
  </conditionalFormatting>
  <conditionalFormatting sqref="P16">
    <cfRule type="expression" dxfId="29" priority="3">
      <formula>$W$33&gt;$Z$24</formula>
    </cfRule>
  </conditionalFormatting>
  <pageMargins left="0.7" right="0.7" top="0.75" bottom="0.75" header="0.3" footer="0.3"/>
  <drawing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CDE5-78B6-4F27-BCAB-45956885DD09}">
  <sheetPr>
    <tabColor rgb="FFFF0000"/>
  </sheetPr>
  <dimension ref="A1:Y25"/>
  <sheetViews>
    <sheetView workbookViewId="0">
      <selection activeCell="V33" sqref="V33"/>
    </sheetView>
  </sheetViews>
  <sheetFormatPr defaultRowHeight="15" x14ac:dyDescent="0.25"/>
  <cols>
    <col min="19" max="19" width="12" bestFit="1" customWidth="1"/>
    <col min="20" max="20" width="10.5703125" bestFit="1" customWidth="1"/>
    <col min="22" max="22" width="9.85546875" bestFit="1" customWidth="1"/>
  </cols>
  <sheetData>
    <row r="1" spans="1:25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88"/>
    </row>
    <row r="2" spans="1:25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34</v>
      </c>
      <c r="T2" s="114" t="s">
        <v>30</v>
      </c>
      <c r="U2" s="113" t="s">
        <v>36</v>
      </c>
      <c r="V2" s="115" t="s">
        <v>31</v>
      </c>
      <c r="W2" s="113"/>
      <c r="X2" s="113" t="s">
        <v>32</v>
      </c>
      <c r="Y2" s="114" t="s">
        <v>33</v>
      </c>
    </row>
    <row r="3" spans="1:25" x14ac:dyDescent="0.25">
      <c r="A3" s="65">
        <v>0.625</v>
      </c>
      <c r="B3" s="65">
        <v>13.5</v>
      </c>
      <c r="C3" s="65">
        <v>14.25</v>
      </c>
      <c r="D3" s="66">
        <v>0.125</v>
      </c>
      <c r="E3" s="66">
        <v>6.5000000000000002E-2</v>
      </c>
      <c r="F3" s="66">
        <f>(A3+B3)*C3</f>
        <v>201.28125</v>
      </c>
      <c r="G3" s="66">
        <f>(A3+B3)/E3</f>
        <v>217.30769230769229</v>
      </c>
      <c r="H3" s="66">
        <f t="shared" ref="H3" si="0">C3/10</f>
        <v>1.425</v>
      </c>
      <c r="I3" s="66">
        <v>2.5</v>
      </c>
      <c r="J3" s="67">
        <f t="shared" ref="J3" si="1">H3*G3/60</f>
        <v>5.1610576923076925</v>
      </c>
      <c r="K3" s="67">
        <f>J3+I3</f>
        <v>7.6610576923076925</v>
      </c>
      <c r="L3" s="68">
        <v>225</v>
      </c>
      <c r="M3" s="69">
        <f>L3/60</f>
        <v>3.75</v>
      </c>
      <c r="N3" s="70">
        <f>ROUNDUP(K3*M3,1)</f>
        <v>28.8</v>
      </c>
      <c r="O3" s="56"/>
      <c r="P3" s="30">
        <v>125</v>
      </c>
      <c r="Q3" s="71">
        <v>0.02</v>
      </c>
      <c r="R3" s="32">
        <v>141</v>
      </c>
      <c r="S3" s="33">
        <f>N3*R3</f>
        <v>4060.8</v>
      </c>
      <c r="T3" s="33">
        <f>(N3*R3)+P3</f>
        <v>4185.8</v>
      </c>
      <c r="U3" s="33">
        <f>ROUNDUP(T3*Q3,0)</f>
        <v>84</v>
      </c>
      <c r="V3" s="33">
        <f>T3+U3</f>
        <v>4269.8</v>
      </c>
      <c r="W3" s="34"/>
      <c r="X3" s="57">
        <v>225</v>
      </c>
      <c r="Y3" s="36">
        <f>ROUNDDOWN(X3/N3,0)</f>
        <v>7</v>
      </c>
    </row>
    <row r="4" spans="1:25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3"/>
      <c r="T4" s="63"/>
      <c r="U4" s="63"/>
      <c r="V4" s="63"/>
      <c r="W4" s="60"/>
      <c r="X4" s="60"/>
      <c r="Y4" s="64"/>
    </row>
    <row r="5" spans="1:25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52" t="s">
        <v>34</v>
      </c>
      <c r="T5" s="44" t="s">
        <v>30</v>
      </c>
      <c r="U5" s="53" t="s">
        <v>36</v>
      </c>
      <c r="V5" s="46" t="s">
        <v>37</v>
      </c>
      <c r="W5" s="21"/>
      <c r="X5" s="37" t="s">
        <v>32</v>
      </c>
      <c r="Y5" s="37" t="s">
        <v>33</v>
      </c>
    </row>
    <row r="6" spans="1:25" x14ac:dyDescent="0.25">
      <c r="B6" s="14">
        <v>2</v>
      </c>
      <c r="C6" s="14">
        <v>2</v>
      </c>
      <c r="D6" s="66" t="s">
        <v>0</v>
      </c>
      <c r="E6" s="16">
        <v>6.5000000000000002E-2</v>
      </c>
      <c r="F6" s="16">
        <f>B6*3.14</f>
        <v>6.28</v>
      </c>
      <c r="G6" s="17">
        <f>F6/E6</f>
        <v>96.615384615384613</v>
      </c>
      <c r="H6" s="16">
        <f>C6/10</f>
        <v>0.2</v>
      </c>
      <c r="I6" s="16">
        <v>2.5</v>
      </c>
      <c r="J6" s="19">
        <f>H6*G6/60</f>
        <v>0.32205128205128208</v>
      </c>
      <c r="K6" s="20">
        <f>J6+I6</f>
        <v>2.822051282051282</v>
      </c>
      <c r="L6" s="68">
        <v>225</v>
      </c>
      <c r="M6" s="69">
        <f>L6/60</f>
        <v>3.75</v>
      </c>
      <c r="N6" s="18">
        <f>ROUNDUP(K6*M6,1)</f>
        <v>10.6</v>
      </c>
      <c r="O6" s="56"/>
      <c r="P6" s="30">
        <v>125</v>
      </c>
      <c r="Q6" s="71">
        <v>0.02</v>
      </c>
      <c r="R6" s="32">
        <v>1</v>
      </c>
      <c r="S6" s="55">
        <f>N6*R6</f>
        <v>10.6</v>
      </c>
      <c r="T6" s="55">
        <f>(N6*R6)+P6</f>
        <v>135.6</v>
      </c>
      <c r="U6" s="33">
        <f>ROUNDUP(T6*Q6,0)</f>
        <v>3</v>
      </c>
      <c r="V6" s="33">
        <f t="shared" ref="V6" si="2">T6+U6</f>
        <v>138.6</v>
      </c>
      <c r="W6" s="56"/>
      <c r="X6" s="58">
        <v>225</v>
      </c>
      <c r="Y6" s="47">
        <f>ROUNDDOWN(X6/N6,0)</f>
        <v>21</v>
      </c>
    </row>
    <row r="7" spans="1:25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8"/>
      <c r="Q7" s="29"/>
      <c r="R7" s="21"/>
      <c r="S7" s="27"/>
      <c r="T7" s="27"/>
      <c r="U7" s="27"/>
      <c r="V7" s="27"/>
      <c r="W7" s="25"/>
      <c r="X7" s="21"/>
      <c r="Y7" s="21"/>
    </row>
    <row r="8" spans="1:25" x14ac:dyDescent="0.25">
      <c r="A8" s="1"/>
    </row>
    <row r="9" spans="1:25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181"/>
      <c r="Q9" s="181"/>
      <c r="R9" s="181"/>
      <c r="S9" s="181"/>
      <c r="T9" s="181"/>
      <c r="U9" s="181"/>
      <c r="V9" s="181"/>
      <c r="W9" s="181"/>
      <c r="X9" s="181"/>
      <c r="Y9" s="88"/>
    </row>
    <row r="10" spans="1:25" ht="30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39"/>
      <c r="P10" s="113" t="s">
        <v>27</v>
      </c>
      <c r="Q10" s="113" t="s">
        <v>38</v>
      </c>
      <c r="R10" s="114" t="s">
        <v>35</v>
      </c>
      <c r="S10" s="114" t="s">
        <v>34</v>
      </c>
      <c r="T10" s="114" t="s">
        <v>30</v>
      </c>
      <c r="U10" s="113" t="s">
        <v>36</v>
      </c>
      <c r="V10" s="115" t="s">
        <v>31</v>
      </c>
      <c r="W10" s="113"/>
      <c r="X10" s="113" t="s">
        <v>32</v>
      </c>
      <c r="Y10" s="114" t="s">
        <v>33</v>
      </c>
    </row>
    <row r="11" spans="1:25" x14ac:dyDescent="0.25">
      <c r="A11" s="65">
        <v>1.5</v>
      </c>
      <c r="B11" s="65">
        <v>36</v>
      </c>
      <c r="C11" s="65">
        <v>96</v>
      </c>
      <c r="D11" s="66">
        <v>0.125</v>
      </c>
      <c r="E11" s="66">
        <v>6.5000000000000002E-2</v>
      </c>
      <c r="F11" s="66">
        <f>(A11+B11)*C11</f>
        <v>3600</v>
      </c>
      <c r="G11" s="66">
        <f>(A11+B11)/E11</f>
        <v>576.92307692307691</v>
      </c>
      <c r="H11" s="66">
        <f t="shared" ref="H11" si="3">C11/10</f>
        <v>9.6</v>
      </c>
      <c r="I11" s="66">
        <v>3</v>
      </c>
      <c r="J11" s="67">
        <f t="shared" ref="J11" si="4">H11*G11/60</f>
        <v>92.307692307692307</v>
      </c>
      <c r="K11" s="67">
        <f>J11+I11</f>
        <v>95.307692307692307</v>
      </c>
      <c r="L11" s="68">
        <v>250</v>
      </c>
      <c r="M11" s="69">
        <f>L11/60</f>
        <v>4.166666666666667</v>
      </c>
      <c r="N11" s="70">
        <f>ROUNDUP(K11*M11,1)</f>
        <v>397.20000000000005</v>
      </c>
      <c r="O11" s="56"/>
      <c r="P11" s="30">
        <v>125</v>
      </c>
      <c r="Q11" s="71">
        <v>0.02</v>
      </c>
      <c r="R11" s="32">
        <v>1</v>
      </c>
      <c r="S11" s="33">
        <f>N11*R11</f>
        <v>397.20000000000005</v>
      </c>
      <c r="T11" s="33">
        <f>(N11*R11)+P11</f>
        <v>522.20000000000005</v>
      </c>
      <c r="U11" s="33">
        <f>ROUNDUP(T11*Q11,0)</f>
        <v>11</v>
      </c>
      <c r="V11" s="33">
        <f>T11+U11</f>
        <v>533.20000000000005</v>
      </c>
      <c r="W11" s="34"/>
      <c r="X11" s="57">
        <v>250</v>
      </c>
      <c r="Y11" s="36">
        <f>ROUNDDOWN(X11/N11,0)</f>
        <v>0</v>
      </c>
    </row>
    <row r="12" spans="1:25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0"/>
      <c r="S12" s="63"/>
      <c r="T12" s="63"/>
      <c r="U12" s="63"/>
      <c r="V12" s="63"/>
      <c r="W12" s="60"/>
      <c r="X12" s="60"/>
      <c r="Y12" s="64"/>
    </row>
    <row r="13" spans="1:25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40"/>
      <c r="P13" s="42" t="s">
        <v>27</v>
      </c>
      <c r="Q13" s="43" t="s">
        <v>38</v>
      </c>
      <c r="R13" s="49" t="s">
        <v>35</v>
      </c>
      <c r="S13" s="52" t="s">
        <v>34</v>
      </c>
      <c r="T13" s="44" t="s">
        <v>30</v>
      </c>
      <c r="U13" s="53" t="s">
        <v>36</v>
      </c>
      <c r="V13" s="46" t="s">
        <v>37</v>
      </c>
      <c r="W13" s="21"/>
      <c r="X13" s="37" t="s">
        <v>32</v>
      </c>
      <c r="Y13" s="37" t="s">
        <v>33</v>
      </c>
    </row>
    <row r="14" spans="1:25" x14ac:dyDescent="0.25">
      <c r="A14" s="1"/>
      <c r="B14" s="14">
        <v>2</v>
      </c>
      <c r="C14" s="14">
        <v>2</v>
      </c>
      <c r="D14" s="66" t="s">
        <v>0</v>
      </c>
      <c r="E14" s="16">
        <v>6.5000000000000002E-2</v>
      </c>
      <c r="F14" s="16">
        <f>B14*3.14</f>
        <v>6.28</v>
      </c>
      <c r="G14" s="17">
        <f>F14/E14</f>
        <v>96.615384615384613</v>
      </c>
      <c r="H14" s="16">
        <f>C14/10</f>
        <v>0.2</v>
      </c>
      <c r="I14" s="16">
        <v>3</v>
      </c>
      <c r="J14" s="19">
        <f>H14*G14/60</f>
        <v>0.32205128205128208</v>
      </c>
      <c r="K14" s="20">
        <f>J14+I14</f>
        <v>3.322051282051282</v>
      </c>
      <c r="L14" s="68">
        <v>250</v>
      </c>
      <c r="M14" s="69">
        <f>L14/60</f>
        <v>4.166666666666667</v>
      </c>
      <c r="N14" s="18">
        <f>ROUNDUP(K14*M14,1)</f>
        <v>13.9</v>
      </c>
      <c r="O14" s="56"/>
      <c r="P14" s="30">
        <v>125</v>
      </c>
      <c r="Q14" s="71">
        <v>0.02</v>
      </c>
      <c r="R14" s="32">
        <v>1</v>
      </c>
      <c r="S14" s="55">
        <f>N14*R14</f>
        <v>13.9</v>
      </c>
      <c r="T14" s="55">
        <f>(N14*R14)+P14</f>
        <v>138.9</v>
      </c>
      <c r="U14" s="33">
        <f>ROUNDUP(T14*Q14,0)</f>
        <v>3</v>
      </c>
      <c r="V14" s="33">
        <f t="shared" ref="V14" si="5">T14+U14</f>
        <v>141.9</v>
      </c>
      <c r="W14" s="56"/>
      <c r="X14" s="58">
        <v>250</v>
      </c>
      <c r="Y14" s="47">
        <f>ROUNDDOWN(X14/N14,0)</f>
        <v>17</v>
      </c>
    </row>
    <row r="17" spans="1:22" ht="21" x14ac:dyDescent="0.35">
      <c r="A17" s="171"/>
      <c r="B17" s="172" t="s">
        <v>119</v>
      </c>
      <c r="C17" s="173"/>
      <c r="I17" s="171"/>
      <c r="J17" s="198"/>
      <c r="K17" s="198"/>
      <c r="L17" s="198"/>
      <c r="M17" s="198"/>
      <c r="N17" s="172" t="s">
        <v>149</v>
      </c>
      <c r="O17" s="198"/>
      <c r="P17" s="198"/>
      <c r="Q17" s="198"/>
      <c r="R17" s="173"/>
    </row>
    <row r="18" spans="1:22" x14ac:dyDescent="0.25">
      <c r="A18" s="174" t="s">
        <v>32</v>
      </c>
      <c r="C18" s="175">
        <v>225</v>
      </c>
      <c r="I18" s="174" t="s">
        <v>150</v>
      </c>
      <c r="R18" s="176"/>
    </row>
    <row r="19" spans="1:22" ht="15.75" x14ac:dyDescent="0.25">
      <c r="A19" s="174" t="s">
        <v>120</v>
      </c>
      <c r="C19" s="175">
        <v>125</v>
      </c>
      <c r="I19" s="174" t="s">
        <v>151</v>
      </c>
      <c r="R19" s="176"/>
      <c r="V19" s="169"/>
    </row>
    <row r="20" spans="1:22" ht="15.75" x14ac:dyDescent="0.25">
      <c r="A20" s="174" t="s">
        <v>36</v>
      </c>
      <c r="C20" s="176" t="s">
        <v>122</v>
      </c>
      <c r="I20" s="174"/>
      <c r="R20" s="176"/>
      <c r="V20" s="170"/>
    </row>
    <row r="21" spans="1:22" ht="15.75" x14ac:dyDescent="0.25">
      <c r="A21" s="174" t="s">
        <v>121</v>
      </c>
      <c r="C21" s="176" t="s">
        <v>123</v>
      </c>
      <c r="I21" s="174" t="s">
        <v>152</v>
      </c>
      <c r="R21" s="176"/>
      <c r="V21" s="170"/>
    </row>
    <row r="22" spans="1:22" ht="15.75" x14ac:dyDescent="0.25">
      <c r="A22" s="177" t="s">
        <v>124</v>
      </c>
      <c r="B22" s="178"/>
      <c r="C22" s="179">
        <v>150</v>
      </c>
      <c r="I22" s="174" t="s">
        <v>153</v>
      </c>
      <c r="R22" s="176"/>
      <c r="V22" s="170"/>
    </row>
    <row r="23" spans="1:22" ht="15.75" x14ac:dyDescent="0.25">
      <c r="I23" s="174"/>
      <c r="R23" s="176"/>
      <c r="V23" s="170"/>
    </row>
    <row r="24" spans="1:22" x14ac:dyDescent="0.25">
      <c r="I24" s="174" t="s">
        <v>154</v>
      </c>
      <c r="R24" s="176"/>
    </row>
    <row r="25" spans="1:22" x14ac:dyDescent="0.25">
      <c r="I25" s="177" t="s">
        <v>155</v>
      </c>
      <c r="J25" s="178"/>
      <c r="K25" s="178"/>
      <c r="L25" s="178"/>
      <c r="M25" s="178"/>
      <c r="N25" s="178"/>
      <c r="O25" s="178"/>
      <c r="P25" s="178"/>
      <c r="Q25" s="178"/>
      <c r="R25" s="199"/>
    </row>
  </sheetData>
  <pageMargins left="0.7" right="0.7" top="0.75" bottom="0.75" header="0.3" footer="0.3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1761-ADAE-4503-801C-E7555935F5B7}">
  <sheetPr>
    <tabColor rgb="FF00B0F0"/>
  </sheetPr>
  <dimension ref="A1:Z41"/>
  <sheetViews>
    <sheetView zoomScale="130" zoomScaleNormal="130" workbookViewId="0">
      <selection activeCell="D1" sqref="D1:O1048576"/>
    </sheetView>
  </sheetViews>
  <sheetFormatPr defaultRowHeight="15" x14ac:dyDescent="0.25"/>
  <cols>
    <col min="4" max="15" width="0" hidden="1" customWidth="1"/>
    <col min="19" max="19" width="14.28515625" customWidth="1"/>
  </cols>
  <sheetData>
    <row r="1" spans="1:26" ht="21" x14ac:dyDescent="0.25">
      <c r="A1" s="218" t="s">
        <v>164</v>
      </c>
      <c r="B1" s="217"/>
      <c r="C1" s="217"/>
      <c r="D1" s="217"/>
      <c r="E1" s="217"/>
      <c r="F1" s="217"/>
      <c r="G1" s="217"/>
      <c r="H1" s="217"/>
      <c r="I1" s="217"/>
      <c r="J1" s="10"/>
      <c r="K1" s="10"/>
      <c r="L1" s="10"/>
      <c r="M1" s="10"/>
      <c r="N1" s="10"/>
      <c r="O1" s="193"/>
      <c r="P1" s="193"/>
      <c r="Q1" s="21"/>
      <c r="R1" s="21"/>
      <c r="S1" s="22"/>
      <c r="T1" s="22"/>
      <c r="U1" s="22"/>
      <c r="V1" s="22"/>
      <c r="W1" s="75"/>
      <c r="X1" s="22"/>
      <c r="Y1" s="22"/>
      <c r="Z1" s="22"/>
    </row>
    <row r="2" spans="1:26" ht="60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195" t="s">
        <v>145</v>
      </c>
      <c r="O2" s="196" t="s">
        <v>144</v>
      </c>
      <c r="P2" s="196" t="s">
        <v>146</v>
      </c>
      <c r="Q2" s="194"/>
      <c r="R2" s="38" t="s">
        <v>29</v>
      </c>
      <c r="S2" s="37" t="s">
        <v>34</v>
      </c>
      <c r="T2" s="37" t="s">
        <v>27</v>
      </c>
      <c r="U2" s="38" t="s">
        <v>39</v>
      </c>
      <c r="V2" s="38" t="s">
        <v>30</v>
      </c>
      <c r="W2" s="74" t="s">
        <v>36</v>
      </c>
      <c r="X2" s="38" t="s">
        <v>31</v>
      </c>
      <c r="Y2" s="37" t="s">
        <v>32</v>
      </c>
      <c r="Z2" s="41" t="s">
        <v>33</v>
      </c>
    </row>
    <row r="3" spans="1:26" x14ac:dyDescent="0.25">
      <c r="A3" s="65">
        <v>3</v>
      </c>
      <c r="B3" s="65">
        <v>55</v>
      </c>
      <c r="C3" s="65">
        <v>59</v>
      </c>
      <c r="D3" s="66" t="s">
        <v>0</v>
      </c>
      <c r="E3" s="66">
        <v>6.5000000000000002E-2</v>
      </c>
      <c r="F3" s="7">
        <f>(A3+B3)*C3</f>
        <v>3422</v>
      </c>
      <c r="G3" s="7">
        <f>(A3+B3)/E3</f>
        <v>892.30769230769226</v>
      </c>
      <c r="H3" s="7">
        <f t="shared" ref="H3" si="0">C3/10</f>
        <v>5.9</v>
      </c>
      <c r="I3" s="66">
        <v>4</v>
      </c>
      <c r="J3" s="67">
        <f t="shared" ref="J3" si="1">H3*G3/60</f>
        <v>87.743589743589752</v>
      </c>
      <c r="K3" s="67">
        <f>J3+I3</f>
        <v>91.743589743589752</v>
      </c>
      <c r="L3" s="68">
        <v>225</v>
      </c>
      <c r="M3" s="69">
        <f>L3/60</f>
        <v>3.75</v>
      </c>
      <c r="N3" s="70">
        <f>ROUNDUP(K3*M3,1)</f>
        <v>344.1</v>
      </c>
      <c r="O3" s="197">
        <f>G37</f>
        <v>390.41406250000006</v>
      </c>
      <c r="P3" s="216">
        <f>IF(N3&gt;O3, N3, O3)</f>
        <v>390.41406250000006</v>
      </c>
      <c r="Q3" s="23" t="s">
        <v>166</v>
      </c>
      <c r="R3" s="32">
        <v>20</v>
      </c>
      <c r="S3" s="33">
        <f>P3*R3</f>
        <v>7808.2812500000009</v>
      </c>
      <c r="T3" s="30">
        <v>125</v>
      </c>
      <c r="U3" s="79">
        <v>0.02</v>
      </c>
      <c r="V3" s="33">
        <f>S3+T3</f>
        <v>7933.2812500000009</v>
      </c>
      <c r="W3" s="77">
        <f>ROUNDUP(V3*U3,0)</f>
        <v>159</v>
      </c>
      <c r="X3" s="33">
        <f>V3+W3</f>
        <v>8092.2812500000009</v>
      </c>
      <c r="Y3" s="57">
        <v>225</v>
      </c>
      <c r="Z3" s="78">
        <f>ROUNDDOWN(Y3/N3,0)</f>
        <v>0</v>
      </c>
    </row>
    <row r="4" spans="1:26" ht="18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Q4" s="24"/>
      <c r="R4" s="21"/>
      <c r="S4" s="27"/>
      <c r="T4" s="28"/>
      <c r="U4" s="72"/>
      <c r="V4" s="27"/>
      <c r="W4" s="76"/>
      <c r="X4" s="27"/>
      <c r="Y4" s="25"/>
      <c r="Z4" s="26"/>
    </row>
    <row r="5" spans="1:26" ht="21" x14ac:dyDescent="0.25">
      <c r="A5" s="218" t="s">
        <v>165</v>
      </c>
      <c r="B5" s="217"/>
      <c r="C5" s="219"/>
      <c r="D5" s="217"/>
      <c r="E5" s="217"/>
      <c r="F5" s="217"/>
      <c r="G5" s="217"/>
      <c r="H5" s="217"/>
      <c r="I5" s="217"/>
      <c r="J5" s="10"/>
      <c r="K5" s="10"/>
      <c r="L5" s="10"/>
      <c r="M5" s="10"/>
      <c r="N5" s="10"/>
      <c r="O5" s="193"/>
      <c r="P5" s="193"/>
      <c r="Q5" s="21"/>
      <c r="R5" s="21"/>
      <c r="S5" s="22"/>
      <c r="T5" s="22"/>
      <c r="U5" s="22"/>
      <c r="V5" s="22"/>
      <c r="W5" s="75"/>
      <c r="X5" s="22"/>
      <c r="Y5" s="22"/>
      <c r="Z5" s="22"/>
    </row>
    <row r="6" spans="1:26" ht="60" x14ac:dyDescent="0.25">
      <c r="A6" s="2" t="s">
        <v>23</v>
      </c>
      <c r="B6" s="2" t="s">
        <v>8</v>
      </c>
      <c r="C6" s="2" t="s">
        <v>7</v>
      </c>
      <c r="D6" s="2" t="s">
        <v>2</v>
      </c>
      <c r="E6" s="2" t="s">
        <v>1</v>
      </c>
      <c r="F6" s="2" t="s">
        <v>6</v>
      </c>
      <c r="G6" s="2" t="s">
        <v>3</v>
      </c>
      <c r="H6" s="2" t="s">
        <v>21</v>
      </c>
      <c r="I6" s="2" t="s">
        <v>9</v>
      </c>
      <c r="J6" s="2" t="s">
        <v>4</v>
      </c>
      <c r="K6" s="2" t="s">
        <v>10</v>
      </c>
      <c r="L6" s="2" t="s">
        <v>24</v>
      </c>
      <c r="M6" s="2" t="s">
        <v>25</v>
      </c>
      <c r="N6" s="195" t="s">
        <v>145</v>
      </c>
      <c r="O6" s="196" t="s">
        <v>144</v>
      </c>
      <c r="P6" s="196" t="s">
        <v>146</v>
      </c>
      <c r="Q6" s="194"/>
      <c r="R6" s="38" t="s">
        <v>29</v>
      </c>
      <c r="S6" s="37" t="s">
        <v>34</v>
      </c>
      <c r="T6" s="37" t="s">
        <v>27</v>
      </c>
      <c r="U6" s="38" t="s">
        <v>39</v>
      </c>
      <c r="V6" s="38" t="s">
        <v>30</v>
      </c>
      <c r="W6" s="74" t="s">
        <v>36</v>
      </c>
      <c r="X6" s="38" t="s">
        <v>31</v>
      </c>
      <c r="Y6" s="37" t="s">
        <v>32</v>
      </c>
      <c r="Z6" s="41" t="s">
        <v>33</v>
      </c>
    </row>
    <row r="7" spans="1:26" x14ac:dyDescent="0.25">
      <c r="A7" s="65">
        <v>5</v>
      </c>
      <c r="B7" s="65">
        <v>10</v>
      </c>
      <c r="C7" s="65">
        <v>10</v>
      </c>
      <c r="D7" s="66" t="s">
        <v>0</v>
      </c>
      <c r="E7" s="66">
        <v>4.4999999999999998E-2</v>
      </c>
      <c r="F7" s="7">
        <f>(A7+B7)*C7</f>
        <v>150</v>
      </c>
      <c r="G7" s="7">
        <f>(A7+B7)/E7</f>
        <v>333.33333333333337</v>
      </c>
      <c r="H7" s="7">
        <f t="shared" ref="H7" si="2">C7/10</f>
        <v>1</v>
      </c>
      <c r="I7" s="66">
        <v>4</v>
      </c>
      <c r="J7" s="67">
        <f t="shared" ref="J7" si="3">H7*G7/60</f>
        <v>5.5555555555555562</v>
      </c>
      <c r="K7" s="67">
        <f>J7+I7</f>
        <v>9.5555555555555571</v>
      </c>
      <c r="L7" s="68">
        <v>225</v>
      </c>
      <c r="M7" s="69">
        <f>L7/60</f>
        <v>3.75</v>
      </c>
      <c r="N7" s="70">
        <f>ROUNDUP(K7*M7,1)</f>
        <v>35.9</v>
      </c>
      <c r="O7" s="197">
        <f>G38</f>
        <v>22.916666666666664</v>
      </c>
      <c r="P7" s="216">
        <f>IF(N7&gt;O7, N7, O7)</f>
        <v>35.9</v>
      </c>
      <c r="Q7" s="23" t="s">
        <v>167</v>
      </c>
      <c r="R7" s="32">
        <v>1</v>
      </c>
      <c r="S7" s="33">
        <f>P7*R7</f>
        <v>35.9</v>
      </c>
      <c r="T7" s="30">
        <v>125</v>
      </c>
      <c r="U7" s="79">
        <v>0.02</v>
      </c>
      <c r="V7" s="33">
        <f>S7+T7</f>
        <v>160.9</v>
      </c>
      <c r="W7" s="77">
        <f>ROUNDUP(V7*U7,0)</f>
        <v>4</v>
      </c>
      <c r="X7" s="33">
        <f>V7+W7</f>
        <v>164.9</v>
      </c>
      <c r="Y7" s="57">
        <v>225</v>
      </c>
      <c r="Z7" s="78">
        <f>ROUNDDOWN(Y7/N7,0)</f>
        <v>6</v>
      </c>
    </row>
    <row r="10" spans="1:26" ht="21" x14ac:dyDescent="0.25">
      <c r="A10" s="220" t="s">
        <v>168</v>
      </c>
      <c r="B10" s="217"/>
      <c r="C10" s="217"/>
      <c r="D10" s="217"/>
      <c r="E10" s="217"/>
      <c r="F10" s="217"/>
      <c r="G10" s="217"/>
      <c r="H10" s="217"/>
      <c r="I10" s="217"/>
      <c r="J10" s="10"/>
      <c r="K10" s="10"/>
      <c r="L10" s="10"/>
      <c r="M10" s="10"/>
      <c r="N10" s="10"/>
      <c r="O10" s="193"/>
      <c r="P10" s="193"/>
      <c r="Q10" s="21"/>
      <c r="R10" s="21"/>
      <c r="S10" s="22"/>
      <c r="T10" s="22"/>
      <c r="U10" s="22"/>
      <c r="V10" s="22"/>
      <c r="W10" s="75"/>
      <c r="X10" s="22"/>
      <c r="Y10" s="22"/>
      <c r="Z10" s="22"/>
    </row>
    <row r="11" spans="1:26" ht="60" x14ac:dyDescent="0.25">
      <c r="A11" s="2" t="s">
        <v>23</v>
      </c>
      <c r="B11" s="2" t="s">
        <v>8</v>
      </c>
      <c r="C11" s="2" t="s">
        <v>7</v>
      </c>
      <c r="D11" s="2" t="s">
        <v>2</v>
      </c>
      <c r="E11" s="2" t="s">
        <v>1</v>
      </c>
      <c r="F11" s="2" t="s">
        <v>6</v>
      </c>
      <c r="G11" s="2" t="s">
        <v>3</v>
      </c>
      <c r="H11" s="2" t="s">
        <v>21</v>
      </c>
      <c r="I11" s="2" t="s">
        <v>9</v>
      </c>
      <c r="J11" s="2" t="s">
        <v>4</v>
      </c>
      <c r="K11" s="2" t="s">
        <v>10</v>
      </c>
      <c r="L11" s="2" t="s">
        <v>24</v>
      </c>
      <c r="M11" s="2" t="s">
        <v>25</v>
      </c>
      <c r="N11" s="195" t="s">
        <v>145</v>
      </c>
      <c r="O11" s="196" t="s">
        <v>144</v>
      </c>
      <c r="P11" s="196" t="s">
        <v>146</v>
      </c>
      <c r="Q11" s="194"/>
      <c r="R11" s="38" t="s">
        <v>29</v>
      </c>
      <c r="S11" s="37" t="s">
        <v>34</v>
      </c>
      <c r="T11" s="37" t="s">
        <v>27</v>
      </c>
      <c r="U11" s="38" t="s">
        <v>39</v>
      </c>
      <c r="V11" s="38" t="s">
        <v>30</v>
      </c>
      <c r="W11" s="74" t="s">
        <v>36</v>
      </c>
      <c r="X11" s="38" t="s">
        <v>31</v>
      </c>
      <c r="Y11" s="37" t="s">
        <v>32</v>
      </c>
      <c r="Z11" s="41" t="s">
        <v>33</v>
      </c>
    </row>
    <row r="12" spans="1:26" x14ac:dyDescent="0.25">
      <c r="A12" s="65">
        <v>8</v>
      </c>
      <c r="B12" s="65">
        <v>26</v>
      </c>
      <c r="C12" s="65">
        <v>90</v>
      </c>
      <c r="D12" s="66" t="s">
        <v>0</v>
      </c>
      <c r="E12" s="66">
        <v>0.05</v>
      </c>
      <c r="F12" s="7">
        <f>(A12+B12)*C12</f>
        <v>3060</v>
      </c>
      <c r="G12" s="7">
        <f>(A12+B12)/E12</f>
        <v>680</v>
      </c>
      <c r="H12" s="7">
        <f t="shared" ref="H12" si="4">C12/10</f>
        <v>9</v>
      </c>
      <c r="I12" s="66">
        <v>4</v>
      </c>
      <c r="J12" s="67">
        <f t="shared" ref="J12" si="5">H12*G12/60</f>
        <v>102</v>
      </c>
      <c r="K12" s="67">
        <f>J12+I12</f>
        <v>106</v>
      </c>
      <c r="L12" s="68">
        <v>225</v>
      </c>
      <c r="M12" s="69">
        <f>L12/60</f>
        <v>3.75</v>
      </c>
      <c r="N12" s="70">
        <f>ROUNDUP(K12*M12,1)</f>
        <v>397.5</v>
      </c>
      <c r="O12" s="197">
        <f>W37</f>
        <v>594.80000000000007</v>
      </c>
      <c r="P12" s="216">
        <f>IF(N12&gt;O12, N12, O12)</f>
        <v>594.80000000000007</v>
      </c>
      <c r="Q12" s="23" t="s">
        <v>166</v>
      </c>
      <c r="R12" s="32">
        <v>2</v>
      </c>
      <c r="S12" s="33">
        <f>P12*R12</f>
        <v>1189.6000000000001</v>
      </c>
      <c r="T12" s="30">
        <v>0</v>
      </c>
      <c r="U12" s="79">
        <v>0.02</v>
      </c>
      <c r="V12" s="33">
        <f>S12+T12</f>
        <v>1189.6000000000001</v>
      </c>
      <c r="W12" s="77">
        <f>ROUNDUP(V12*U12,0)</f>
        <v>24</v>
      </c>
      <c r="X12" s="33">
        <f>V12+W12</f>
        <v>1213.6000000000001</v>
      </c>
      <c r="Y12" s="57">
        <v>225</v>
      </c>
      <c r="Z12" s="78">
        <f>ROUNDDOWN(Y12/N12,0)</f>
        <v>0</v>
      </c>
    </row>
    <row r="13" spans="1:26" ht="18.75" x14ac:dyDescent="0.25">
      <c r="A13" s="1"/>
      <c r="B13" s="1"/>
      <c r="C13" s="1">
        <v>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24"/>
      <c r="R13" s="21"/>
      <c r="S13" s="27"/>
      <c r="T13" s="28"/>
      <c r="U13" s="72"/>
      <c r="V13" s="27"/>
      <c r="W13" s="76"/>
      <c r="X13" s="27"/>
      <c r="Y13" s="25"/>
      <c r="Z13" s="26"/>
    </row>
    <row r="14" spans="1:26" ht="21" x14ac:dyDescent="0.25">
      <c r="A14" s="220" t="s">
        <v>169</v>
      </c>
      <c r="B14" s="217"/>
      <c r="C14" s="217"/>
      <c r="D14" s="217"/>
      <c r="E14" s="217"/>
      <c r="F14" s="217"/>
      <c r="G14" s="217"/>
      <c r="H14" s="217"/>
      <c r="I14" s="217"/>
      <c r="J14" s="10"/>
      <c r="K14" s="10"/>
      <c r="L14" s="10"/>
      <c r="M14" s="10"/>
      <c r="N14" s="10"/>
      <c r="O14" s="193"/>
      <c r="P14" s="193"/>
      <c r="Q14" s="21"/>
      <c r="R14" s="21"/>
      <c r="S14" s="22"/>
      <c r="T14" s="22"/>
      <c r="U14" s="22"/>
      <c r="V14" s="22"/>
      <c r="W14" s="75"/>
      <c r="X14" s="22"/>
      <c r="Y14" s="22"/>
      <c r="Z14" s="22"/>
    </row>
    <row r="15" spans="1:26" ht="60" x14ac:dyDescent="0.25">
      <c r="A15" s="2" t="s">
        <v>23</v>
      </c>
      <c r="B15" s="2" t="s">
        <v>8</v>
      </c>
      <c r="C15" s="2" t="s">
        <v>7</v>
      </c>
      <c r="D15" s="2" t="s">
        <v>2</v>
      </c>
      <c r="E15" s="2" t="s">
        <v>1</v>
      </c>
      <c r="F15" s="2" t="s">
        <v>6</v>
      </c>
      <c r="G15" s="2" t="s">
        <v>3</v>
      </c>
      <c r="H15" s="2" t="s">
        <v>21</v>
      </c>
      <c r="I15" s="2" t="s">
        <v>9</v>
      </c>
      <c r="J15" s="2" t="s">
        <v>4</v>
      </c>
      <c r="K15" s="2" t="s">
        <v>10</v>
      </c>
      <c r="L15" s="2" t="s">
        <v>24</v>
      </c>
      <c r="M15" s="2" t="s">
        <v>25</v>
      </c>
      <c r="N15" s="195" t="s">
        <v>145</v>
      </c>
      <c r="O15" s="196" t="s">
        <v>144</v>
      </c>
      <c r="P15" s="196" t="s">
        <v>146</v>
      </c>
      <c r="Q15" s="194"/>
      <c r="R15" s="38" t="s">
        <v>29</v>
      </c>
      <c r="S15" s="37" t="s">
        <v>34</v>
      </c>
      <c r="T15" s="37" t="s">
        <v>27</v>
      </c>
      <c r="U15" s="38" t="s">
        <v>39</v>
      </c>
      <c r="V15" s="38" t="s">
        <v>30</v>
      </c>
      <c r="W15" s="74" t="s">
        <v>36</v>
      </c>
      <c r="X15" s="38" t="s">
        <v>31</v>
      </c>
      <c r="Y15" s="37" t="s">
        <v>32</v>
      </c>
      <c r="Z15" s="41" t="s">
        <v>33</v>
      </c>
    </row>
    <row r="16" spans="1:26" x14ac:dyDescent="0.25">
      <c r="A16" s="65">
        <v>5</v>
      </c>
      <c r="B16" s="65">
        <v>18</v>
      </c>
      <c r="C16" s="65">
        <v>90</v>
      </c>
      <c r="D16" s="66" t="s">
        <v>0</v>
      </c>
      <c r="E16" s="66">
        <v>0.04</v>
      </c>
      <c r="F16" s="7">
        <f>(A16+B16)*C16</f>
        <v>2070</v>
      </c>
      <c r="G16" s="7">
        <f>(A16+B16)/E16</f>
        <v>575</v>
      </c>
      <c r="H16" s="7">
        <f t="shared" ref="H16" si="6">C16/10</f>
        <v>9</v>
      </c>
      <c r="I16" s="66">
        <v>4</v>
      </c>
      <c r="J16" s="67">
        <f t="shared" ref="J16" si="7">H16*G16/60</f>
        <v>86.25</v>
      </c>
      <c r="K16" s="67">
        <f>J16+I16</f>
        <v>90.25</v>
      </c>
      <c r="L16" s="68">
        <v>225</v>
      </c>
      <c r="M16" s="69">
        <f>L16/60</f>
        <v>3.75</v>
      </c>
      <c r="N16" s="70">
        <f>ROUNDUP(K16*M16,1)</f>
        <v>338.5</v>
      </c>
      <c r="O16" s="197">
        <f>W38</f>
        <v>286</v>
      </c>
      <c r="P16" s="216">
        <f>IF(N16&gt;O16, N16, O16)</f>
        <v>338.5</v>
      </c>
      <c r="Q16" s="23" t="s">
        <v>167</v>
      </c>
      <c r="R16" s="32">
        <v>2</v>
      </c>
      <c r="S16" s="33">
        <f>P16*R16</f>
        <v>677</v>
      </c>
      <c r="T16" s="30">
        <v>125</v>
      </c>
      <c r="U16" s="79">
        <v>0.02</v>
      </c>
      <c r="V16" s="33">
        <f>S16+T16</f>
        <v>802</v>
      </c>
      <c r="W16" s="77">
        <f>ROUNDUP(V16*U16,0)</f>
        <v>17</v>
      </c>
      <c r="X16" s="33">
        <f>V16+W16</f>
        <v>819</v>
      </c>
      <c r="Y16" s="57">
        <v>225</v>
      </c>
      <c r="Z16" s="78">
        <f>ROUNDDOWN(Y16/N16,0)</f>
        <v>0</v>
      </c>
    </row>
    <row r="24" spans="1:25" ht="21" x14ac:dyDescent="0.25">
      <c r="A24" s="15" t="s">
        <v>12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0"/>
      <c r="Q24" s="60"/>
      <c r="R24" s="63"/>
      <c r="S24" s="61"/>
      <c r="T24" s="209"/>
      <c r="U24" s="63"/>
      <c r="V24" s="210"/>
      <c r="W24" s="63"/>
      <c r="X24" s="60"/>
      <c r="Y24" s="211"/>
    </row>
    <row r="25" spans="1:25" ht="45" x14ac:dyDescent="0.25">
      <c r="A25" s="4" t="s">
        <v>13</v>
      </c>
      <c r="B25" s="4" t="s">
        <v>7</v>
      </c>
      <c r="C25" s="2" t="s">
        <v>2</v>
      </c>
      <c r="D25" s="4" t="s">
        <v>1</v>
      </c>
      <c r="E25" s="5" t="s">
        <v>20</v>
      </c>
      <c r="F25" s="4" t="s">
        <v>14</v>
      </c>
      <c r="G25" s="4" t="s">
        <v>15</v>
      </c>
      <c r="H25" s="4" t="s">
        <v>17</v>
      </c>
      <c r="I25" s="4" t="s">
        <v>16</v>
      </c>
      <c r="J25" s="4" t="s">
        <v>18</v>
      </c>
      <c r="K25" s="2" t="s">
        <v>24</v>
      </c>
      <c r="L25" s="2" t="s">
        <v>25</v>
      </c>
      <c r="M25" s="6" t="s">
        <v>19</v>
      </c>
      <c r="N25" s="6"/>
      <c r="O25" s="6"/>
      <c r="P25" s="37"/>
      <c r="Q25" s="38" t="s">
        <v>29</v>
      </c>
      <c r="R25" s="44" t="s">
        <v>34</v>
      </c>
      <c r="S25" s="42" t="s">
        <v>27</v>
      </c>
      <c r="T25" s="73" t="s">
        <v>39</v>
      </c>
      <c r="U25" s="44" t="s">
        <v>30</v>
      </c>
      <c r="V25" s="45" t="s">
        <v>36</v>
      </c>
      <c r="W25" s="44" t="s">
        <v>31</v>
      </c>
      <c r="X25" s="37" t="s">
        <v>32</v>
      </c>
      <c r="Y25" s="41" t="s">
        <v>33</v>
      </c>
    </row>
    <row r="26" spans="1:25" x14ac:dyDescent="0.25">
      <c r="A26" s="14">
        <v>2</v>
      </c>
      <c r="B26" s="14">
        <v>70</v>
      </c>
      <c r="C26" s="66" t="s">
        <v>0</v>
      </c>
      <c r="D26" s="16">
        <v>6.5000000000000002E-2</v>
      </c>
      <c r="E26" s="16">
        <f>A26*3.14</f>
        <v>6.28</v>
      </c>
      <c r="F26" s="17">
        <f>E26/D26</f>
        <v>96.615384615384613</v>
      </c>
      <c r="G26" s="16">
        <f>B26/10</f>
        <v>7</v>
      </c>
      <c r="H26" s="16">
        <v>3.5</v>
      </c>
      <c r="I26" s="19">
        <f>G26*F26/60</f>
        <v>11.271794871794871</v>
      </c>
      <c r="J26" s="20">
        <f>I26+H26</f>
        <v>14.771794871794871</v>
      </c>
      <c r="K26" s="68">
        <v>225</v>
      </c>
      <c r="L26" s="69">
        <f>K26/60</f>
        <v>3.75</v>
      </c>
      <c r="M26" s="18">
        <f>ROUNDUP(J26*L26,1)</f>
        <v>55.4</v>
      </c>
      <c r="N26" s="212"/>
      <c r="O26" s="212"/>
      <c r="P26" s="56" t="s">
        <v>143</v>
      </c>
      <c r="Q26" s="32">
        <v>6</v>
      </c>
      <c r="R26" s="33">
        <f t="shared" ref="R26" si="8">M26+Q26</f>
        <v>61.4</v>
      </c>
      <c r="S26" s="30">
        <v>0</v>
      </c>
      <c r="T26" s="79">
        <v>0.02</v>
      </c>
      <c r="U26" s="33">
        <f>R26+S26</f>
        <v>61.4</v>
      </c>
      <c r="V26" s="77">
        <f>ROUNDUP(U26*T26,0)</f>
        <v>2</v>
      </c>
      <c r="W26" s="33">
        <f t="shared" ref="W26" si="9">U26+V26</f>
        <v>63.4</v>
      </c>
      <c r="X26" s="57">
        <v>225</v>
      </c>
      <c r="Y26" s="78">
        <f>ROUNDDOWN(X26/M26,0)</f>
        <v>4</v>
      </c>
    </row>
    <row r="27" spans="1:25" x14ac:dyDescent="0.25">
      <c r="A27" s="171"/>
      <c r="B27" s="198"/>
      <c r="C27" s="198"/>
      <c r="D27" s="198"/>
      <c r="E27" s="198"/>
      <c r="F27" s="198"/>
      <c r="G27" s="173"/>
    </row>
    <row r="28" spans="1:25" x14ac:dyDescent="0.25">
      <c r="A28" s="174"/>
      <c r="G28" s="176"/>
      <c r="Q28" s="171"/>
      <c r="R28" s="198"/>
      <c r="S28" s="198"/>
      <c r="T28" s="198"/>
      <c r="U28" s="198"/>
      <c r="V28" s="198"/>
      <c r="W28" s="173"/>
      <c r="Y28" t="s">
        <v>184</v>
      </c>
    </row>
    <row r="29" spans="1:25" x14ac:dyDescent="0.25">
      <c r="A29" s="174"/>
      <c r="G29" s="176"/>
      <c r="J29" s="171"/>
      <c r="K29" s="198"/>
      <c r="L29" s="215" t="s">
        <v>163</v>
      </c>
      <c r="M29" s="198"/>
      <c r="N29" s="198"/>
      <c r="O29" s="173"/>
      <c r="Q29" s="174"/>
      <c r="W29" s="176"/>
      <c r="Y29">
        <v>10000</v>
      </c>
    </row>
    <row r="30" spans="1:25" x14ac:dyDescent="0.25">
      <c r="A30" s="174" t="s">
        <v>92</v>
      </c>
      <c r="B30">
        <f>12^3</f>
        <v>1728</v>
      </c>
      <c r="C30" t="s">
        <v>93</v>
      </c>
      <c r="G30" s="176"/>
      <c r="J30" s="174"/>
      <c r="M30" t="s">
        <v>94</v>
      </c>
      <c r="N30">
        <v>62.427959999999999</v>
      </c>
      <c r="O30" s="176"/>
      <c r="Q30" s="174" t="s">
        <v>92</v>
      </c>
      <c r="R30">
        <f>12^3</f>
        <v>1728</v>
      </c>
      <c r="S30" t="s">
        <v>93</v>
      </c>
      <c r="W30" s="176"/>
      <c r="Y30">
        <v>6000</v>
      </c>
    </row>
    <row r="31" spans="1:25" x14ac:dyDescent="0.25">
      <c r="A31" s="174"/>
      <c r="C31" t="s">
        <v>95</v>
      </c>
      <c r="E31" s="161">
        <v>495</v>
      </c>
      <c r="G31" s="176"/>
      <c r="J31" s="174" t="s">
        <v>96</v>
      </c>
      <c r="K31" t="s">
        <v>97</v>
      </c>
      <c r="L31" t="s">
        <v>98</v>
      </c>
      <c r="M31" t="s">
        <v>99</v>
      </c>
      <c r="O31" s="176"/>
      <c r="Q31" s="174"/>
      <c r="S31" t="s">
        <v>95</v>
      </c>
      <c r="U31" s="161">
        <v>305</v>
      </c>
      <c r="W31" s="176"/>
      <c r="Y31">
        <v>4000</v>
      </c>
    </row>
    <row r="32" spans="1:25" x14ac:dyDescent="0.25">
      <c r="A32" s="174"/>
      <c r="C32" t="s">
        <v>161</v>
      </c>
      <c r="E32" s="162">
        <v>0.14000000000000001</v>
      </c>
      <c r="G32" s="176"/>
      <c r="J32" s="174" t="s">
        <v>101</v>
      </c>
      <c r="K32">
        <v>7075</v>
      </c>
      <c r="L32">
        <v>2.81</v>
      </c>
      <c r="M32">
        <f>L32*$N$30</f>
        <v>175.42256760000001</v>
      </c>
      <c r="O32" s="176"/>
      <c r="Q32" s="174"/>
      <c r="S32" t="s">
        <v>161</v>
      </c>
      <c r="U32" s="162">
        <v>0.18</v>
      </c>
      <c r="W32" s="176"/>
    </row>
    <row r="33" spans="1:23" x14ac:dyDescent="0.25">
      <c r="A33" s="174"/>
      <c r="C33" t="s">
        <v>162</v>
      </c>
      <c r="E33" s="258">
        <v>0.16</v>
      </c>
      <c r="G33" s="176"/>
      <c r="J33" s="174" t="s">
        <v>101</v>
      </c>
      <c r="K33">
        <v>2219</v>
      </c>
      <c r="L33">
        <v>2.84</v>
      </c>
      <c r="M33">
        <f>L33*$N$30</f>
        <v>177.29540639999999</v>
      </c>
      <c r="O33" s="176"/>
      <c r="Q33" s="174"/>
      <c r="S33" t="s">
        <v>162</v>
      </c>
      <c r="U33" s="259">
        <v>0.2</v>
      </c>
      <c r="W33" s="176"/>
    </row>
    <row r="34" spans="1:23" x14ac:dyDescent="0.25">
      <c r="A34" s="174"/>
      <c r="G34" s="176"/>
      <c r="J34" s="174" t="s">
        <v>101</v>
      </c>
      <c r="K34">
        <v>6061</v>
      </c>
      <c r="L34">
        <v>2.7</v>
      </c>
      <c r="M34">
        <f>L34*$N$30</f>
        <v>168.55549200000002</v>
      </c>
      <c r="O34" s="176"/>
      <c r="Q34" s="174"/>
      <c r="W34" s="176"/>
    </row>
    <row r="35" spans="1:23" x14ac:dyDescent="0.25">
      <c r="A35" s="174"/>
      <c r="G35" s="176"/>
      <c r="J35" s="174" t="s">
        <v>101</v>
      </c>
      <c r="K35">
        <v>7050</v>
      </c>
      <c r="L35">
        <v>2.83</v>
      </c>
      <c r="M35">
        <f>L35*$N$30</f>
        <v>176.6711268</v>
      </c>
      <c r="O35" s="176"/>
      <c r="Q35" s="174"/>
      <c r="W35" s="176"/>
    </row>
    <row r="36" spans="1:23" x14ac:dyDescent="0.25">
      <c r="A36" s="213" t="s">
        <v>102</v>
      </c>
      <c r="B36" s="163" t="s">
        <v>103</v>
      </c>
      <c r="C36" s="163" t="s">
        <v>104</v>
      </c>
      <c r="D36" s="163" t="s">
        <v>105</v>
      </c>
      <c r="E36" s="163" t="s">
        <v>106</v>
      </c>
      <c r="F36" s="163" t="s">
        <v>107</v>
      </c>
      <c r="G36" s="214" t="s">
        <v>108</v>
      </c>
      <c r="H36" s="163"/>
      <c r="I36" s="163"/>
      <c r="J36" s="213" t="s">
        <v>109</v>
      </c>
      <c r="K36" s="163"/>
      <c r="L36" s="163"/>
      <c r="M36" s="163">
        <v>494.21</v>
      </c>
      <c r="N36" s="163" t="s">
        <v>110</v>
      </c>
      <c r="O36" s="214"/>
      <c r="P36" s="163"/>
      <c r="Q36" s="213" t="s">
        <v>102</v>
      </c>
      <c r="R36" s="163" t="s">
        <v>103</v>
      </c>
      <c r="S36" s="163" t="s">
        <v>104</v>
      </c>
      <c r="T36" s="163" t="s">
        <v>105</v>
      </c>
      <c r="U36" s="163" t="s">
        <v>106</v>
      </c>
      <c r="V36" s="163" t="s">
        <v>107</v>
      </c>
      <c r="W36" s="214" t="s">
        <v>108</v>
      </c>
    </row>
    <row r="37" spans="1:23" x14ac:dyDescent="0.25">
      <c r="A37" s="222">
        <f>A3</f>
        <v>3</v>
      </c>
      <c r="B37" s="164">
        <f>B3</f>
        <v>55</v>
      </c>
      <c r="C37" s="164">
        <f>C3</f>
        <v>59</v>
      </c>
      <c r="D37">
        <f>A37*B37*C37</f>
        <v>9735</v>
      </c>
      <c r="E37">
        <f>D37/$B$30</f>
        <v>5.6336805555555554</v>
      </c>
      <c r="F37">
        <f>E37*$E$31</f>
        <v>2788.671875</v>
      </c>
      <c r="G37" s="223">
        <f>F37*$E$32</f>
        <v>390.41406250000006</v>
      </c>
      <c r="J37" s="174" t="s">
        <v>111</v>
      </c>
      <c r="M37">
        <v>283.39</v>
      </c>
      <c r="N37" t="s">
        <v>112</v>
      </c>
      <c r="O37" s="176"/>
      <c r="Q37" s="222">
        <f>A12</f>
        <v>8</v>
      </c>
      <c r="R37" s="164">
        <f>B12</f>
        <v>26</v>
      </c>
      <c r="S37" s="164">
        <f>C12</f>
        <v>90</v>
      </c>
      <c r="T37">
        <f>Q37*R37*S37</f>
        <v>18720</v>
      </c>
      <c r="U37">
        <f>T37/$B$30</f>
        <v>10.833333333333334</v>
      </c>
      <c r="V37">
        <f>U37*$U$31</f>
        <v>3304.166666666667</v>
      </c>
      <c r="W37" s="223">
        <f>ROUNDUP(V37*$U$32, 1)</f>
        <v>594.80000000000007</v>
      </c>
    </row>
    <row r="38" spans="1:23" x14ac:dyDescent="0.25">
      <c r="A38" s="224">
        <f>+A7</f>
        <v>5</v>
      </c>
      <c r="B38" s="165">
        <f>B7</f>
        <v>10</v>
      </c>
      <c r="C38" s="165">
        <f>C7</f>
        <v>10</v>
      </c>
      <c r="D38">
        <f t="shared" ref="D38:D41" si="10">A38*B38*C38</f>
        <v>500</v>
      </c>
      <c r="E38">
        <f>D38/$B$30</f>
        <v>0.28935185185185186</v>
      </c>
      <c r="F38">
        <f>E38*$E$31</f>
        <v>143.22916666666666</v>
      </c>
      <c r="G38" s="225">
        <f>F38*$E$33</f>
        <v>22.916666666666664</v>
      </c>
      <c r="J38" s="174" t="s">
        <v>113</v>
      </c>
      <c r="M38">
        <v>490</v>
      </c>
      <c r="O38" s="176"/>
      <c r="Q38" s="224">
        <f>A16</f>
        <v>5</v>
      </c>
      <c r="R38" s="165">
        <f>B16</f>
        <v>18</v>
      </c>
      <c r="S38" s="165">
        <f>C16</f>
        <v>90</v>
      </c>
      <c r="T38">
        <f t="shared" ref="T38:T41" si="11">Q38*R38*S38</f>
        <v>8100</v>
      </c>
      <c r="U38">
        <f>T38/$B$30</f>
        <v>4.6875</v>
      </c>
      <c r="V38">
        <f>U38*$U$31</f>
        <v>1429.6875</v>
      </c>
      <c r="W38" s="225">
        <f>ROUNDUP(V38*$U$33, 1)</f>
        <v>286</v>
      </c>
    </row>
    <row r="39" spans="1:23" x14ac:dyDescent="0.25">
      <c r="A39" s="226">
        <v>5.625</v>
      </c>
      <c r="B39" s="166">
        <v>5.75</v>
      </c>
      <c r="C39" s="166">
        <v>9</v>
      </c>
      <c r="D39">
        <f t="shared" si="10"/>
        <v>291.09375</v>
      </c>
      <c r="E39">
        <f>D39/$B$30</f>
        <v>0.16845703125</v>
      </c>
      <c r="F39">
        <f>E39*$E$31</f>
        <v>83.38623046875</v>
      </c>
      <c r="G39" s="227">
        <f>F39*$E$32</f>
        <v>11.674072265625002</v>
      </c>
      <c r="J39" s="174" t="s">
        <v>114</v>
      </c>
      <c r="M39">
        <v>1204.4100000000001</v>
      </c>
      <c r="O39" s="176"/>
      <c r="Q39" s="226">
        <v>5.625</v>
      </c>
      <c r="R39" s="166">
        <v>5.75</v>
      </c>
      <c r="S39" s="166">
        <v>9</v>
      </c>
      <c r="T39">
        <f t="shared" si="11"/>
        <v>291.09375</v>
      </c>
      <c r="U39">
        <f>T39/$B$30</f>
        <v>0.16845703125</v>
      </c>
      <c r="V39">
        <f>U39*$E$31</f>
        <v>83.38623046875</v>
      </c>
      <c r="W39" s="227">
        <f>V39*$E$32</f>
        <v>11.674072265625002</v>
      </c>
    </row>
    <row r="40" spans="1:23" x14ac:dyDescent="0.25">
      <c r="A40" s="228">
        <v>11.75</v>
      </c>
      <c r="B40" s="167">
        <v>5.75</v>
      </c>
      <c r="C40" s="167">
        <v>55.875</v>
      </c>
      <c r="D40">
        <f t="shared" si="10"/>
        <v>3775.0546875</v>
      </c>
      <c r="E40">
        <f>D40/$B$30</f>
        <v>2.1846381293402777</v>
      </c>
      <c r="F40">
        <f>E40*$E$31</f>
        <v>1081.3958740234375</v>
      </c>
      <c r="G40" s="229">
        <f>F40*$E$32</f>
        <v>151.39542236328126</v>
      </c>
      <c r="J40" s="174" t="s">
        <v>115</v>
      </c>
      <c r="M40">
        <v>568.5</v>
      </c>
      <c r="O40" s="176"/>
      <c r="Q40" s="228">
        <v>11.75</v>
      </c>
      <c r="R40" s="167">
        <v>5.75</v>
      </c>
      <c r="S40" s="167">
        <v>55.875</v>
      </c>
      <c r="T40">
        <f t="shared" si="11"/>
        <v>3775.0546875</v>
      </c>
      <c r="U40">
        <f>T40/$B$30</f>
        <v>2.1846381293402777</v>
      </c>
      <c r="V40">
        <f>U40*$E$31</f>
        <v>1081.3958740234375</v>
      </c>
      <c r="W40" s="229">
        <f>V40*$E$32</f>
        <v>151.39542236328126</v>
      </c>
    </row>
    <row r="41" spans="1:23" x14ac:dyDescent="0.25">
      <c r="A41" s="230">
        <v>10</v>
      </c>
      <c r="B41" s="231">
        <v>10</v>
      </c>
      <c r="C41" s="231">
        <v>10</v>
      </c>
      <c r="D41" s="178">
        <f t="shared" si="10"/>
        <v>1000</v>
      </c>
      <c r="E41" s="178">
        <f>D41/$B$30</f>
        <v>0.57870370370370372</v>
      </c>
      <c r="F41" s="178">
        <f>E41*$E$31</f>
        <v>286.45833333333331</v>
      </c>
      <c r="G41" s="179">
        <f>F41*$E$32</f>
        <v>40.104166666666664</v>
      </c>
      <c r="J41" s="177"/>
      <c r="K41" s="178"/>
      <c r="L41" s="178"/>
      <c r="M41" s="178"/>
      <c r="N41" s="178"/>
      <c r="O41" s="199"/>
      <c r="Q41" s="230">
        <v>10</v>
      </c>
      <c r="R41" s="231">
        <v>10</v>
      </c>
      <c r="S41" s="231">
        <v>10</v>
      </c>
      <c r="T41" s="178">
        <f t="shared" si="11"/>
        <v>1000</v>
      </c>
      <c r="U41" s="178">
        <f>T41/$B$30</f>
        <v>0.57870370370370372</v>
      </c>
      <c r="V41" s="178">
        <f>U41*$E$31</f>
        <v>286.45833333333331</v>
      </c>
      <c r="W41" s="179">
        <f>V41*$E$32</f>
        <v>40.104166666666664</v>
      </c>
    </row>
  </sheetData>
  <conditionalFormatting sqref="P3">
    <cfRule type="expression" dxfId="28" priority="5">
      <formula>$F$37&gt;$Y$29</formula>
    </cfRule>
  </conditionalFormatting>
  <conditionalFormatting sqref="P7">
    <cfRule type="expression" dxfId="27" priority="4">
      <formula>$F$38&gt;$Y$29</formula>
    </cfRule>
  </conditionalFormatting>
  <conditionalFormatting sqref="P12">
    <cfRule type="expression" dxfId="26" priority="2">
      <formula>$V$37&gt;$Y$29</formula>
    </cfRule>
    <cfRule type="expression" priority="3">
      <formula>$V$37&gt;$Y$29</formula>
    </cfRule>
  </conditionalFormatting>
  <conditionalFormatting sqref="P16">
    <cfRule type="expression" dxfId="25" priority="1">
      <formula>$V$38&gt;$Y$29</formula>
    </cfRule>
  </conditionalFormatting>
  <pageMargins left="0.7" right="0.7" top="0.75" bottom="0.75" header="0.3" footer="0.3"/>
  <drawing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0737-32F9-4A78-B51B-EB218EA56364}">
  <sheetPr>
    <tabColor rgb="FF92D050"/>
  </sheetPr>
  <dimension ref="A1:AD37"/>
  <sheetViews>
    <sheetView topLeftCell="C1" workbookViewId="0">
      <selection activeCell="A7" sqref="A7"/>
    </sheetView>
  </sheetViews>
  <sheetFormatPr defaultRowHeight="15" x14ac:dyDescent="0.25"/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0.25</v>
      </c>
      <c r="B3" s="65">
        <v>16</v>
      </c>
      <c r="C3" s="65">
        <v>16.25</v>
      </c>
      <c r="D3" s="66">
        <v>0.125</v>
      </c>
      <c r="E3" s="66">
        <v>0.125</v>
      </c>
      <c r="F3" s="66">
        <f>(A3+B3)*C3</f>
        <v>264.0625</v>
      </c>
      <c r="G3" s="66">
        <f>(A3+B3)/E3</f>
        <v>130</v>
      </c>
      <c r="H3" s="66">
        <f t="shared" ref="H3" si="0">C3/10</f>
        <v>1.625</v>
      </c>
      <c r="I3" s="66">
        <v>3.5</v>
      </c>
      <c r="J3" s="67">
        <f t="shared" ref="J3" si="1">H3*G3/60</f>
        <v>3.5208333333333335</v>
      </c>
      <c r="K3" s="67">
        <f>J3+I3</f>
        <v>7.0208333333333339</v>
      </c>
      <c r="L3" s="68">
        <v>250</v>
      </c>
      <c r="M3" s="69">
        <f>L3/60</f>
        <v>4.166666666666667</v>
      </c>
      <c r="N3" s="70">
        <f>ROUNDUP(K3*M3,1)</f>
        <v>29.3</v>
      </c>
      <c r="O3" s="56"/>
      <c r="P3" s="30">
        <v>0</v>
      </c>
      <c r="Q3" s="71">
        <v>0.02</v>
      </c>
      <c r="R3" s="32">
        <v>5</v>
      </c>
      <c r="S3" s="35">
        <f>N3*R3</f>
        <v>146.5</v>
      </c>
      <c r="T3" s="33">
        <f>IF(S3&gt;Y3,S3,Y3)</f>
        <v>230</v>
      </c>
      <c r="U3" s="33">
        <f>T3+P3</f>
        <v>230</v>
      </c>
      <c r="V3" s="33">
        <f>ROUNDUP(U3*Q3,0)</f>
        <v>5</v>
      </c>
      <c r="W3" s="33">
        <f>U3+V3</f>
        <v>235</v>
      </c>
      <c r="X3" s="34"/>
      <c r="Y3" s="57">
        <v>230</v>
      </c>
      <c r="Z3" s="36">
        <f>ROUNDDOWN(Y3/N3,0)</f>
        <v>7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2</v>
      </c>
      <c r="B6" s="65">
        <v>2.5</v>
      </c>
      <c r="C6" s="65">
        <v>72</v>
      </c>
      <c r="D6" s="66">
        <v>0.125</v>
      </c>
      <c r="E6" s="66">
        <v>4.4999999999999998E-2</v>
      </c>
      <c r="F6" s="66">
        <f>(A6+B6)*C6</f>
        <v>324</v>
      </c>
      <c r="G6" s="66">
        <f>(A6+B6)/E6</f>
        <v>100</v>
      </c>
      <c r="H6" s="66">
        <f t="shared" ref="H6" si="2">C6/10</f>
        <v>7.2</v>
      </c>
      <c r="I6" s="66">
        <v>3.5</v>
      </c>
      <c r="J6" s="67">
        <f t="shared" ref="J6" si="3">H6*G6/60</f>
        <v>12</v>
      </c>
      <c r="K6" s="67">
        <f>J6+I6</f>
        <v>15.5</v>
      </c>
      <c r="L6" s="68">
        <v>250</v>
      </c>
      <c r="M6" s="69">
        <f>L6/60</f>
        <v>4.166666666666667</v>
      </c>
      <c r="N6" s="70">
        <f>ROUNDUP(K6*M6,1)</f>
        <v>64.599999999999994</v>
      </c>
      <c r="O6" s="56"/>
      <c r="P6" s="30">
        <v>125</v>
      </c>
      <c r="Q6" s="71">
        <v>0.02</v>
      </c>
      <c r="R6" s="32">
        <v>5</v>
      </c>
      <c r="S6" s="35">
        <f>N6*R6</f>
        <v>323</v>
      </c>
      <c r="T6" s="33">
        <f>IF(S6&gt;Y6,S6,Y6)</f>
        <v>323</v>
      </c>
      <c r="U6" s="33">
        <f>T6+P6</f>
        <v>448</v>
      </c>
      <c r="V6" s="33">
        <f>ROUNDUP(U6*Q6,0)</f>
        <v>9</v>
      </c>
      <c r="W6" s="33">
        <f>U6+V6</f>
        <v>457</v>
      </c>
      <c r="X6" s="34"/>
      <c r="Y6" s="57">
        <v>250</v>
      </c>
      <c r="Z6" s="36">
        <f>ROUNDDOWN(Y6/N6,0)</f>
        <v>3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2.125</v>
      </c>
      <c r="C9" s="14">
        <v>36</v>
      </c>
      <c r="D9" s="66" t="s">
        <v>0</v>
      </c>
      <c r="E9" s="16">
        <v>4.4999999999999998E-2</v>
      </c>
      <c r="F9" s="16">
        <f>B9*3.14</f>
        <v>6.6725000000000003</v>
      </c>
      <c r="G9" s="17">
        <f>F9/E9</f>
        <v>148.2777777777778</v>
      </c>
      <c r="H9" s="16">
        <f>C9/10</f>
        <v>3.6</v>
      </c>
      <c r="I9" s="16">
        <v>2</v>
      </c>
      <c r="J9" s="19">
        <f>H9*G9/60</f>
        <v>8.8966666666666683</v>
      </c>
      <c r="K9" s="20">
        <f>J9+I9</f>
        <v>10.896666666666668</v>
      </c>
      <c r="L9" s="68">
        <v>250</v>
      </c>
      <c r="M9" s="69">
        <f>L9/60</f>
        <v>4.166666666666667</v>
      </c>
      <c r="N9" s="18">
        <f>ROUNDUP(K9*M9,1)</f>
        <v>45.5</v>
      </c>
      <c r="O9" s="56"/>
      <c r="P9" s="30">
        <v>125</v>
      </c>
      <c r="Q9" s="71">
        <v>0.02</v>
      </c>
      <c r="R9" s="32">
        <v>16</v>
      </c>
      <c r="S9" s="35">
        <f>N9*R9</f>
        <v>728</v>
      </c>
      <c r="T9" s="33">
        <f>IF(S9&gt;Y9,S9,Y9)</f>
        <v>728</v>
      </c>
      <c r="U9" s="33">
        <f>T9+P9</f>
        <v>853</v>
      </c>
      <c r="V9" s="33">
        <f>ROUNDUP(U9*Q9,0)</f>
        <v>18</v>
      </c>
      <c r="W9" s="33">
        <f t="shared" ref="W9" si="4">U9+V9</f>
        <v>871</v>
      </c>
      <c r="X9" s="56"/>
      <c r="Y9" s="58">
        <v>250</v>
      </c>
      <c r="Z9" s="47">
        <f>ROUNDDOWN(Y9/N9,0)</f>
        <v>5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3.5</v>
      </c>
      <c r="J14" s="67">
        <f t="shared" ref="J14" si="6">H14*G14/60</f>
        <v>0.1111111111111111</v>
      </c>
      <c r="K14" s="67">
        <f>J14+I14</f>
        <v>3.6111111111111112</v>
      </c>
      <c r="L14" s="68">
        <v>275</v>
      </c>
      <c r="M14" s="69">
        <f>L14/60</f>
        <v>4.583333333333333</v>
      </c>
      <c r="N14" s="70">
        <f>ROUNDUP(K14*M14,1)</f>
        <v>16.600000000000001</v>
      </c>
      <c r="O14" s="56"/>
      <c r="P14" s="30">
        <v>125</v>
      </c>
      <c r="Q14" s="71">
        <v>0.02</v>
      </c>
      <c r="R14" s="32">
        <v>50</v>
      </c>
      <c r="S14" s="35">
        <f>N14*R14</f>
        <v>830.00000000000011</v>
      </c>
      <c r="T14" s="33">
        <f>IF(S14&gt;Y14,S14,Y14)</f>
        <v>830.00000000000011</v>
      </c>
      <c r="U14" s="33">
        <f>T14+P14</f>
        <v>955.00000000000011</v>
      </c>
      <c r="V14" s="33">
        <f>ROUNDUP(U14*Q14,0)</f>
        <v>20</v>
      </c>
      <c r="W14" s="33">
        <f>U14+V14</f>
        <v>975.00000000000011</v>
      </c>
      <c r="X14" s="34"/>
      <c r="Y14" s="57">
        <v>275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A17" s="1"/>
      <c r="B17" s="14">
        <v>9.5</v>
      </c>
      <c r="C17" s="14">
        <v>2</v>
      </c>
      <c r="D17" s="66" t="s">
        <v>0</v>
      </c>
      <c r="E17" s="16">
        <v>4.4999999999999998E-2</v>
      </c>
      <c r="F17" s="16">
        <f>B17*3.14</f>
        <v>29.830000000000002</v>
      </c>
      <c r="G17" s="17">
        <f>F17/E17</f>
        <v>662.88888888888891</v>
      </c>
      <c r="H17" s="16">
        <f>C17/10</f>
        <v>0.2</v>
      </c>
      <c r="I17" s="16">
        <v>4</v>
      </c>
      <c r="J17" s="19">
        <f>H17*G17/60</f>
        <v>2.2096296296296298</v>
      </c>
      <c r="K17" s="20">
        <f>J17+I17</f>
        <v>6.2096296296296298</v>
      </c>
      <c r="L17" s="68">
        <v>275</v>
      </c>
      <c r="M17" s="69">
        <f>L17/60</f>
        <v>4.583333333333333</v>
      </c>
      <c r="N17" s="18">
        <f>ROUNDUP(K17*M17,1)</f>
        <v>28.5</v>
      </c>
      <c r="O17" s="56"/>
      <c r="P17" s="30">
        <v>125</v>
      </c>
      <c r="Q17" s="71">
        <v>0.02</v>
      </c>
      <c r="R17" s="32">
        <v>1</v>
      </c>
      <c r="S17" s="35">
        <f>N17*R17</f>
        <v>28.5</v>
      </c>
      <c r="T17" s="33">
        <f>IF(S17&gt;Y17,S17,Y17)</f>
        <v>275</v>
      </c>
      <c r="U17" s="33">
        <f>T17+P17</f>
        <v>400</v>
      </c>
      <c r="V17" s="33">
        <f>ROUNDUP(U17*Q17,0)</f>
        <v>8</v>
      </c>
      <c r="W17" s="33">
        <f t="shared" ref="W17" si="7">U17+V17</f>
        <v>408</v>
      </c>
      <c r="X17" s="56"/>
      <c r="Y17" s="58">
        <v>275</v>
      </c>
      <c r="Z17" s="47">
        <f>ROUNDDOWN(Y17/N17,0)</f>
        <v>9</v>
      </c>
    </row>
    <row r="19" spans="1:30" ht="15.75" thickBot="1" x14ac:dyDescent="0.3"/>
    <row r="20" spans="1:30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436" t="s">
        <v>348</v>
      </c>
      <c r="W20" s="436"/>
      <c r="X20" s="436"/>
      <c r="Y20" s="436"/>
      <c r="Z20" s="1"/>
      <c r="AA20" s="460" t="s">
        <v>362</v>
      </c>
      <c r="AB20" s="461"/>
      <c r="AC20" s="461"/>
      <c r="AD20" s="461"/>
    </row>
    <row r="21" spans="1:30" ht="16.5" thickTop="1" x14ac:dyDescent="0.25">
      <c r="A21" s="373" t="s">
        <v>32</v>
      </c>
      <c r="C21" s="376">
        <v>250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64.599999999999994</v>
      </c>
      <c r="Z21" s="1"/>
      <c r="AA21" s="462" t="s">
        <v>207</v>
      </c>
      <c r="AB21" s="463"/>
      <c r="AC21" s="383"/>
      <c r="AD21" s="470">
        <f>N3</f>
        <v>29.3</v>
      </c>
    </row>
    <row r="22" spans="1:30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5</v>
      </c>
      <c r="Z22" s="1"/>
      <c r="AA22" s="464" t="s">
        <v>208</v>
      </c>
      <c r="AB22" s="1"/>
      <c r="AD22" s="471">
        <f>R3</f>
        <v>5</v>
      </c>
    </row>
    <row r="23" spans="1:30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323</v>
      </c>
      <c r="Z23" s="1"/>
      <c r="AA23" s="464" t="s">
        <v>209</v>
      </c>
      <c r="AB23" s="1"/>
      <c r="AD23" s="469">
        <f>T3</f>
        <v>230</v>
      </c>
    </row>
    <row r="24" spans="1:30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9</v>
      </c>
      <c r="Z24" s="1"/>
      <c r="AA24" s="464" t="s">
        <v>210</v>
      </c>
      <c r="AB24" s="1"/>
      <c r="AD24" s="469">
        <f>V3</f>
        <v>5</v>
      </c>
    </row>
    <row r="25" spans="1:30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  <c r="AA25" s="464" t="s">
        <v>216</v>
      </c>
      <c r="AD25" s="465">
        <f>-P3</f>
        <v>0</v>
      </c>
    </row>
    <row r="26" spans="1:30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457</v>
      </c>
      <c r="Z26" s="1"/>
      <c r="AA26" s="464" t="s">
        <v>211</v>
      </c>
      <c r="AB26" s="1"/>
      <c r="AD26" s="469">
        <f>W3</f>
        <v>235</v>
      </c>
    </row>
    <row r="27" spans="1:30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7"/>
      <c r="AD27" s="468" t="s">
        <v>347</v>
      </c>
    </row>
    <row r="28" spans="1:30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30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30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45.5</v>
      </c>
      <c r="Z30" s="1"/>
    </row>
    <row r="31" spans="1:30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16</v>
      </c>
      <c r="Z31" s="1"/>
    </row>
    <row r="32" spans="1:30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728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18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871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2">
    <mergeCell ref="V29:Y29"/>
    <mergeCell ref="X36:Y36"/>
  </mergeCells>
  <pageMargins left="0.7" right="0.7" top="0.75" bottom="0.75" header="0.3" footer="0.3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965F-7CE0-4BB8-9CE0-F220590A77B6}">
  <sheetPr>
    <tabColor rgb="FF92D050"/>
  </sheetPr>
  <dimension ref="A1:AD37"/>
  <sheetViews>
    <sheetView workbookViewId="0">
      <selection activeCell="AD5" sqref="AD5"/>
    </sheetView>
  </sheetViews>
  <sheetFormatPr defaultRowHeight="15" x14ac:dyDescent="0.25"/>
  <cols>
    <col min="4" max="13" width="9.140625" hidden="1" customWidth="1"/>
    <col min="17" max="17" width="0" hidden="1" customWidth="1"/>
    <col min="19" max="19" width="0" hidden="1" customWidth="1"/>
    <col min="20" max="20" width="9.5703125" customWidth="1"/>
    <col min="21" max="21" width="10.5703125" customWidth="1"/>
    <col min="23" max="23" width="13.28515625" customWidth="1"/>
    <col min="24" max="24" width="15.42578125" customWidth="1"/>
    <col min="25" max="25" width="16.5703125" customWidth="1"/>
    <col min="29" max="29" width="13.85546875" customWidth="1"/>
    <col min="30" max="30" width="18.2851562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0.25</v>
      </c>
      <c r="B3" s="65">
        <v>16</v>
      </c>
      <c r="C3" s="65">
        <v>16.25</v>
      </c>
      <c r="D3" s="66">
        <v>0.125</v>
      </c>
      <c r="E3" s="66">
        <v>0.125</v>
      </c>
      <c r="F3" s="66">
        <f>(A3+B3)*C3</f>
        <v>264.0625</v>
      </c>
      <c r="G3" s="66">
        <f>(A3+B3)/E3</f>
        <v>130</v>
      </c>
      <c r="H3" s="66">
        <f t="shared" ref="H3" si="0">C3/10</f>
        <v>1.625</v>
      </c>
      <c r="I3" s="66">
        <v>3.5</v>
      </c>
      <c r="J3" s="67">
        <f t="shared" ref="J3" si="1">H3*G3/60</f>
        <v>3.5208333333333335</v>
      </c>
      <c r="K3" s="67">
        <f>J3+I3</f>
        <v>7.0208333333333339</v>
      </c>
      <c r="L3" s="68">
        <v>250</v>
      </c>
      <c r="M3" s="69">
        <f>L3/60</f>
        <v>4.166666666666667</v>
      </c>
      <c r="N3" s="70">
        <f>ROUNDUP(K3*M3,1)</f>
        <v>29.3</v>
      </c>
      <c r="O3" s="56"/>
      <c r="P3" s="30">
        <v>0</v>
      </c>
      <c r="Q3" s="71">
        <v>0.02</v>
      </c>
      <c r="R3" s="32">
        <v>1</v>
      </c>
      <c r="S3" s="35">
        <f>N3*R3</f>
        <v>29.3</v>
      </c>
      <c r="T3" s="33">
        <f>IF(S3&gt;Y3,S3,Y3)</f>
        <v>250</v>
      </c>
      <c r="U3" s="33">
        <f>T3+P3</f>
        <v>250</v>
      </c>
      <c r="V3" s="33">
        <f>ROUNDUP(U3*Q3,0)</f>
        <v>5</v>
      </c>
      <c r="W3" s="33">
        <f>U3+V3</f>
        <v>255</v>
      </c>
      <c r="X3" s="34"/>
      <c r="Y3" s="57">
        <v>250</v>
      </c>
      <c r="Z3" s="36">
        <f>ROUNDDOWN(Y3/N3,0)</f>
        <v>8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3</v>
      </c>
      <c r="B6" s="65">
        <v>2.5</v>
      </c>
      <c r="C6" s="65">
        <v>5.5</v>
      </c>
      <c r="D6" s="66">
        <v>0.125</v>
      </c>
      <c r="E6" s="66">
        <v>4.4999999999999998E-2</v>
      </c>
      <c r="F6" s="66">
        <f>(A6+B6)*C6</f>
        <v>30.25</v>
      </c>
      <c r="G6" s="66">
        <f>(A6+B6)/E6</f>
        <v>122.22222222222223</v>
      </c>
      <c r="H6" s="66">
        <f t="shared" ref="H6" si="2">C6/10</f>
        <v>0.55000000000000004</v>
      </c>
      <c r="I6" s="66">
        <v>3.5</v>
      </c>
      <c r="J6" s="67">
        <f t="shared" ref="J6" si="3">H6*G6/60</f>
        <v>1.1203703703703705</v>
      </c>
      <c r="K6" s="67">
        <f>J6+I6</f>
        <v>4.6203703703703702</v>
      </c>
      <c r="L6" s="68">
        <v>250</v>
      </c>
      <c r="M6" s="69">
        <f>L6/60</f>
        <v>4.166666666666667</v>
      </c>
      <c r="N6" s="70">
        <f>ROUNDUP(K6*M6,1)</f>
        <v>19.3</v>
      </c>
      <c r="O6" s="56"/>
      <c r="P6" s="30">
        <v>0</v>
      </c>
      <c r="Q6" s="71">
        <v>0.02</v>
      </c>
      <c r="R6" s="32">
        <v>1</v>
      </c>
      <c r="S6" s="35">
        <f>N6*R6</f>
        <v>19.3</v>
      </c>
      <c r="T6" s="33">
        <f>IF(S6&gt;Y6,S6,Y6)</f>
        <v>250</v>
      </c>
      <c r="U6" s="33">
        <f>T6+P6</f>
        <v>250</v>
      </c>
      <c r="V6" s="33">
        <f>ROUNDUP(U6*Q6,0)</f>
        <v>5</v>
      </c>
      <c r="W6" s="33">
        <f>U6+V6</f>
        <v>255</v>
      </c>
      <c r="X6" s="34"/>
      <c r="Y6" s="57">
        <v>250</v>
      </c>
      <c r="Z6" s="36">
        <f>ROUNDDOWN(Y6/N6,0)</f>
        <v>12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2.125</v>
      </c>
      <c r="C9" s="14">
        <v>36</v>
      </c>
      <c r="D9" s="66" t="s">
        <v>0</v>
      </c>
      <c r="E9" s="16">
        <v>4.4999999999999998E-2</v>
      </c>
      <c r="F9" s="16">
        <f>B9*3.14</f>
        <v>6.6725000000000003</v>
      </c>
      <c r="G9" s="17">
        <f>F9/E9</f>
        <v>148.2777777777778</v>
      </c>
      <c r="H9" s="16">
        <f>C9/10</f>
        <v>3.6</v>
      </c>
      <c r="I9" s="16">
        <v>2</v>
      </c>
      <c r="J9" s="19">
        <f>H9*G9/60</f>
        <v>8.8966666666666683</v>
      </c>
      <c r="K9" s="20">
        <f>J9+I9</f>
        <v>10.896666666666668</v>
      </c>
      <c r="L9" s="68">
        <v>250</v>
      </c>
      <c r="M9" s="69">
        <f>L9/60</f>
        <v>4.166666666666667</v>
      </c>
      <c r="N9" s="18">
        <f>ROUNDUP(K9*M9,1)</f>
        <v>45.5</v>
      </c>
      <c r="O9" s="56"/>
      <c r="P9" s="30">
        <v>125</v>
      </c>
      <c r="Q9" s="71">
        <v>0.02</v>
      </c>
      <c r="R9" s="32">
        <v>1</v>
      </c>
      <c r="S9" s="35">
        <f>N9*R9</f>
        <v>45.5</v>
      </c>
      <c r="T9" s="33">
        <f>IF(S9&gt;Y9,S9,Y9)</f>
        <v>250</v>
      </c>
      <c r="U9" s="33">
        <f>T9+P9</f>
        <v>375</v>
      </c>
      <c r="V9" s="33">
        <f>ROUNDUP(U9*Q9,0)</f>
        <v>8</v>
      </c>
      <c r="W9" s="33">
        <f t="shared" ref="W9" si="4">U9+V9</f>
        <v>383</v>
      </c>
      <c r="X9" s="56"/>
      <c r="Y9" s="58">
        <v>250</v>
      </c>
      <c r="Z9" s="47">
        <f>ROUNDDOWN(Y9/N9,0)</f>
        <v>5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3.5</v>
      </c>
      <c r="J14" s="67">
        <f t="shared" ref="J14" si="6">H14*G14/60</f>
        <v>0.1111111111111111</v>
      </c>
      <c r="K14" s="67">
        <f>J14+I14</f>
        <v>3.6111111111111112</v>
      </c>
      <c r="L14" s="68">
        <v>275</v>
      </c>
      <c r="M14" s="69">
        <f>L14/60</f>
        <v>4.583333333333333</v>
      </c>
      <c r="N14" s="70">
        <f>ROUNDUP(K14*M14,1)</f>
        <v>16.600000000000001</v>
      </c>
      <c r="O14" s="56"/>
      <c r="P14" s="30">
        <v>125</v>
      </c>
      <c r="Q14" s="71">
        <v>0.02</v>
      </c>
      <c r="R14" s="32">
        <v>50</v>
      </c>
      <c r="S14" s="35">
        <f>N14*R14</f>
        <v>830.00000000000011</v>
      </c>
      <c r="T14" s="33">
        <f>IF(S14&gt;Y14,S14,Y14)</f>
        <v>830.00000000000011</v>
      </c>
      <c r="U14" s="33">
        <f>T14+P14</f>
        <v>955.00000000000011</v>
      </c>
      <c r="V14" s="33">
        <f>ROUNDUP(U14*Q14,0)</f>
        <v>20</v>
      </c>
      <c r="W14" s="33">
        <f>U14+V14</f>
        <v>975.00000000000011</v>
      </c>
      <c r="X14" s="34"/>
      <c r="Y14" s="57">
        <v>275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A17" s="1"/>
      <c r="B17" s="14">
        <v>9.5</v>
      </c>
      <c r="C17" s="14">
        <v>2</v>
      </c>
      <c r="D17" s="66" t="s">
        <v>0</v>
      </c>
      <c r="E17" s="16">
        <v>4.4999999999999998E-2</v>
      </c>
      <c r="F17" s="16">
        <f>B17*3.14</f>
        <v>29.830000000000002</v>
      </c>
      <c r="G17" s="17">
        <f>F17/E17</f>
        <v>662.88888888888891</v>
      </c>
      <c r="H17" s="16">
        <f>C17/10</f>
        <v>0.2</v>
      </c>
      <c r="I17" s="16">
        <v>4</v>
      </c>
      <c r="J17" s="19">
        <f>H17*G17/60</f>
        <v>2.2096296296296298</v>
      </c>
      <c r="K17" s="20">
        <f>J17+I17</f>
        <v>6.2096296296296298</v>
      </c>
      <c r="L17" s="68">
        <v>275</v>
      </c>
      <c r="M17" s="69">
        <f>L17/60</f>
        <v>4.583333333333333</v>
      </c>
      <c r="N17" s="18">
        <f>ROUNDUP(K17*M17,1)</f>
        <v>28.5</v>
      </c>
      <c r="O17" s="56"/>
      <c r="P17" s="30">
        <v>125</v>
      </c>
      <c r="Q17" s="71">
        <v>0.02</v>
      </c>
      <c r="R17" s="32">
        <v>1</v>
      </c>
      <c r="S17" s="35">
        <f>N17*R17</f>
        <v>28.5</v>
      </c>
      <c r="T17" s="33">
        <f>IF(S17&gt;Y17,S17,Y17)</f>
        <v>275</v>
      </c>
      <c r="U17" s="33">
        <f>T17+P17</f>
        <v>400</v>
      </c>
      <c r="V17" s="33">
        <f>ROUNDUP(U17*Q17,0)</f>
        <v>8</v>
      </c>
      <c r="W17" s="33">
        <f t="shared" ref="W17" si="7">U17+V17</f>
        <v>408</v>
      </c>
      <c r="X17" s="56"/>
      <c r="Y17" s="58">
        <v>275</v>
      </c>
      <c r="Z17" s="47">
        <f>ROUNDDOWN(Y17/N17,0)</f>
        <v>9</v>
      </c>
    </row>
    <row r="19" spans="1:30" ht="15.75" thickBot="1" x14ac:dyDescent="0.3"/>
    <row r="20" spans="1:30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494" t="s">
        <v>348</v>
      </c>
      <c r="W20" s="436"/>
      <c r="X20" s="436"/>
      <c r="Y20" s="436"/>
      <c r="Z20" s="1"/>
      <c r="AA20" s="460" t="s">
        <v>362</v>
      </c>
      <c r="AB20" s="461"/>
      <c r="AC20" s="461"/>
      <c r="AD20" s="461"/>
    </row>
    <row r="21" spans="1:30" ht="16.5" thickTop="1" x14ac:dyDescent="0.25">
      <c r="A21" s="373" t="s">
        <v>32</v>
      </c>
      <c r="C21" s="376">
        <v>250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19.3</v>
      </c>
      <c r="Z21" s="1"/>
      <c r="AA21" s="462" t="s">
        <v>207</v>
      </c>
      <c r="AB21" s="463"/>
      <c r="AC21" s="383"/>
      <c r="AD21" s="470">
        <f>N3</f>
        <v>29.3</v>
      </c>
    </row>
    <row r="22" spans="1:30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1</v>
      </c>
      <c r="Z22" s="1"/>
      <c r="AA22" s="464" t="s">
        <v>208</v>
      </c>
      <c r="AB22" s="1"/>
      <c r="AD22" s="471">
        <f>R3</f>
        <v>1</v>
      </c>
    </row>
    <row r="23" spans="1:30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250</v>
      </c>
      <c r="Z23" s="1"/>
      <c r="AA23" s="464" t="s">
        <v>209</v>
      </c>
      <c r="AB23" s="1"/>
      <c r="AD23" s="469">
        <f>T3</f>
        <v>250</v>
      </c>
    </row>
    <row r="24" spans="1:30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5</v>
      </c>
      <c r="Z24" s="1"/>
      <c r="AA24" s="464" t="s">
        <v>210</v>
      </c>
      <c r="AB24" s="1"/>
      <c r="AD24" s="469">
        <f>V3</f>
        <v>5</v>
      </c>
    </row>
    <row r="25" spans="1:30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0</v>
      </c>
      <c r="Z25" s="1"/>
      <c r="AA25" s="464" t="s">
        <v>216</v>
      </c>
      <c r="AD25" s="465">
        <f>-P3</f>
        <v>0</v>
      </c>
    </row>
    <row r="26" spans="1:30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255</v>
      </c>
      <c r="Z26" s="1"/>
      <c r="AA26" s="464" t="s">
        <v>211</v>
      </c>
      <c r="AB26" s="1"/>
      <c r="AD26" s="469">
        <f>W3</f>
        <v>255</v>
      </c>
    </row>
    <row r="27" spans="1:30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7"/>
      <c r="AD27" s="468" t="s">
        <v>347</v>
      </c>
    </row>
    <row r="28" spans="1:30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30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30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45.5</v>
      </c>
      <c r="Z30" s="1"/>
    </row>
    <row r="31" spans="1:30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1</v>
      </c>
      <c r="Z31" s="1"/>
    </row>
    <row r="32" spans="1:30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250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8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383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2">
    <mergeCell ref="V29:Y29"/>
    <mergeCell ref="X36:Y36"/>
  </mergeCells>
  <pageMargins left="0.7" right="0.7" top="0.75" bottom="0.75" header="0.3" footer="0.3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704B-D624-4C1A-8AB5-E5CAA23A79CC}">
  <sheetPr>
    <tabColor rgb="FF00B0F0"/>
  </sheetPr>
  <dimension ref="A1:AO60"/>
  <sheetViews>
    <sheetView topLeftCell="T11" zoomScaleNormal="100" workbookViewId="0">
      <selection activeCell="W23" sqref="W23"/>
    </sheetView>
  </sheetViews>
  <sheetFormatPr defaultRowHeight="15" x14ac:dyDescent="0.25"/>
  <cols>
    <col min="6" max="13" width="0" hidden="1" customWidth="1"/>
    <col min="22" max="22" width="18.85546875" customWidth="1"/>
    <col min="23" max="23" width="17.7109375" customWidth="1"/>
    <col min="24" max="24" width="25.28515625" customWidth="1"/>
    <col min="25" max="25" width="19.28515625" customWidth="1"/>
    <col min="27" max="27" width="21.85546875" customWidth="1"/>
    <col min="29" max="29" width="13.42578125" customWidth="1"/>
    <col min="32" max="32" width="10.140625" customWidth="1"/>
    <col min="33" max="33" width="12" customWidth="1"/>
    <col min="34" max="34" width="10.28515625" customWidth="1"/>
    <col min="35" max="35" width="11.42578125" customWidth="1"/>
  </cols>
  <sheetData>
    <row r="1" spans="1:41" ht="21" hidden="1" x14ac:dyDescent="0.25">
      <c r="A1" s="9" t="s">
        <v>301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1"/>
      <c r="P1" s="21"/>
      <c r="Q1" s="21"/>
      <c r="R1" s="22"/>
      <c r="S1" s="22"/>
      <c r="T1" s="22"/>
      <c r="U1" s="22"/>
      <c r="V1" s="75"/>
      <c r="W1" s="22"/>
      <c r="X1" s="22"/>
      <c r="Y1" s="22"/>
      <c r="Z1" s="22"/>
      <c r="AA1" s="88"/>
      <c r="AB1" s="22"/>
      <c r="AC1" s="21"/>
      <c r="AD1" s="21"/>
      <c r="AE1" s="2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45" hidden="1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3" t="s">
        <v>5</v>
      </c>
      <c r="O2" s="34"/>
      <c r="P2" s="38" t="s">
        <v>29</v>
      </c>
      <c r="Q2" s="38" t="s">
        <v>204</v>
      </c>
      <c r="R2" s="37" t="s">
        <v>34</v>
      </c>
      <c r="S2" s="37" t="s">
        <v>27</v>
      </c>
      <c r="T2" s="38" t="s">
        <v>39</v>
      </c>
      <c r="U2" s="38" t="s">
        <v>30</v>
      </c>
      <c r="V2" s="74" t="s">
        <v>36</v>
      </c>
      <c r="W2" s="38" t="s">
        <v>31</v>
      </c>
      <c r="X2" s="38"/>
      <c r="Y2" s="38"/>
      <c r="Z2" s="37" t="s">
        <v>32</v>
      </c>
      <c r="AA2" s="41" t="s">
        <v>33</v>
      </c>
      <c r="AB2" s="21"/>
      <c r="AC2" s="21"/>
      <c r="AD2" s="21"/>
      <c r="AE2" s="2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idden="1" x14ac:dyDescent="0.25">
      <c r="A3" s="65">
        <v>0.75</v>
      </c>
      <c r="B3" s="65">
        <v>48</v>
      </c>
      <c r="C3" s="65">
        <v>96</v>
      </c>
      <c r="D3" s="66" t="s">
        <v>0</v>
      </c>
      <c r="E3" s="66">
        <v>0.15</v>
      </c>
      <c r="F3" s="66">
        <f>(A3+B3)*C3</f>
        <v>4680</v>
      </c>
      <c r="G3" s="66">
        <f>(A3+B3)/E3</f>
        <v>325</v>
      </c>
      <c r="H3" s="66">
        <f t="shared" ref="H3" si="0">C3/10</f>
        <v>9.6</v>
      </c>
      <c r="I3" s="66">
        <v>6</v>
      </c>
      <c r="J3" s="67">
        <f t="shared" ref="J3" si="1">H3*G3/60</f>
        <v>52</v>
      </c>
      <c r="K3" s="67">
        <f>J3+I3</f>
        <v>58</v>
      </c>
      <c r="L3" s="68">
        <v>225</v>
      </c>
      <c r="M3" s="69">
        <f>L3/60</f>
        <v>3.75</v>
      </c>
      <c r="N3" s="70">
        <f>ROUNDUP(K3*M3,1)</f>
        <v>217.5</v>
      </c>
      <c r="O3" s="23" t="s">
        <v>40</v>
      </c>
      <c r="P3" s="32">
        <v>1</v>
      </c>
      <c r="Q3" s="35">
        <f>N3*P3</f>
        <v>217.5</v>
      </c>
      <c r="R3" s="33">
        <f>IF(Q3&gt;Z3, Q3, Z3)</f>
        <v>250</v>
      </c>
      <c r="S3" s="30">
        <v>0</v>
      </c>
      <c r="T3" s="79">
        <v>0.02</v>
      </c>
      <c r="U3" s="33">
        <f>R3+S3</f>
        <v>250</v>
      </c>
      <c r="V3" s="77">
        <f>ROUNDUP(U3*T3,0)</f>
        <v>5</v>
      </c>
      <c r="W3" s="33">
        <f>U3+V3</f>
        <v>255</v>
      </c>
      <c r="X3" s="33"/>
      <c r="Y3" s="33"/>
      <c r="Z3" s="57">
        <v>250</v>
      </c>
      <c r="AA3" s="78">
        <f>ROUNDDOWN(Z3/N3,0)</f>
        <v>1</v>
      </c>
      <c r="AB3" s="21"/>
      <c r="AC3" s="21"/>
      <c r="AD3" s="21"/>
      <c r="AE3" s="2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21" hidden="1" x14ac:dyDescent="0.25">
      <c r="A4" s="9" t="s">
        <v>312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21"/>
      <c r="P4" s="21"/>
      <c r="Q4" s="21"/>
      <c r="R4" s="22"/>
      <c r="S4" s="22"/>
      <c r="T4" s="22"/>
      <c r="U4" s="22"/>
      <c r="V4" s="75"/>
      <c r="W4" s="22"/>
      <c r="X4" s="22"/>
      <c r="Y4" s="22"/>
      <c r="Z4" s="22"/>
      <c r="AA4" s="88"/>
      <c r="AB4" s="22"/>
      <c r="AC4" s="21"/>
      <c r="AD4" s="21"/>
      <c r="AE4" s="2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45" hidden="1" x14ac:dyDescent="0.25">
      <c r="A5" s="2" t="s">
        <v>23</v>
      </c>
      <c r="B5" s="2" t="s">
        <v>8</v>
      </c>
      <c r="C5" s="2" t="s">
        <v>7</v>
      </c>
      <c r="D5" s="2" t="s">
        <v>2</v>
      </c>
      <c r="E5" s="2" t="s">
        <v>1</v>
      </c>
      <c r="F5" s="2" t="s">
        <v>6</v>
      </c>
      <c r="G5" s="2" t="s">
        <v>3</v>
      </c>
      <c r="H5" s="2" t="s">
        <v>21</v>
      </c>
      <c r="I5" s="2" t="s">
        <v>9</v>
      </c>
      <c r="J5" s="2" t="s">
        <v>4</v>
      </c>
      <c r="K5" s="2" t="s">
        <v>10</v>
      </c>
      <c r="L5" s="2" t="s">
        <v>24</v>
      </c>
      <c r="M5" s="2" t="s">
        <v>25</v>
      </c>
      <c r="N5" s="3" t="s">
        <v>5</v>
      </c>
      <c r="O5" s="34"/>
      <c r="P5" s="38" t="s">
        <v>29</v>
      </c>
      <c r="Q5" s="38" t="s">
        <v>204</v>
      </c>
      <c r="R5" s="37" t="s">
        <v>34</v>
      </c>
      <c r="S5" s="37" t="s">
        <v>27</v>
      </c>
      <c r="T5" s="38" t="s">
        <v>39</v>
      </c>
      <c r="U5" s="38" t="s">
        <v>30</v>
      </c>
      <c r="V5" s="74" t="s">
        <v>36</v>
      </c>
      <c r="W5" s="38" t="s">
        <v>31</v>
      </c>
      <c r="X5" s="38"/>
      <c r="Y5" s="38"/>
      <c r="Z5" s="37" t="s">
        <v>32</v>
      </c>
      <c r="AA5" s="41" t="s">
        <v>33</v>
      </c>
      <c r="AB5" s="21"/>
      <c r="AC5" s="21"/>
      <c r="AD5" s="21"/>
      <c r="AE5" s="2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idden="1" x14ac:dyDescent="0.25">
      <c r="A6" s="65">
        <v>0.75</v>
      </c>
      <c r="B6" s="65">
        <v>18</v>
      </c>
      <c r="C6" s="65">
        <v>24</v>
      </c>
      <c r="D6" s="66" t="s">
        <v>0</v>
      </c>
      <c r="E6" s="66">
        <v>6.5000000000000002E-2</v>
      </c>
      <c r="F6" s="66">
        <f>(A6+B6)*C6</f>
        <v>450</v>
      </c>
      <c r="G6" s="66">
        <f>(A6+B6)/E6</f>
        <v>288.46153846153845</v>
      </c>
      <c r="H6" s="66">
        <f t="shared" ref="H6" si="2">C6/10</f>
        <v>2.4</v>
      </c>
      <c r="I6" s="66">
        <v>4</v>
      </c>
      <c r="J6" s="67">
        <f t="shared" ref="J6" si="3">H6*G6/60</f>
        <v>11.538461538461538</v>
      </c>
      <c r="K6" s="67">
        <f>J6+I6</f>
        <v>15.538461538461538</v>
      </c>
      <c r="L6" s="68">
        <v>225</v>
      </c>
      <c r="M6" s="69">
        <f>L6/60</f>
        <v>3.75</v>
      </c>
      <c r="N6" s="70">
        <f>ROUNDUP(K6*M6,1)</f>
        <v>58.300000000000004</v>
      </c>
      <c r="O6" s="23" t="s">
        <v>40</v>
      </c>
      <c r="P6" s="32">
        <v>2</v>
      </c>
      <c r="Q6" s="35">
        <f>N6*P6</f>
        <v>116.60000000000001</v>
      </c>
      <c r="R6" s="33">
        <f>IF(Q6&gt;Z6, Q6, Z6)</f>
        <v>250</v>
      </c>
      <c r="S6" s="30">
        <v>0</v>
      </c>
      <c r="T6" s="79">
        <v>0.02</v>
      </c>
      <c r="U6" s="33">
        <f>R6+S6</f>
        <v>250</v>
      </c>
      <c r="V6" s="77">
        <f>ROUNDUP(U6*T6,0)</f>
        <v>5</v>
      </c>
      <c r="W6" s="33">
        <f>U6+V6</f>
        <v>255</v>
      </c>
      <c r="X6" s="33"/>
      <c r="Y6" s="33"/>
      <c r="Z6" s="57">
        <v>250</v>
      </c>
      <c r="AA6" s="78">
        <f>ROUNDDOWN(Z6/N6,0)</f>
        <v>4</v>
      </c>
      <c r="AB6" s="21"/>
      <c r="AC6" s="21"/>
      <c r="AD6" s="21"/>
      <c r="AE6" s="2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8.75" hidden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1"/>
      <c r="Q7" s="21"/>
      <c r="R7" s="27"/>
      <c r="S7" s="28"/>
      <c r="T7" s="72"/>
      <c r="U7" s="27"/>
      <c r="V7" s="76"/>
      <c r="W7" s="27"/>
      <c r="X7" s="27"/>
      <c r="Y7" s="27"/>
      <c r="Z7" s="25"/>
      <c r="AA7" s="26"/>
      <c r="AB7" s="21"/>
      <c r="AC7" s="21"/>
      <c r="AD7" s="21"/>
      <c r="AE7" s="2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21" hidden="1" x14ac:dyDescent="0.25">
      <c r="A8" s="1"/>
      <c r="B8" s="80" t="s">
        <v>12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2"/>
      <c r="P8" s="82"/>
      <c r="Q8" s="82"/>
      <c r="R8" s="83"/>
      <c r="S8" s="84"/>
      <c r="T8" s="85"/>
      <c r="U8" s="83"/>
      <c r="V8" s="86"/>
      <c r="W8" s="83"/>
      <c r="X8" s="83"/>
      <c r="Y8" s="83"/>
      <c r="Z8" s="82"/>
      <c r="AA8" s="87"/>
      <c r="AB8" s="21"/>
      <c r="AC8" s="21"/>
      <c r="AD8" s="21"/>
      <c r="AE8" s="2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45" hidden="1" x14ac:dyDescent="0.25">
      <c r="A9" s="1"/>
      <c r="B9" s="4" t="s">
        <v>13</v>
      </c>
      <c r="C9" s="4" t="s">
        <v>7</v>
      </c>
      <c r="D9" s="2" t="s">
        <v>2</v>
      </c>
      <c r="E9" s="4" t="s">
        <v>1</v>
      </c>
      <c r="F9" s="5" t="s">
        <v>20</v>
      </c>
      <c r="G9" s="4" t="s">
        <v>14</v>
      </c>
      <c r="H9" s="4" t="s">
        <v>15</v>
      </c>
      <c r="I9" s="4" t="s">
        <v>17</v>
      </c>
      <c r="J9" s="4" t="s">
        <v>16</v>
      </c>
      <c r="K9" s="4" t="s">
        <v>18</v>
      </c>
      <c r="L9" s="2" t="s">
        <v>24</v>
      </c>
      <c r="M9" s="2" t="s">
        <v>25</v>
      </c>
      <c r="N9" s="6" t="s">
        <v>19</v>
      </c>
      <c r="O9" s="37"/>
      <c r="P9" s="38" t="s">
        <v>29</v>
      </c>
      <c r="Q9" s="38" t="s">
        <v>204</v>
      </c>
      <c r="R9" s="44" t="s">
        <v>34</v>
      </c>
      <c r="S9" s="42" t="s">
        <v>27</v>
      </c>
      <c r="T9" s="73" t="s">
        <v>39</v>
      </c>
      <c r="U9" s="44" t="s">
        <v>30</v>
      </c>
      <c r="V9" s="45" t="s">
        <v>36</v>
      </c>
      <c r="W9" s="44" t="s">
        <v>31</v>
      </c>
      <c r="X9" s="44"/>
      <c r="Y9" s="44"/>
      <c r="Z9" s="37" t="s">
        <v>32</v>
      </c>
      <c r="AA9" s="41" t="s">
        <v>33</v>
      </c>
      <c r="AB9" s="21"/>
      <c r="AC9" s="21"/>
      <c r="AD9" s="21"/>
      <c r="AE9" s="2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idden="1" x14ac:dyDescent="0.25">
      <c r="A10" s="1"/>
      <c r="B10" s="14">
        <v>3.25</v>
      </c>
      <c r="C10" s="14">
        <v>5.7</v>
      </c>
      <c r="D10" s="7" t="s">
        <v>0</v>
      </c>
      <c r="E10" s="16">
        <v>0.05</v>
      </c>
      <c r="F10" s="16">
        <f>B10*3.14</f>
        <v>10.205</v>
      </c>
      <c r="G10" s="17">
        <f>F10/E10</f>
        <v>204.1</v>
      </c>
      <c r="H10" s="16">
        <f>C10/10</f>
        <v>0.57000000000000006</v>
      </c>
      <c r="I10" s="16">
        <v>3</v>
      </c>
      <c r="J10" s="19">
        <f>H10*G10/60</f>
        <v>1.93895</v>
      </c>
      <c r="K10" s="20">
        <f>J10+I10</f>
        <v>4.9389500000000002</v>
      </c>
      <c r="L10" s="11">
        <v>225</v>
      </c>
      <c r="M10" s="12">
        <f>L10/60</f>
        <v>3.75</v>
      </c>
      <c r="N10" s="18">
        <f>ROUNDUP(K10*M10,1)</f>
        <v>18.600000000000001</v>
      </c>
      <c r="O10" s="34" t="s">
        <v>40</v>
      </c>
      <c r="P10" s="32">
        <v>37</v>
      </c>
      <c r="Q10" s="35">
        <f>N10*P10</f>
        <v>688.2</v>
      </c>
      <c r="R10" s="33">
        <f>IF(Q10&gt;Z10, Q10, Z10)</f>
        <v>688.2</v>
      </c>
      <c r="S10" s="30">
        <v>0</v>
      </c>
      <c r="T10" s="79">
        <v>0.02</v>
      </c>
      <c r="U10" s="33">
        <f>R10+S10</f>
        <v>688.2</v>
      </c>
      <c r="V10" s="77">
        <f>ROUNDUP(U10*T10,0)</f>
        <v>14</v>
      </c>
      <c r="W10" s="33">
        <f t="shared" ref="W10" si="4">U10+V10</f>
        <v>702.2</v>
      </c>
      <c r="X10" s="33"/>
      <c r="Y10" s="33"/>
      <c r="Z10" s="57">
        <v>250</v>
      </c>
      <c r="AA10" s="78">
        <f>ROUNDDOWN(Z10/N10,0)</f>
        <v>13</v>
      </c>
      <c r="AB10" s="21"/>
      <c r="AC10" s="21"/>
      <c r="AD10" s="21"/>
      <c r="AE10" s="2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1"/>
      <c r="P11" s="21"/>
      <c r="Q11" s="21"/>
      <c r="R11" s="21"/>
      <c r="S11" s="21"/>
      <c r="T11" s="21"/>
      <c r="U11" s="21"/>
      <c r="V11" s="26"/>
      <c r="W11" s="21"/>
      <c r="X11" s="21"/>
      <c r="Y11" s="21"/>
      <c r="Z11" s="21"/>
      <c r="AA11" s="21"/>
      <c r="AB11" s="21"/>
      <c r="AC11" s="21"/>
      <c r="AD11" s="21"/>
      <c r="AE11" s="2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32.25" customHeight="1" thickTop="1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1"/>
      <c r="P12" s="21"/>
      <c r="Q12" s="21"/>
      <c r="R12" s="21"/>
      <c r="S12" s="21"/>
      <c r="T12" s="21"/>
      <c r="U12" s="21"/>
      <c r="V12" s="535" t="s">
        <v>126</v>
      </c>
      <c r="W12" s="537" t="s">
        <v>127</v>
      </c>
      <c r="X12" s="575" t="s">
        <v>423</v>
      </c>
      <c r="Y12" s="575"/>
      <c r="AA12" s="356" t="s">
        <v>422</v>
      </c>
      <c r="AB12" s="358" t="s">
        <v>29</v>
      </c>
      <c r="AC12" s="341" t="s">
        <v>204</v>
      </c>
      <c r="AD12" s="343" t="s">
        <v>27</v>
      </c>
      <c r="AE12" s="343" t="s">
        <v>34</v>
      </c>
      <c r="AF12" s="341" t="s">
        <v>39</v>
      </c>
      <c r="AG12" s="341" t="s">
        <v>30</v>
      </c>
      <c r="AH12" s="349" t="s">
        <v>36</v>
      </c>
      <c r="AI12" s="347" t="s">
        <v>31</v>
      </c>
      <c r="AJ12" s="347" t="s">
        <v>32</v>
      </c>
      <c r="AK12" s="1"/>
      <c r="AL12" s="1"/>
      <c r="AM12" s="1"/>
      <c r="AN12" s="1"/>
      <c r="AO12" s="1"/>
    </row>
    <row r="13" spans="1:41" ht="16.5" thickTop="1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1"/>
      <c r="P13" s="21"/>
      <c r="Q13" s="21"/>
      <c r="R13" s="21"/>
      <c r="S13" s="21"/>
      <c r="T13" s="21"/>
      <c r="U13" s="21"/>
      <c r="V13" s="536"/>
      <c r="W13" s="538"/>
      <c r="X13" s="261" t="s">
        <v>424</v>
      </c>
      <c r="Y13" s="261" t="s">
        <v>141</v>
      </c>
      <c r="AA13" s="357">
        <v>26.95</v>
      </c>
      <c r="AB13" s="342">
        <v>10</v>
      </c>
      <c r="AC13" s="344">
        <f>AA13*AB13</f>
        <v>269.5</v>
      </c>
      <c r="AD13" s="345">
        <v>125</v>
      </c>
      <c r="AE13" s="495">
        <f>IF(AC13&gt;AJ13,AC13,AJ13)</f>
        <v>269.5</v>
      </c>
      <c r="AF13" s="346">
        <v>0.02</v>
      </c>
      <c r="AG13" s="344">
        <f>AE13+AD13</f>
        <v>394.5</v>
      </c>
      <c r="AH13" s="350">
        <f>ROUNDUP(AG13*AF13,0)</f>
        <v>8</v>
      </c>
      <c r="AI13" s="348">
        <f>AG13+AH13</f>
        <v>402.5</v>
      </c>
      <c r="AJ13" s="348">
        <v>250</v>
      </c>
      <c r="AK13" s="1"/>
      <c r="AL13" s="1"/>
      <c r="AM13" s="1"/>
      <c r="AN13" s="1"/>
      <c r="AO13" s="1"/>
    </row>
    <row r="14" spans="1:41" ht="23.25" customHeight="1" thickBot="1" x14ac:dyDescent="0.4">
      <c r="A14" s="171"/>
      <c r="B14" s="172" t="s">
        <v>119</v>
      </c>
      <c r="C14" s="173"/>
      <c r="D14" s="1"/>
      <c r="E14" s="1"/>
      <c r="F14" s="1"/>
      <c r="G14" s="1"/>
      <c r="H14" s="1"/>
      <c r="I14" s="1"/>
      <c r="J14" s="1"/>
      <c r="K14" s="1"/>
      <c r="L14" s="1"/>
      <c r="M14" s="1"/>
      <c r="N14" s="559" t="s">
        <v>149</v>
      </c>
      <c r="O14" s="560"/>
      <c r="P14" s="561"/>
      <c r="R14" s="541" t="s">
        <v>348</v>
      </c>
      <c r="S14" s="541"/>
      <c r="T14" s="541"/>
      <c r="U14" s="541"/>
      <c r="V14" s="262">
        <v>0.25</v>
      </c>
      <c r="W14" s="263">
        <v>144</v>
      </c>
      <c r="X14" s="498" t="s">
        <v>425</v>
      </c>
      <c r="Y14" s="264"/>
      <c r="AJ14" s="1"/>
      <c r="AK14" s="1"/>
      <c r="AL14" s="1"/>
      <c r="AM14" s="1"/>
      <c r="AN14" s="1"/>
      <c r="AO14" s="1"/>
    </row>
    <row r="15" spans="1:41" ht="24" customHeight="1" thickTop="1" x14ac:dyDescent="0.25">
      <c r="A15" s="174" t="s">
        <v>32</v>
      </c>
      <c r="C15" s="280">
        <v>250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74" t="s">
        <v>150</v>
      </c>
      <c r="P15" s="176"/>
      <c r="R15" s="362" t="s">
        <v>207</v>
      </c>
      <c r="S15" s="363"/>
      <c r="T15" s="352"/>
      <c r="U15" s="364">
        <f>N6</f>
        <v>58.300000000000004</v>
      </c>
      <c r="V15" s="265">
        <v>0.26</v>
      </c>
      <c r="W15" s="99">
        <v>144</v>
      </c>
      <c r="X15" s="498" t="s">
        <v>425</v>
      </c>
      <c r="Y15" s="266"/>
      <c r="AA15" s="351" t="s">
        <v>359</v>
      </c>
      <c r="AB15" s="352"/>
      <c r="AC15" s="352"/>
      <c r="AD15" s="489">
        <f>AA13</f>
        <v>26.95</v>
      </c>
      <c r="AF15" s="351" t="s">
        <v>285</v>
      </c>
      <c r="AG15" s="352"/>
      <c r="AH15" s="352"/>
      <c r="AI15" s="489">
        <f>AE13</f>
        <v>269.5</v>
      </c>
      <c r="AJ15" s="1"/>
      <c r="AK15" s="1"/>
      <c r="AL15" s="1"/>
      <c r="AM15" s="1"/>
      <c r="AN15" s="1"/>
      <c r="AO15" s="1"/>
    </row>
    <row r="16" spans="1:41" ht="23.25" customHeight="1" x14ac:dyDescent="0.25">
      <c r="A16" s="174" t="s">
        <v>120</v>
      </c>
      <c r="C16" s="280" t="s">
        <v>160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74" t="s">
        <v>151</v>
      </c>
      <c r="P16" s="176"/>
      <c r="R16" s="365" t="s">
        <v>208</v>
      </c>
      <c r="S16" s="1"/>
      <c r="U16" s="366">
        <f>P6</f>
        <v>2</v>
      </c>
      <c r="V16" s="267">
        <v>0.27500000000000002</v>
      </c>
      <c r="W16" s="99">
        <v>144</v>
      </c>
      <c r="X16" s="498" t="s">
        <v>425</v>
      </c>
      <c r="Y16" s="266"/>
      <c r="AA16" s="373" t="s">
        <v>286</v>
      </c>
      <c r="AD16" s="374">
        <f>AB13</f>
        <v>10</v>
      </c>
      <c r="AE16" s="1"/>
      <c r="AF16" s="373" t="s">
        <v>286</v>
      </c>
      <c r="AI16" s="374">
        <f>AB13</f>
        <v>10</v>
      </c>
      <c r="AJ16" s="1"/>
      <c r="AK16" s="1"/>
      <c r="AL16" s="1"/>
      <c r="AM16" s="1"/>
      <c r="AN16" s="1"/>
      <c r="AO16" s="1"/>
    </row>
    <row r="17" spans="1:41" ht="20.25" customHeight="1" x14ac:dyDescent="0.25">
      <c r="A17" s="174" t="s">
        <v>36</v>
      </c>
      <c r="C17" s="200" t="s">
        <v>122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74"/>
      <c r="P17" s="176"/>
      <c r="R17" s="365" t="s">
        <v>209</v>
      </c>
      <c r="S17" s="1"/>
      <c r="U17" s="367">
        <f>R6</f>
        <v>250</v>
      </c>
      <c r="V17" s="265">
        <v>0.3</v>
      </c>
      <c r="W17" s="99">
        <v>144</v>
      </c>
      <c r="X17" s="498" t="s">
        <v>425</v>
      </c>
      <c r="Y17" s="266"/>
      <c r="AA17" s="490" t="s">
        <v>411</v>
      </c>
      <c r="AB17" s="1"/>
      <c r="AC17" s="1"/>
      <c r="AD17" s="491">
        <f>AD13</f>
        <v>125</v>
      </c>
      <c r="AE17" s="1"/>
      <c r="AF17" s="490" t="s">
        <v>411</v>
      </c>
      <c r="AG17" s="1"/>
      <c r="AH17" s="1"/>
      <c r="AI17" s="491">
        <f>AD13</f>
        <v>125</v>
      </c>
      <c r="AJ17" s="1"/>
      <c r="AK17" s="1"/>
      <c r="AL17" s="1"/>
      <c r="AM17" s="1"/>
      <c r="AN17" s="1"/>
      <c r="AO17" s="1"/>
    </row>
    <row r="18" spans="1:41" ht="19.5" customHeight="1" x14ac:dyDescent="0.25">
      <c r="A18" s="174" t="s">
        <v>121</v>
      </c>
      <c r="C18" s="200" t="s">
        <v>123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74" t="s">
        <v>152</v>
      </c>
      <c r="P18" s="176"/>
      <c r="R18" s="365" t="s">
        <v>210</v>
      </c>
      <c r="S18" s="1"/>
      <c r="U18" s="367">
        <f>V6</f>
        <v>5</v>
      </c>
      <c r="V18" s="267">
        <v>0.32200000000000001</v>
      </c>
      <c r="W18" s="99">
        <v>144</v>
      </c>
      <c r="X18" s="498" t="s">
        <v>425</v>
      </c>
      <c r="Y18" s="266"/>
      <c r="AA18" s="373" t="s">
        <v>36</v>
      </c>
      <c r="AD18" s="492">
        <f>AH13</f>
        <v>8</v>
      </c>
      <c r="AE18" s="1"/>
      <c r="AF18" s="373" t="s">
        <v>36</v>
      </c>
      <c r="AI18" s="492">
        <f>AH13</f>
        <v>8</v>
      </c>
      <c r="AJ18" s="1"/>
      <c r="AK18" s="1"/>
      <c r="AL18" s="1"/>
      <c r="AM18" s="1"/>
      <c r="AN18" s="1"/>
      <c r="AO18" s="1"/>
    </row>
    <row r="19" spans="1:41" ht="18.75" customHeight="1" x14ac:dyDescent="0.25">
      <c r="A19" s="177" t="s">
        <v>124</v>
      </c>
      <c r="B19" s="178"/>
      <c r="C19" s="201" t="s">
        <v>160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74" t="s">
        <v>153</v>
      </c>
      <c r="P19" s="176"/>
      <c r="R19" s="365" t="s">
        <v>216</v>
      </c>
      <c r="U19" s="368">
        <f>S6</f>
        <v>0</v>
      </c>
      <c r="V19" s="267">
        <v>0.35</v>
      </c>
      <c r="W19" s="99">
        <v>144</v>
      </c>
      <c r="X19" s="498" t="s">
        <v>425</v>
      </c>
      <c r="Y19" s="268">
        <v>24.55</v>
      </c>
      <c r="AA19" s="373" t="s">
        <v>414</v>
      </c>
      <c r="AD19" s="492">
        <f>AI13</f>
        <v>402.5</v>
      </c>
      <c r="AE19" s="1"/>
      <c r="AF19" s="373" t="s">
        <v>414</v>
      </c>
      <c r="AI19" s="492">
        <f>AI13</f>
        <v>402.5</v>
      </c>
      <c r="AJ19" s="1"/>
      <c r="AK19" s="1"/>
      <c r="AL19" s="1"/>
      <c r="AM19" s="1"/>
      <c r="AN19" s="1"/>
      <c r="AO19" s="1"/>
    </row>
    <row r="20" spans="1:41" ht="19.5" customHeight="1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4"/>
      <c r="P20" s="176"/>
      <c r="R20" s="365" t="s">
        <v>211</v>
      </c>
      <c r="S20" s="1"/>
      <c r="U20" s="367">
        <f>W6</f>
        <v>255</v>
      </c>
      <c r="V20" s="267">
        <v>0.375</v>
      </c>
      <c r="W20" s="99">
        <v>144</v>
      </c>
      <c r="X20" s="498" t="s">
        <v>425</v>
      </c>
      <c r="Y20" s="268">
        <v>24.75</v>
      </c>
      <c r="AA20" s="353" t="s">
        <v>309</v>
      </c>
      <c r="AB20" s="354"/>
      <c r="AC20" s="354"/>
      <c r="AD20" s="493" t="s">
        <v>310</v>
      </c>
      <c r="AE20" s="1"/>
      <c r="AF20" s="353" t="s">
        <v>309</v>
      </c>
      <c r="AG20" s="354"/>
      <c r="AH20" s="354"/>
      <c r="AI20" s="493" t="s">
        <v>310</v>
      </c>
      <c r="AJ20" s="1"/>
      <c r="AK20" s="1"/>
      <c r="AL20" s="1"/>
      <c r="AM20" s="1"/>
      <c r="AN20" s="1"/>
      <c r="AO20" s="1"/>
    </row>
    <row r="21" spans="1:41" ht="17.25" thickTop="1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4" t="s">
        <v>154</v>
      </c>
      <c r="P21" s="176"/>
      <c r="R21" s="369" t="s">
        <v>346</v>
      </c>
      <c r="S21" s="354"/>
      <c r="T21" s="539" t="s">
        <v>347</v>
      </c>
      <c r="U21" s="540"/>
      <c r="V21" s="267">
        <v>0.38500000000000001</v>
      </c>
      <c r="W21" s="99">
        <v>144</v>
      </c>
      <c r="X21" s="498" t="s">
        <v>425</v>
      </c>
      <c r="Y21" s="268">
        <v>24.8</v>
      </c>
      <c r="AD21" s="1"/>
      <c r="AE21" s="1"/>
      <c r="AF21" s="1"/>
      <c r="AG21" s="1"/>
      <c r="AJ21" s="1"/>
      <c r="AK21" s="1"/>
      <c r="AL21" s="1"/>
      <c r="AM21" s="1"/>
      <c r="AN21" s="1"/>
      <c r="AO21" s="1"/>
    </row>
    <row r="22" spans="1:41" ht="15.75" thickTop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7" t="s">
        <v>155</v>
      </c>
      <c r="O22" s="178"/>
      <c r="P22" s="199"/>
      <c r="T22" s="1"/>
      <c r="U22" s="1"/>
      <c r="V22" s="267">
        <v>0.4</v>
      </c>
      <c r="W22" s="99">
        <v>144</v>
      </c>
      <c r="X22" s="498" t="s">
        <v>425</v>
      </c>
      <c r="Y22" s="268">
        <v>24.95</v>
      </c>
      <c r="AJ22" s="1"/>
      <c r="AK22" s="1"/>
      <c r="AL22" s="1"/>
      <c r="AM22" s="1"/>
      <c r="AN22" s="1"/>
      <c r="AO22" s="1"/>
    </row>
    <row r="23" spans="1:41" ht="24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541" t="s">
        <v>284</v>
      </c>
      <c r="S23" s="541"/>
      <c r="T23" s="541"/>
      <c r="U23" s="541"/>
      <c r="V23" s="267">
        <v>0.42499999999999999</v>
      </c>
      <c r="W23" s="99">
        <v>144</v>
      </c>
      <c r="X23" s="498" t="s">
        <v>425</v>
      </c>
      <c r="Y23" s="268">
        <v>25</v>
      </c>
      <c r="AJ23" s="1"/>
      <c r="AK23" s="1"/>
      <c r="AL23" s="1"/>
      <c r="AM23" s="1"/>
      <c r="AN23" s="1"/>
      <c r="AO23" s="1"/>
    </row>
    <row r="24" spans="1:41" ht="16.5" thickTop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362" t="s">
        <v>207</v>
      </c>
      <c r="S24" s="363"/>
      <c r="T24" s="352"/>
      <c r="U24" s="364">
        <f>N10</f>
        <v>18.600000000000001</v>
      </c>
      <c r="V24" s="265">
        <v>0.45</v>
      </c>
      <c r="W24" s="99">
        <v>144</v>
      </c>
      <c r="X24" s="498" t="s">
        <v>425</v>
      </c>
      <c r="Y24" s="268">
        <v>25.55</v>
      </c>
      <c r="AD24" s="385"/>
      <c r="AJ24" s="1"/>
      <c r="AK24" s="1"/>
      <c r="AL24" s="1"/>
      <c r="AM24" s="1"/>
      <c r="AN24" s="1"/>
      <c r="AO24" s="1"/>
    </row>
    <row r="25" spans="1:41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365" t="s">
        <v>208</v>
      </c>
      <c r="S25" s="1"/>
      <c r="U25" s="366">
        <f>P10</f>
        <v>37</v>
      </c>
      <c r="V25" s="267">
        <v>0.5</v>
      </c>
      <c r="W25" s="99">
        <v>144</v>
      </c>
      <c r="X25" s="498" t="s">
        <v>425</v>
      </c>
      <c r="Y25" s="268">
        <v>26.75</v>
      </c>
      <c r="AJ25" s="1"/>
      <c r="AK25" s="1"/>
      <c r="AL25" s="1"/>
      <c r="AM25" s="1"/>
      <c r="AN25" s="1"/>
      <c r="AO25" s="1"/>
    </row>
    <row r="26" spans="1:41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65" t="s">
        <v>209</v>
      </c>
      <c r="S26" s="1"/>
      <c r="U26" s="367">
        <f>R10</f>
        <v>688.2</v>
      </c>
      <c r="V26" s="267">
        <v>0.51</v>
      </c>
      <c r="W26" s="99">
        <v>144</v>
      </c>
      <c r="X26" s="498" t="s">
        <v>425</v>
      </c>
      <c r="Y26" s="268">
        <v>26.95</v>
      </c>
      <c r="AJ26" s="1"/>
      <c r="AK26" s="1"/>
      <c r="AL26" s="1"/>
      <c r="AM26" s="1"/>
      <c r="AN26" s="1"/>
      <c r="AO26" s="1"/>
    </row>
    <row r="27" spans="1:41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365" t="s">
        <v>210</v>
      </c>
      <c r="S27" s="1"/>
      <c r="U27" s="367">
        <f>V10</f>
        <v>14</v>
      </c>
      <c r="V27" s="267">
        <v>0.55000000000000004</v>
      </c>
      <c r="W27" s="99">
        <v>144</v>
      </c>
      <c r="X27" s="498" t="s">
        <v>425</v>
      </c>
      <c r="Y27" s="268">
        <v>27.9</v>
      </c>
      <c r="AJ27" s="1"/>
      <c r="AK27" s="1"/>
      <c r="AL27" s="1"/>
      <c r="AM27" s="1"/>
      <c r="AN27" s="1"/>
      <c r="AO27" s="1"/>
    </row>
    <row r="28" spans="1:41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365" t="s">
        <v>216</v>
      </c>
      <c r="U28" s="368">
        <f>S10</f>
        <v>0</v>
      </c>
      <c r="V28" s="267">
        <v>0.57199999999999995</v>
      </c>
      <c r="W28" s="99">
        <v>144</v>
      </c>
      <c r="X28" s="498" t="s">
        <v>425</v>
      </c>
      <c r="Y28" s="268">
        <v>28.4</v>
      </c>
      <c r="AJ28" s="1"/>
      <c r="AK28" s="1"/>
      <c r="AL28" s="1"/>
      <c r="AM28" s="1"/>
      <c r="AN28" s="1"/>
      <c r="AO28" s="1"/>
    </row>
    <row r="29" spans="1:41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365" t="s">
        <v>211</v>
      </c>
      <c r="S29" s="1"/>
      <c r="U29" s="367">
        <f>W10</f>
        <v>702.2</v>
      </c>
      <c r="V29" s="267">
        <v>0.6</v>
      </c>
      <c r="W29" s="99">
        <v>144</v>
      </c>
      <c r="X29" s="498" t="s">
        <v>425</v>
      </c>
      <c r="Y29" s="268">
        <v>29.1</v>
      </c>
      <c r="AJ29" s="1"/>
      <c r="AK29" s="1"/>
      <c r="AL29" s="1"/>
      <c r="AM29" s="1"/>
      <c r="AN29" s="1"/>
      <c r="AO29" s="1"/>
    </row>
    <row r="30" spans="1:41" ht="16.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369" t="s">
        <v>346</v>
      </c>
      <c r="S30" s="354"/>
      <c r="T30" s="539" t="s">
        <v>347</v>
      </c>
      <c r="U30" s="540"/>
      <c r="V30" s="265">
        <v>0.625</v>
      </c>
      <c r="W30" s="99">
        <v>144</v>
      </c>
      <c r="X30" s="498" t="s">
        <v>425</v>
      </c>
      <c r="Y30" s="268">
        <v>29.65</v>
      </c>
      <c r="AJ30" s="1"/>
      <c r="AK30" s="1"/>
      <c r="AL30" s="1"/>
      <c r="AM30" s="1"/>
      <c r="AN30" s="1"/>
      <c r="AO30" s="1"/>
    </row>
    <row r="31" spans="1:41" ht="15.75" thickTop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67">
        <v>0.63500000000000001</v>
      </c>
      <c r="W31" s="99">
        <v>144</v>
      </c>
      <c r="X31" s="498" t="s">
        <v>425</v>
      </c>
      <c r="Y31" s="268">
        <v>29.9</v>
      </c>
      <c r="AJ31" s="1"/>
      <c r="AK31" s="1"/>
      <c r="AL31" s="1"/>
      <c r="AM31" s="1"/>
      <c r="AN31" s="1"/>
      <c r="AO31" s="1"/>
    </row>
    <row r="32" spans="1:4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267"/>
      <c r="W32" s="99">
        <v>144</v>
      </c>
      <c r="X32" s="498" t="s">
        <v>425</v>
      </c>
      <c r="Y32" s="266"/>
      <c r="AJ32" s="1"/>
      <c r="AK32" s="1"/>
      <c r="AL32" s="1"/>
      <c r="AM32" s="1"/>
      <c r="AN32" s="1"/>
      <c r="AO32" s="1"/>
    </row>
    <row r="33" spans="1:4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267"/>
      <c r="W33" s="99">
        <v>144</v>
      </c>
      <c r="X33" s="498" t="s">
        <v>425</v>
      </c>
      <c r="Y33" s="266"/>
      <c r="AJ33" s="1"/>
      <c r="AK33" s="1"/>
      <c r="AL33" s="1"/>
      <c r="AM33" s="1"/>
      <c r="AN33" s="1"/>
      <c r="AO33" s="1"/>
    </row>
    <row r="34" spans="1:4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67"/>
      <c r="W34" s="99">
        <v>144</v>
      </c>
      <c r="X34" s="498" t="s">
        <v>425</v>
      </c>
      <c r="Y34" s="266"/>
      <c r="AJ34" s="1"/>
      <c r="AK34" s="1"/>
      <c r="AL34" s="1"/>
      <c r="AM34" s="1"/>
      <c r="AN34" s="1"/>
      <c r="AO34" s="1"/>
    </row>
    <row r="35" spans="1:4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67"/>
      <c r="W35" s="99">
        <v>144</v>
      </c>
      <c r="X35" s="498" t="s">
        <v>425</v>
      </c>
      <c r="Y35" s="266"/>
      <c r="AJ35" s="1"/>
      <c r="AK35" s="1"/>
      <c r="AL35" s="1"/>
      <c r="AM35" s="1"/>
      <c r="AN35" s="1"/>
      <c r="AO35" s="1"/>
    </row>
    <row r="36" spans="1:4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67"/>
      <c r="W36" s="99">
        <v>144</v>
      </c>
      <c r="X36" s="498" t="s">
        <v>425</v>
      </c>
      <c r="Y36" s="266"/>
      <c r="AJ36" s="1"/>
      <c r="AK36" s="1"/>
      <c r="AL36" s="1"/>
      <c r="AM36" s="1"/>
      <c r="AN36" s="1"/>
      <c r="AO36" s="1"/>
    </row>
    <row r="37" spans="1:4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67"/>
      <c r="W37" s="99">
        <v>144</v>
      </c>
      <c r="X37" s="498" t="s">
        <v>425</v>
      </c>
      <c r="Y37" s="266"/>
      <c r="AJ37" s="1"/>
      <c r="AK37" s="1"/>
      <c r="AL37" s="1"/>
      <c r="AM37" s="1"/>
      <c r="AN37" s="1"/>
      <c r="AO37" s="1"/>
    </row>
    <row r="38" spans="1:4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67"/>
      <c r="W38" s="99">
        <v>144</v>
      </c>
      <c r="X38" s="498" t="s">
        <v>425</v>
      </c>
      <c r="Y38" s="266"/>
      <c r="AJ38" s="1"/>
      <c r="AK38" s="1"/>
      <c r="AL38" s="1"/>
      <c r="AM38" s="1"/>
      <c r="AN38" s="1"/>
      <c r="AO38" s="1"/>
    </row>
    <row r="39" spans="1:4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67"/>
      <c r="W39" s="99">
        <v>144</v>
      </c>
      <c r="X39" s="498" t="s">
        <v>425</v>
      </c>
      <c r="Y39" s="266"/>
      <c r="AJ39" s="1"/>
      <c r="AK39" s="1"/>
      <c r="AL39" s="1"/>
      <c r="AM39" s="1"/>
      <c r="AN39" s="1"/>
      <c r="AO39" s="1"/>
    </row>
    <row r="40" spans="1:4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67"/>
      <c r="W40" s="99">
        <v>144</v>
      </c>
      <c r="X40" s="498" t="s">
        <v>425</v>
      </c>
      <c r="Y40" s="266"/>
      <c r="AJ40" s="1"/>
      <c r="AK40" s="1"/>
      <c r="AL40" s="1"/>
      <c r="AM40" s="1"/>
      <c r="AN40" s="1"/>
      <c r="AO40" s="1"/>
    </row>
    <row r="41" spans="1:41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69"/>
      <c r="W41" s="261">
        <v>144</v>
      </c>
      <c r="X41" s="498" t="s">
        <v>425</v>
      </c>
      <c r="Y41" s="270"/>
      <c r="AJ41" s="1"/>
      <c r="AK41" s="1"/>
      <c r="AL41" s="1"/>
      <c r="AM41" s="1"/>
      <c r="AN41" s="1"/>
      <c r="AO41" s="1"/>
    </row>
    <row r="42" spans="1:4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AJ42" s="1"/>
      <c r="AK42" s="1"/>
      <c r="AL42" s="1"/>
      <c r="AM42" s="1"/>
      <c r="AN42" s="1"/>
      <c r="AO42" s="1"/>
    </row>
    <row r="43" spans="1:4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AJ43" s="1"/>
      <c r="AK43" s="1"/>
      <c r="AL43" s="1"/>
      <c r="AM43" s="1"/>
      <c r="AN43" s="1"/>
      <c r="AO43" s="1"/>
    </row>
    <row r="44" spans="1:4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AJ44" s="1"/>
      <c r="AK44" s="1"/>
      <c r="AL44" s="1"/>
      <c r="AM44" s="1"/>
      <c r="AN44" s="1"/>
      <c r="AO44" s="1"/>
    </row>
    <row r="45" spans="1:4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AJ45" s="1"/>
      <c r="AK45" s="1"/>
      <c r="AL45" s="1"/>
      <c r="AM45" s="1"/>
      <c r="AN45" s="1"/>
      <c r="AO45" s="1"/>
    </row>
    <row r="46" spans="1:4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AJ46" s="1"/>
      <c r="AK46" s="1"/>
      <c r="AL46" s="1"/>
      <c r="AM46" s="1"/>
      <c r="AN46" s="1"/>
      <c r="AO46" s="1"/>
    </row>
    <row r="47" spans="1:4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AJ47" s="1"/>
      <c r="AK47" s="1"/>
      <c r="AL47" s="1"/>
      <c r="AM47" s="1"/>
      <c r="AN47" s="1"/>
      <c r="AO47" s="1"/>
    </row>
    <row r="48" spans="1:4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AJ48" s="1"/>
      <c r="AK48" s="1"/>
      <c r="AL48" s="1"/>
      <c r="AM48" s="1"/>
      <c r="AN48" s="1"/>
      <c r="AO48" s="1"/>
    </row>
    <row r="49" spans="1:4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AJ49" s="1"/>
      <c r="AK49" s="1"/>
      <c r="AL49" s="1"/>
      <c r="AM49" s="1"/>
      <c r="AN49" s="1"/>
      <c r="AO49" s="1"/>
    </row>
    <row r="50" spans="1:4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AJ50" s="1"/>
      <c r="AK50" s="1"/>
      <c r="AL50" s="1"/>
      <c r="AM50" s="1"/>
      <c r="AN50" s="1"/>
      <c r="AO50" s="1"/>
    </row>
    <row r="51" spans="1:4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AJ51" s="1"/>
      <c r="AK51" s="1"/>
      <c r="AL51" s="1"/>
      <c r="AM51" s="1"/>
      <c r="AN51" s="1"/>
      <c r="AO51" s="1"/>
    </row>
    <row r="52" spans="1:4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AJ52" s="1"/>
      <c r="AK52" s="1"/>
      <c r="AL52" s="1"/>
      <c r="AM52" s="1"/>
      <c r="AN52" s="1"/>
      <c r="AO52" s="1"/>
    </row>
    <row r="53" spans="1:4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AJ53" s="1"/>
      <c r="AK53" s="1"/>
      <c r="AL53" s="1"/>
      <c r="AM53" s="1"/>
      <c r="AN53" s="1"/>
      <c r="AO53" s="1"/>
    </row>
    <row r="54" spans="1:4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AJ54" s="1"/>
      <c r="AK54" s="1"/>
      <c r="AL54" s="1"/>
      <c r="AM54" s="1"/>
      <c r="AN54" s="1"/>
      <c r="AO54" s="1"/>
    </row>
    <row r="55" spans="1:4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</sheetData>
  <mergeCells count="8">
    <mergeCell ref="T30:U30"/>
    <mergeCell ref="V12:V13"/>
    <mergeCell ref="W12:W13"/>
    <mergeCell ref="X12:Y12"/>
    <mergeCell ref="N14:P14"/>
    <mergeCell ref="R14:U14"/>
    <mergeCell ref="T21:U21"/>
    <mergeCell ref="R23:U23"/>
  </mergeCells>
  <pageMargins left="0.7" right="0.7" top="0.75" bottom="0.75" header="0.3" footer="0.3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4C07-D7C6-4540-B51C-09E0F4A24A6D}">
  <sheetPr>
    <tabColor rgb="FFFF0000"/>
  </sheetPr>
  <dimension ref="A2:Z54"/>
  <sheetViews>
    <sheetView zoomScale="90" zoomScaleNormal="90" workbookViewId="0">
      <selection activeCell="B31" sqref="B31"/>
    </sheetView>
  </sheetViews>
  <sheetFormatPr defaultRowHeight="15" x14ac:dyDescent="0.25"/>
  <cols>
    <col min="16" max="16" width="9.140625" customWidth="1"/>
  </cols>
  <sheetData>
    <row r="2" spans="1:26" ht="21" x14ac:dyDescent="0.25">
      <c r="A2" s="458" t="s">
        <v>164</v>
      </c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6"/>
      <c r="P2" s="456"/>
      <c r="Q2" s="459"/>
      <c r="R2" s="459"/>
      <c r="S2" s="457"/>
      <c r="T2" s="22"/>
      <c r="U2" s="22"/>
      <c r="V2" s="22"/>
      <c r="W2" s="75"/>
      <c r="X2" s="22"/>
      <c r="Y2" s="22"/>
      <c r="Z2" s="22"/>
    </row>
    <row r="3" spans="1:26" ht="60" x14ac:dyDescent="0.25">
      <c r="A3" s="2" t="s">
        <v>23</v>
      </c>
      <c r="B3" s="2" t="s">
        <v>8</v>
      </c>
      <c r="C3" s="2" t="s">
        <v>7</v>
      </c>
      <c r="D3" s="2" t="s">
        <v>2</v>
      </c>
      <c r="E3" s="2" t="s">
        <v>1</v>
      </c>
      <c r="F3" s="2" t="s">
        <v>6</v>
      </c>
      <c r="G3" s="2" t="s">
        <v>3</v>
      </c>
      <c r="H3" s="2" t="s">
        <v>21</v>
      </c>
      <c r="I3" s="2" t="s">
        <v>9</v>
      </c>
      <c r="J3" s="2" t="s">
        <v>4</v>
      </c>
      <c r="K3" s="2" t="s">
        <v>10</v>
      </c>
      <c r="L3" s="2" t="s">
        <v>24</v>
      </c>
      <c r="M3" s="2" t="s">
        <v>25</v>
      </c>
      <c r="N3" s="195" t="s">
        <v>145</v>
      </c>
      <c r="O3" s="196" t="s">
        <v>144</v>
      </c>
      <c r="P3" s="451" t="s">
        <v>146</v>
      </c>
      <c r="Q3" s="194"/>
      <c r="R3" s="38" t="s">
        <v>29</v>
      </c>
      <c r="S3" s="37" t="s">
        <v>34</v>
      </c>
      <c r="T3" s="37" t="s">
        <v>27</v>
      </c>
      <c r="U3" s="38" t="s">
        <v>39</v>
      </c>
      <c r="V3" s="38" t="s">
        <v>30</v>
      </c>
      <c r="W3" s="74" t="s">
        <v>36</v>
      </c>
      <c r="X3" s="38" t="s">
        <v>31</v>
      </c>
      <c r="Y3" s="37" t="s">
        <v>32</v>
      </c>
      <c r="Z3" s="41" t="s">
        <v>33</v>
      </c>
    </row>
    <row r="4" spans="1:26" x14ac:dyDescent="0.25">
      <c r="A4" s="65">
        <v>4</v>
      </c>
      <c r="B4" s="65">
        <v>8</v>
      </c>
      <c r="C4" s="65">
        <v>24</v>
      </c>
      <c r="D4" s="66" t="s">
        <v>0</v>
      </c>
      <c r="E4" s="66">
        <v>7.4999999999999997E-2</v>
      </c>
      <c r="F4" s="7">
        <f>(A4+B4)*C4</f>
        <v>288</v>
      </c>
      <c r="G4" s="7">
        <f>(A4+B4)/E4</f>
        <v>160</v>
      </c>
      <c r="H4" s="7">
        <f t="shared" ref="H4" si="0">C4/10</f>
        <v>2.4</v>
      </c>
      <c r="I4" s="66">
        <v>4</v>
      </c>
      <c r="J4" s="67">
        <f t="shared" ref="J4" si="1">H4*G4/60</f>
        <v>6.4</v>
      </c>
      <c r="K4" s="67">
        <f>J4+I4</f>
        <v>10.4</v>
      </c>
      <c r="L4" s="68">
        <v>225</v>
      </c>
      <c r="M4" s="69">
        <f>L4/60</f>
        <v>3.75</v>
      </c>
      <c r="N4" s="70">
        <f>ROUNDUP(K4*M4,1)</f>
        <v>39</v>
      </c>
      <c r="O4" s="197">
        <f>G41</f>
        <v>26.4</v>
      </c>
      <c r="P4" s="450">
        <f>IF(N4&gt;O4, N4, O4)</f>
        <v>39</v>
      </c>
      <c r="Q4" s="23" t="s">
        <v>166</v>
      </c>
      <c r="R4" s="32">
        <v>9</v>
      </c>
      <c r="S4" s="33">
        <f>P4*R4</f>
        <v>351</v>
      </c>
      <c r="T4" s="30">
        <v>0</v>
      </c>
      <c r="U4" s="79">
        <v>0.02</v>
      </c>
      <c r="V4" s="33">
        <f>S4+T4</f>
        <v>351</v>
      </c>
      <c r="W4" s="77">
        <f>ROUNDUP(V4*U4,0)</f>
        <v>8</v>
      </c>
      <c r="X4" s="33">
        <f>V4+W4</f>
        <v>359</v>
      </c>
      <c r="Y4" s="57">
        <v>225</v>
      </c>
      <c r="Z4" s="78">
        <f>ROUNDDOWN(Y4/N4,0)</f>
        <v>5</v>
      </c>
    </row>
    <row r="5" spans="1:26" ht="18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Q5" s="24"/>
      <c r="R5" s="21"/>
      <c r="S5" s="27"/>
      <c r="T5" s="28"/>
      <c r="U5" s="72"/>
      <c r="V5" s="27"/>
      <c r="W5" s="76"/>
      <c r="X5" s="27"/>
      <c r="Y5" s="25"/>
      <c r="Z5" s="26"/>
    </row>
    <row r="6" spans="1:26" ht="21" x14ac:dyDescent="0.25">
      <c r="A6" s="458" t="s">
        <v>165</v>
      </c>
      <c r="B6" s="455"/>
      <c r="C6" s="455"/>
      <c r="D6" s="455"/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6"/>
      <c r="P6" s="456"/>
      <c r="Q6" s="459"/>
      <c r="R6" s="459"/>
      <c r="S6" s="457"/>
      <c r="T6" s="22"/>
      <c r="U6" s="22"/>
      <c r="V6" s="22"/>
      <c r="W6" s="75"/>
      <c r="X6" s="22"/>
      <c r="Y6" s="22"/>
      <c r="Z6" s="22"/>
    </row>
    <row r="7" spans="1:26" ht="60" x14ac:dyDescent="0.25">
      <c r="A7" s="2" t="s">
        <v>23</v>
      </c>
      <c r="B7" s="2" t="s">
        <v>8</v>
      </c>
      <c r="C7" s="2" t="s">
        <v>7</v>
      </c>
      <c r="D7" s="2" t="s">
        <v>2</v>
      </c>
      <c r="E7" s="2" t="s">
        <v>1</v>
      </c>
      <c r="F7" s="2" t="s">
        <v>6</v>
      </c>
      <c r="G7" s="2" t="s">
        <v>3</v>
      </c>
      <c r="H7" s="2" t="s">
        <v>21</v>
      </c>
      <c r="I7" s="2" t="s">
        <v>9</v>
      </c>
      <c r="J7" s="2" t="s">
        <v>4</v>
      </c>
      <c r="K7" s="2" t="s">
        <v>10</v>
      </c>
      <c r="L7" s="2" t="s">
        <v>24</v>
      </c>
      <c r="M7" s="2" t="s">
        <v>25</v>
      </c>
      <c r="N7" s="195" t="s">
        <v>145</v>
      </c>
      <c r="O7" s="196" t="s">
        <v>144</v>
      </c>
      <c r="P7" s="451" t="s">
        <v>146</v>
      </c>
      <c r="Q7" s="194"/>
      <c r="R7" s="38" t="s">
        <v>29</v>
      </c>
      <c r="S7" s="37" t="s">
        <v>34</v>
      </c>
      <c r="T7" s="37" t="s">
        <v>27</v>
      </c>
      <c r="U7" s="38" t="s">
        <v>39</v>
      </c>
      <c r="V7" s="38" t="s">
        <v>30</v>
      </c>
      <c r="W7" s="74" t="s">
        <v>36</v>
      </c>
      <c r="X7" s="38" t="s">
        <v>31</v>
      </c>
      <c r="Y7" s="37" t="s">
        <v>32</v>
      </c>
      <c r="Z7" s="41" t="s">
        <v>33</v>
      </c>
    </row>
    <row r="8" spans="1:26" x14ac:dyDescent="0.25">
      <c r="A8" s="65">
        <v>8.5</v>
      </c>
      <c r="B8" s="65">
        <v>26</v>
      </c>
      <c r="C8" s="65">
        <v>109</v>
      </c>
      <c r="D8" s="66" t="s">
        <v>0</v>
      </c>
      <c r="E8" s="66">
        <v>0.06</v>
      </c>
      <c r="F8" s="7">
        <f>(A8+B8)*C8</f>
        <v>3760.5</v>
      </c>
      <c r="G8" s="7">
        <f>(A8+B8)/E8</f>
        <v>575</v>
      </c>
      <c r="H8" s="7">
        <f t="shared" ref="H8" si="2">C8/10</f>
        <v>10.9</v>
      </c>
      <c r="I8" s="66">
        <v>4</v>
      </c>
      <c r="J8" s="67">
        <f t="shared" ref="J8" si="3">H8*G8/60</f>
        <v>104.45833333333333</v>
      </c>
      <c r="K8" s="67">
        <f>J8+I8</f>
        <v>108.45833333333333</v>
      </c>
      <c r="L8" s="68">
        <v>225</v>
      </c>
      <c r="M8" s="69">
        <f>L8/60</f>
        <v>3.75</v>
      </c>
      <c r="N8" s="70">
        <f>ROUNDUP(K8*M8,1)</f>
        <v>406.8</v>
      </c>
      <c r="O8" s="197">
        <f>G42</f>
        <v>966.06927083333346</v>
      </c>
      <c r="P8" s="450">
        <f>IF(N8&gt;O8, N8, O8)</f>
        <v>966.06927083333346</v>
      </c>
      <c r="Q8" s="23" t="s">
        <v>167</v>
      </c>
      <c r="R8" s="32">
        <v>1</v>
      </c>
      <c r="S8" s="33">
        <f>P8*R8</f>
        <v>966.06927083333346</v>
      </c>
      <c r="T8" s="30">
        <v>0</v>
      </c>
      <c r="U8" s="79">
        <v>0.02</v>
      </c>
      <c r="V8" s="33">
        <f>S8+T8</f>
        <v>966.06927083333346</v>
      </c>
      <c r="W8" s="77">
        <f>ROUNDUP(V8*U8,0)</f>
        <v>20</v>
      </c>
      <c r="X8" s="33">
        <f>V8+W8</f>
        <v>986.06927083333346</v>
      </c>
      <c r="Y8" s="57">
        <v>225</v>
      </c>
      <c r="Z8" s="78">
        <f>ROUNDDOWN(Y8/N8,0)</f>
        <v>0</v>
      </c>
    </row>
    <row r="10" spans="1:26" ht="21" x14ac:dyDescent="0.25">
      <c r="B10" s="452" t="s">
        <v>361</v>
      </c>
      <c r="C10" s="453"/>
      <c r="D10" s="453"/>
      <c r="E10" s="453"/>
      <c r="F10" s="453"/>
      <c r="G10" s="453"/>
      <c r="H10" s="453"/>
      <c r="I10" s="453"/>
      <c r="J10" s="453"/>
      <c r="K10" s="453"/>
      <c r="L10" s="453"/>
      <c r="M10" s="453"/>
      <c r="N10" s="453"/>
      <c r="O10" s="453"/>
      <c r="P10" s="453"/>
      <c r="Q10" s="454"/>
      <c r="R10" s="454"/>
      <c r="S10" s="63"/>
      <c r="T10" s="61"/>
      <c r="U10" s="209"/>
      <c r="V10" s="63"/>
      <c r="W10" s="210"/>
      <c r="X10" s="63"/>
      <c r="Y10" s="60"/>
      <c r="Z10" s="211"/>
    </row>
    <row r="11" spans="1:26" ht="60" x14ac:dyDescent="0.25">
      <c r="B11" s="4" t="s">
        <v>13</v>
      </c>
      <c r="C11" s="4" t="s">
        <v>7</v>
      </c>
      <c r="D11" s="2" t="s">
        <v>2</v>
      </c>
      <c r="E11" s="4" t="s">
        <v>1</v>
      </c>
      <c r="F11" s="5" t="s">
        <v>20</v>
      </c>
      <c r="G11" s="4" t="s">
        <v>14</v>
      </c>
      <c r="H11" s="4" t="s">
        <v>15</v>
      </c>
      <c r="I11" s="4" t="s">
        <v>17</v>
      </c>
      <c r="J11" s="4" t="s">
        <v>16</v>
      </c>
      <c r="K11" s="4" t="s">
        <v>18</v>
      </c>
      <c r="L11" s="2" t="s">
        <v>24</v>
      </c>
      <c r="M11" s="2" t="s">
        <v>25</v>
      </c>
      <c r="N11" s="195" t="s">
        <v>145</v>
      </c>
      <c r="O11" s="196" t="s">
        <v>144</v>
      </c>
      <c r="P11" s="6" t="s">
        <v>19</v>
      </c>
      <c r="Q11" s="4"/>
      <c r="R11" s="38" t="s">
        <v>29</v>
      </c>
      <c r="S11" s="44" t="s">
        <v>34</v>
      </c>
      <c r="T11" s="42" t="s">
        <v>27</v>
      </c>
      <c r="U11" s="73" t="s">
        <v>39</v>
      </c>
      <c r="V11" s="44" t="s">
        <v>30</v>
      </c>
      <c r="W11" s="45" t="s">
        <v>36</v>
      </c>
      <c r="X11" s="44" t="s">
        <v>31</v>
      </c>
      <c r="Y11" s="37" t="s">
        <v>32</v>
      </c>
      <c r="Z11" s="41" t="s">
        <v>33</v>
      </c>
    </row>
    <row r="12" spans="1:26" x14ac:dyDescent="0.25">
      <c r="B12" s="14">
        <v>6.5</v>
      </c>
      <c r="C12" s="14">
        <v>144</v>
      </c>
      <c r="D12" s="66" t="s">
        <v>0</v>
      </c>
      <c r="E12" s="16">
        <v>0.105</v>
      </c>
      <c r="F12" s="16">
        <f>B12*3.14</f>
        <v>20.41</v>
      </c>
      <c r="G12" s="17">
        <f>F12/E12</f>
        <v>194.38095238095238</v>
      </c>
      <c r="H12" s="16">
        <f>C12/10</f>
        <v>14.4</v>
      </c>
      <c r="I12" s="16">
        <v>4</v>
      </c>
      <c r="J12" s="19">
        <f>H12*G12/60</f>
        <v>46.651428571428575</v>
      </c>
      <c r="K12" s="20">
        <f>J12+I12</f>
        <v>50.651428571428575</v>
      </c>
      <c r="L12" s="68">
        <v>225</v>
      </c>
      <c r="M12" s="69">
        <f>L12/60</f>
        <v>3.75</v>
      </c>
      <c r="N12" s="70">
        <f>ROUNDUP(K12*M12,1)</f>
        <v>190</v>
      </c>
      <c r="O12" s="449">
        <f>L51</f>
        <v>194</v>
      </c>
      <c r="P12" s="450">
        <f>IF(N12&gt;O12, N12, O12)</f>
        <v>194</v>
      </c>
      <c r="Q12" s="448"/>
      <c r="R12" s="32">
        <v>2</v>
      </c>
      <c r="S12" s="33">
        <f>P12*R12</f>
        <v>388</v>
      </c>
      <c r="T12" s="30">
        <v>0</v>
      </c>
      <c r="U12" s="79">
        <v>0.02</v>
      </c>
      <c r="V12" s="33">
        <f>S12+T12</f>
        <v>388</v>
      </c>
      <c r="W12" s="77">
        <f>ROUNDUP(V12*U12,0)</f>
        <v>8</v>
      </c>
      <c r="X12" s="33">
        <f t="shared" ref="X12" si="4">V12+W12</f>
        <v>396</v>
      </c>
      <c r="Y12" s="57">
        <v>225</v>
      </c>
      <c r="Z12" s="78">
        <f>ROUNDDOWN(Y12/P12,0)</f>
        <v>1</v>
      </c>
    </row>
    <row r="14" spans="1:26" ht="21" x14ac:dyDescent="0.25">
      <c r="A14" s="220" t="s">
        <v>168</v>
      </c>
      <c r="B14" s="217"/>
      <c r="C14" s="217"/>
      <c r="D14" s="217"/>
      <c r="E14" s="217"/>
      <c r="F14" s="217"/>
      <c r="G14" s="217"/>
      <c r="H14" s="217"/>
      <c r="I14" s="217"/>
      <c r="J14" s="10"/>
      <c r="K14" s="10"/>
      <c r="L14" s="10"/>
      <c r="M14" s="10"/>
      <c r="N14" s="10"/>
      <c r="O14" s="193"/>
      <c r="P14" s="193"/>
      <c r="Q14" s="21"/>
      <c r="R14" s="21"/>
      <c r="S14" s="22"/>
      <c r="T14" s="22"/>
      <c r="U14" s="22"/>
      <c r="V14" s="22"/>
      <c r="W14" s="75"/>
      <c r="X14" s="22"/>
      <c r="Y14" s="22"/>
      <c r="Z14" s="22"/>
    </row>
    <row r="15" spans="1:26" ht="60" x14ac:dyDescent="0.25">
      <c r="A15" s="2" t="s">
        <v>23</v>
      </c>
      <c r="B15" s="2" t="s">
        <v>8</v>
      </c>
      <c r="C15" s="2" t="s">
        <v>7</v>
      </c>
      <c r="D15" s="2" t="s">
        <v>2</v>
      </c>
      <c r="E15" s="2" t="s">
        <v>1</v>
      </c>
      <c r="F15" s="2" t="s">
        <v>6</v>
      </c>
      <c r="G15" s="2" t="s">
        <v>3</v>
      </c>
      <c r="H15" s="2" t="s">
        <v>21</v>
      </c>
      <c r="I15" s="2" t="s">
        <v>9</v>
      </c>
      <c r="J15" s="2" t="s">
        <v>4</v>
      </c>
      <c r="K15" s="2" t="s">
        <v>10</v>
      </c>
      <c r="L15" s="2" t="s">
        <v>24</v>
      </c>
      <c r="M15" s="2" t="s">
        <v>25</v>
      </c>
      <c r="N15" s="195" t="s">
        <v>145</v>
      </c>
      <c r="O15" s="196" t="s">
        <v>144</v>
      </c>
      <c r="P15" s="451" t="s">
        <v>146</v>
      </c>
      <c r="Q15" s="194"/>
      <c r="R15" s="38" t="s">
        <v>29</v>
      </c>
      <c r="S15" s="37" t="s">
        <v>34</v>
      </c>
      <c r="T15" s="37" t="s">
        <v>27</v>
      </c>
      <c r="U15" s="38" t="s">
        <v>39</v>
      </c>
      <c r="V15" s="38" t="s">
        <v>30</v>
      </c>
      <c r="W15" s="74" t="s">
        <v>36</v>
      </c>
      <c r="X15" s="38" t="s">
        <v>31</v>
      </c>
      <c r="Y15" s="37" t="s">
        <v>32</v>
      </c>
      <c r="Z15" s="41" t="s">
        <v>33</v>
      </c>
    </row>
    <row r="16" spans="1:26" x14ac:dyDescent="0.25">
      <c r="A16" s="65">
        <v>7.5</v>
      </c>
      <c r="B16" s="65">
        <v>32</v>
      </c>
      <c r="C16" s="65">
        <v>114</v>
      </c>
      <c r="D16" s="66" t="s">
        <v>0</v>
      </c>
      <c r="E16" s="66">
        <v>7.4999999999999997E-2</v>
      </c>
      <c r="F16" s="7">
        <f>(A16+B16)*C16</f>
        <v>4503</v>
      </c>
      <c r="G16" s="7">
        <f>(A16+B16)/E16</f>
        <v>526.66666666666674</v>
      </c>
      <c r="H16" s="7">
        <f t="shared" ref="H16" si="5">C16/10</f>
        <v>11.4</v>
      </c>
      <c r="I16" s="66">
        <v>4</v>
      </c>
      <c r="J16" s="67">
        <f t="shared" ref="J16" si="6">H16*G16/60</f>
        <v>100.06666666666668</v>
      </c>
      <c r="K16" s="67">
        <f>J16+I16</f>
        <v>104.06666666666668</v>
      </c>
      <c r="L16" s="68">
        <v>225</v>
      </c>
      <c r="M16" s="69">
        <f>L16/60</f>
        <v>3.75</v>
      </c>
      <c r="N16" s="70">
        <f>ROUNDUP(K16*M16,1)</f>
        <v>390.3</v>
      </c>
      <c r="O16" s="197">
        <f>W41</f>
        <v>965.9</v>
      </c>
      <c r="P16" s="450">
        <f>IF(N16&gt;O16, N16, O16)</f>
        <v>965.9</v>
      </c>
      <c r="Q16" s="23" t="s">
        <v>166</v>
      </c>
      <c r="R16" s="32">
        <v>75</v>
      </c>
      <c r="S16" s="33">
        <f>P16*R16</f>
        <v>72442.5</v>
      </c>
      <c r="T16" s="30">
        <v>0</v>
      </c>
      <c r="U16" s="79">
        <v>0.02</v>
      </c>
      <c r="V16" s="33">
        <f>S16+T16</f>
        <v>72442.5</v>
      </c>
      <c r="W16" s="77">
        <f>ROUNDUP(V16*U16,0)</f>
        <v>1449</v>
      </c>
      <c r="X16" s="33">
        <f>V16+W16</f>
        <v>73891.5</v>
      </c>
      <c r="Y16" s="57">
        <v>225</v>
      </c>
      <c r="Z16" s="78">
        <f>ROUNDDOWN(Y16/N16,0)</f>
        <v>0</v>
      </c>
    </row>
    <row r="17" spans="1:26" ht="18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Q17" s="24"/>
      <c r="R17" s="21"/>
      <c r="S17" s="27"/>
      <c r="T17" s="28"/>
      <c r="U17" s="72"/>
      <c r="V17" s="27"/>
      <c r="W17" s="76"/>
      <c r="X17" s="27"/>
      <c r="Y17" s="25"/>
      <c r="Z17" s="26"/>
    </row>
    <row r="18" spans="1:26" ht="21" x14ac:dyDescent="0.25">
      <c r="A18" s="220" t="s">
        <v>169</v>
      </c>
      <c r="B18" s="217"/>
      <c r="C18" s="217"/>
      <c r="D18" s="217"/>
      <c r="E18" s="217"/>
      <c r="F18" s="217"/>
      <c r="G18" s="217"/>
      <c r="H18" s="217"/>
      <c r="I18" s="217"/>
      <c r="J18" s="10"/>
      <c r="K18" s="10"/>
      <c r="L18" s="10"/>
      <c r="M18" s="10"/>
      <c r="N18" s="10"/>
      <c r="O18" s="193"/>
      <c r="P18" s="193"/>
      <c r="Q18" s="21"/>
      <c r="R18" s="21"/>
      <c r="S18" s="22"/>
      <c r="T18" s="22"/>
      <c r="U18" s="22"/>
      <c r="V18" s="22"/>
      <c r="W18" s="75"/>
      <c r="X18" s="22"/>
      <c r="Y18" s="22"/>
      <c r="Z18" s="22"/>
    </row>
    <row r="19" spans="1:26" ht="60" x14ac:dyDescent="0.25">
      <c r="A19" s="2" t="s">
        <v>23</v>
      </c>
      <c r="B19" s="2" t="s">
        <v>8</v>
      </c>
      <c r="C19" s="2" t="s">
        <v>7</v>
      </c>
      <c r="D19" s="2" t="s">
        <v>2</v>
      </c>
      <c r="E19" s="2" t="s">
        <v>1</v>
      </c>
      <c r="F19" s="2" t="s">
        <v>6</v>
      </c>
      <c r="G19" s="2" t="s">
        <v>3</v>
      </c>
      <c r="H19" s="2" t="s">
        <v>21</v>
      </c>
      <c r="I19" s="2" t="s">
        <v>9</v>
      </c>
      <c r="J19" s="2" t="s">
        <v>4</v>
      </c>
      <c r="K19" s="2" t="s">
        <v>10</v>
      </c>
      <c r="L19" s="2" t="s">
        <v>24</v>
      </c>
      <c r="M19" s="2" t="s">
        <v>25</v>
      </c>
      <c r="N19" s="195" t="s">
        <v>145</v>
      </c>
      <c r="O19" s="196" t="s">
        <v>144</v>
      </c>
      <c r="P19" s="451" t="s">
        <v>146</v>
      </c>
      <c r="Q19" s="194"/>
      <c r="R19" s="38" t="s">
        <v>29</v>
      </c>
      <c r="S19" s="37" t="s">
        <v>34</v>
      </c>
      <c r="T19" s="37" t="s">
        <v>27</v>
      </c>
      <c r="U19" s="38" t="s">
        <v>39</v>
      </c>
      <c r="V19" s="38" t="s">
        <v>30</v>
      </c>
      <c r="W19" s="74" t="s">
        <v>36</v>
      </c>
      <c r="X19" s="38" t="s">
        <v>31</v>
      </c>
      <c r="Y19" s="37" t="s">
        <v>32</v>
      </c>
      <c r="Z19" s="41" t="s">
        <v>33</v>
      </c>
    </row>
    <row r="20" spans="1:26" x14ac:dyDescent="0.25">
      <c r="A20" s="65">
        <v>7.5</v>
      </c>
      <c r="B20" s="65">
        <v>32</v>
      </c>
      <c r="C20" s="65">
        <v>114</v>
      </c>
      <c r="D20" s="66" t="s">
        <v>0</v>
      </c>
      <c r="E20" s="66">
        <v>0.05</v>
      </c>
      <c r="F20" s="7">
        <f>(A20+B20)*C20</f>
        <v>4503</v>
      </c>
      <c r="G20" s="7">
        <f>(A20+B20)/E20</f>
        <v>790</v>
      </c>
      <c r="H20" s="7">
        <f t="shared" ref="H20" si="7">C20/10</f>
        <v>11.4</v>
      </c>
      <c r="I20" s="66">
        <v>4</v>
      </c>
      <c r="J20" s="67">
        <f t="shared" ref="J20" si="8">H20*G20/60</f>
        <v>150.1</v>
      </c>
      <c r="K20" s="67">
        <f>J20+I20</f>
        <v>154.1</v>
      </c>
      <c r="L20" s="68">
        <v>225</v>
      </c>
      <c r="M20" s="69">
        <f>L20/60</f>
        <v>3.75</v>
      </c>
      <c r="N20" s="70">
        <f>ROUNDUP(K20*M20,1)</f>
        <v>577.9</v>
      </c>
      <c r="O20" s="197">
        <f>W42</f>
        <v>1207.3</v>
      </c>
      <c r="P20" s="450">
        <f>IF(N20&gt;O20, N20, O20)</f>
        <v>1207.3</v>
      </c>
      <c r="Q20" s="23" t="s">
        <v>167</v>
      </c>
      <c r="R20" s="32">
        <v>1</v>
      </c>
      <c r="S20" s="33">
        <f>P20*R20</f>
        <v>1207.3</v>
      </c>
      <c r="T20" s="30">
        <v>125</v>
      </c>
      <c r="U20" s="79">
        <v>0.02</v>
      </c>
      <c r="V20" s="33">
        <f>S20+T20</f>
        <v>1332.3</v>
      </c>
      <c r="W20" s="77">
        <f>ROUNDUP(V20*U20,0)</f>
        <v>27</v>
      </c>
      <c r="X20" s="33">
        <f>V20+W20</f>
        <v>1359.3</v>
      </c>
      <c r="Y20" s="57">
        <v>225</v>
      </c>
      <c r="Z20" s="78">
        <f>ROUNDDOWN(Y20/N20,0)</f>
        <v>0</v>
      </c>
    </row>
    <row r="28" spans="1:26" ht="21" x14ac:dyDescent="0.25">
      <c r="A28" s="15" t="s">
        <v>12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0"/>
      <c r="Q28" s="60"/>
      <c r="R28" s="63"/>
      <c r="S28" s="61"/>
      <c r="T28" s="209"/>
      <c r="U28" s="63"/>
      <c r="V28" s="210"/>
      <c r="W28" s="63"/>
      <c r="X28" s="60"/>
      <c r="Y28" s="211"/>
    </row>
    <row r="29" spans="1:26" ht="45" x14ac:dyDescent="0.25">
      <c r="A29" s="4" t="s">
        <v>13</v>
      </c>
      <c r="B29" s="4" t="s">
        <v>7</v>
      </c>
      <c r="C29" s="2" t="s">
        <v>2</v>
      </c>
      <c r="D29" s="4" t="s">
        <v>1</v>
      </c>
      <c r="E29" s="5" t="s">
        <v>20</v>
      </c>
      <c r="F29" s="4" t="s">
        <v>14</v>
      </c>
      <c r="G29" s="4" t="s">
        <v>15</v>
      </c>
      <c r="H29" s="4" t="s">
        <v>17</v>
      </c>
      <c r="I29" s="4" t="s">
        <v>16</v>
      </c>
      <c r="J29" s="4" t="s">
        <v>18</v>
      </c>
      <c r="K29" s="2" t="s">
        <v>24</v>
      </c>
      <c r="L29" s="2" t="s">
        <v>25</v>
      </c>
      <c r="O29" s="6"/>
      <c r="P29" s="6" t="s">
        <v>19</v>
      </c>
      <c r="Q29" s="38" t="s">
        <v>29</v>
      </c>
      <c r="R29" s="44" t="s">
        <v>34</v>
      </c>
      <c r="S29" s="42" t="s">
        <v>27</v>
      </c>
      <c r="T29" s="73" t="s">
        <v>39</v>
      </c>
      <c r="U29" s="44" t="s">
        <v>30</v>
      </c>
      <c r="V29" s="45" t="s">
        <v>36</v>
      </c>
      <c r="W29" s="44" t="s">
        <v>31</v>
      </c>
      <c r="X29" s="37" t="s">
        <v>32</v>
      </c>
      <c r="Y29" s="41" t="s">
        <v>33</v>
      </c>
    </row>
    <row r="30" spans="1:26" x14ac:dyDescent="0.25">
      <c r="A30" s="14">
        <v>7</v>
      </c>
      <c r="B30" s="14">
        <v>141</v>
      </c>
      <c r="C30" s="66" t="s">
        <v>0</v>
      </c>
      <c r="D30" s="16">
        <v>6.5000000000000002E-2</v>
      </c>
      <c r="E30" s="16">
        <f>A30*3.14</f>
        <v>21.98</v>
      </c>
      <c r="F30" s="17">
        <f>E30/D30</f>
        <v>338.15384615384613</v>
      </c>
      <c r="G30" s="16">
        <f>B30/10</f>
        <v>14.1</v>
      </c>
      <c r="H30" s="16">
        <v>3</v>
      </c>
      <c r="I30" s="19">
        <f>G30*F30/60</f>
        <v>79.466153846153844</v>
      </c>
      <c r="J30" s="20">
        <f>I30+H30</f>
        <v>82.466153846153844</v>
      </c>
      <c r="K30" s="68">
        <v>225</v>
      </c>
      <c r="L30" s="69">
        <f>K30/60</f>
        <v>3.75</v>
      </c>
      <c r="O30" s="212"/>
      <c r="P30" s="18">
        <f>ROUNDUP(J30*L30,1)</f>
        <v>309.3</v>
      </c>
      <c r="Q30" s="32">
        <v>2</v>
      </c>
      <c r="R30" s="33">
        <f>P30*Q30</f>
        <v>618.6</v>
      </c>
      <c r="S30" s="30">
        <v>0</v>
      </c>
      <c r="T30" s="79">
        <v>0.02</v>
      </c>
      <c r="U30" s="33">
        <f>R30+S30</f>
        <v>618.6</v>
      </c>
      <c r="V30" s="77">
        <f>ROUNDUP(U30*T30,0)</f>
        <v>13</v>
      </c>
      <c r="W30" s="33">
        <f t="shared" ref="W30" si="9">U30+V30</f>
        <v>631.6</v>
      </c>
      <c r="X30" s="57">
        <v>225</v>
      </c>
      <c r="Y30" s="78">
        <f>ROUNDDOWN(X30/P30,0)</f>
        <v>0</v>
      </c>
    </row>
    <row r="31" spans="1:26" x14ac:dyDescent="0.25">
      <c r="A31" s="171"/>
      <c r="B31" s="198"/>
      <c r="C31" s="198"/>
      <c r="D31" s="198"/>
      <c r="E31" s="198"/>
      <c r="F31" s="198"/>
      <c r="G31" s="173"/>
    </row>
    <row r="32" spans="1:26" x14ac:dyDescent="0.25">
      <c r="A32" s="174"/>
      <c r="G32" s="176"/>
      <c r="Q32" s="171"/>
      <c r="R32" s="198"/>
      <c r="S32" s="198"/>
      <c r="T32" s="198"/>
      <c r="U32" s="198"/>
      <c r="V32" s="198"/>
      <c r="W32" s="173"/>
      <c r="Y32" t="s">
        <v>184</v>
      </c>
    </row>
    <row r="33" spans="1:25" x14ac:dyDescent="0.25">
      <c r="A33" s="174"/>
      <c r="G33" s="176"/>
      <c r="J33" s="171"/>
      <c r="K33" s="198"/>
      <c r="L33" s="215" t="s">
        <v>163</v>
      </c>
      <c r="M33" s="198"/>
      <c r="N33" s="198"/>
      <c r="O33" s="173"/>
      <c r="Q33" s="174"/>
      <c r="W33" s="176"/>
      <c r="Y33">
        <v>10000</v>
      </c>
    </row>
    <row r="34" spans="1:25" x14ac:dyDescent="0.25">
      <c r="A34" s="174" t="s">
        <v>92</v>
      </c>
      <c r="B34">
        <f>12^3</f>
        <v>1728</v>
      </c>
      <c r="C34" t="s">
        <v>93</v>
      </c>
      <c r="G34" s="176"/>
      <c r="J34" s="174"/>
      <c r="M34" t="s">
        <v>94</v>
      </c>
      <c r="N34">
        <v>62.427959999999999</v>
      </c>
      <c r="O34" s="176"/>
      <c r="Q34" s="174" t="s">
        <v>92</v>
      </c>
      <c r="R34">
        <f>12^3</f>
        <v>1728</v>
      </c>
      <c r="S34" t="s">
        <v>93</v>
      </c>
      <c r="W34" s="176"/>
      <c r="Y34">
        <v>6000</v>
      </c>
    </row>
    <row r="35" spans="1:25" x14ac:dyDescent="0.25">
      <c r="A35" s="174"/>
      <c r="C35" t="s">
        <v>95</v>
      </c>
      <c r="E35" s="161">
        <v>495</v>
      </c>
      <c r="G35" s="176"/>
      <c r="J35" s="174" t="s">
        <v>96</v>
      </c>
      <c r="K35" t="s">
        <v>97</v>
      </c>
      <c r="L35" t="s">
        <v>98</v>
      </c>
      <c r="M35" t="s">
        <v>99</v>
      </c>
      <c r="O35" s="176"/>
      <c r="Q35" s="174"/>
      <c r="S35" t="s">
        <v>95</v>
      </c>
      <c r="U35" s="161">
        <v>305</v>
      </c>
      <c r="W35" s="176"/>
      <c r="Y35">
        <v>4000</v>
      </c>
    </row>
    <row r="36" spans="1:25" x14ac:dyDescent="0.25">
      <c r="A36" s="174"/>
      <c r="C36" t="s">
        <v>161</v>
      </c>
      <c r="E36" s="162">
        <v>0.12</v>
      </c>
      <c r="G36" s="176"/>
      <c r="J36" s="174" t="s">
        <v>101</v>
      </c>
      <c r="K36">
        <v>7075</v>
      </c>
      <c r="L36">
        <v>2.81</v>
      </c>
      <c r="M36">
        <f>L36*$N$34</f>
        <v>175.42256760000001</v>
      </c>
      <c r="O36" s="176"/>
      <c r="Q36" s="174"/>
      <c r="S36" t="s">
        <v>161</v>
      </c>
      <c r="U36" s="162">
        <v>0.2</v>
      </c>
      <c r="W36" s="176"/>
    </row>
    <row r="37" spans="1:25" x14ac:dyDescent="0.25">
      <c r="A37" s="174"/>
      <c r="C37" t="s">
        <v>162</v>
      </c>
      <c r="E37" s="258">
        <v>0.14000000000000001</v>
      </c>
      <c r="G37" s="176"/>
      <c r="J37" s="174" t="s">
        <v>101</v>
      </c>
      <c r="K37">
        <v>2219</v>
      </c>
      <c r="L37">
        <v>2.84</v>
      </c>
      <c r="M37">
        <f>L37*$N$34</f>
        <v>177.29540639999999</v>
      </c>
      <c r="O37" s="176"/>
      <c r="Q37" s="174"/>
      <c r="S37" t="s">
        <v>162</v>
      </c>
      <c r="U37" s="259">
        <v>0.25</v>
      </c>
      <c r="W37" s="176"/>
    </row>
    <row r="38" spans="1:25" x14ac:dyDescent="0.25">
      <c r="A38" s="174"/>
      <c r="G38" s="176"/>
      <c r="J38" s="174" t="s">
        <v>101</v>
      </c>
      <c r="K38">
        <v>6061</v>
      </c>
      <c r="L38">
        <v>2.7</v>
      </c>
      <c r="M38">
        <f>L38*$N$34</f>
        <v>168.55549200000002</v>
      </c>
      <c r="O38" s="176"/>
      <c r="Q38" s="174"/>
      <c r="W38" s="176"/>
    </row>
    <row r="39" spans="1:25" x14ac:dyDescent="0.25">
      <c r="A39" s="174"/>
      <c r="G39" s="176"/>
      <c r="J39" s="174" t="s">
        <v>101</v>
      </c>
      <c r="K39">
        <v>7050</v>
      </c>
      <c r="L39">
        <v>2.83</v>
      </c>
      <c r="M39">
        <f>L39*$N$34</f>
        <v>176.6711268</v>
      </c>
      <c r="O39" s="176"/>
      <c r="Q39" s="174"/>
      <c r="W39" s="176"/>
    </row>
    <row r="40" spans="1:25" x14ac:dyDescent="0.25">
      <c r="A40" s="213" t="s">
        <v>102</v>
      </c>
      <c r="B40" s="163" t="s">
        <v>103</v>
      </c>
      <c r="C40" s="163" t="s">
        <v>104</v>
      </c>
      <c r="D40" s="163" t="s">
        <v>105</v>
      </c>
      <c r="E40" s="163" t="s">
        <v>106</v>
      </c>
      <c r="F40" s="163" t="s">
        <v>107</v>
      </c>
      <c r="G40" s="214" t="s">
        <v>108</v>
      </c>
      <c r="H40" s="163"/>
      <c r="I40" s="163"/>
      <c r="J40" s="213" t="s">
        <v>109</v>
      </c>
      <c r="K40" s="163"/>
      <c r="L40" s="163"/>
      <c r="M40" s="163">
        <v>494.21</v>
      </c>
      <c r="N40" s="163" t="s">
        <v>110</v>
      </c>
      <c r="O40" s="214"/>
      <c r="P40" s="163"/>
      <c r="Q40" s="213" t="s">
        <v>102</v>
      </c>
      <c r="R40" s="163" t="s">
        <v>103</v>
      </c>
      <c r="S40" s="163" t="s">
        <v>104</v>
      </c>
      <c r="T40" s="163" t="s">
        <v>105</v>
      </c>
      <c r="U40" s="163" t="s">
        <v>106</v>
      </c>
      <c r="V40" s="163" t="s">
        <v>107</v>
      </c>
      <c r="W40" s="214" t="s">
        <v>108</v>
      </c>
    </row>
    <row r="41" spans="1:25" x14ac:dyDescent="0.25">
      <c r="A41" s="222">
        <f>A4</f>
        <v>4</v>
      </c>
      <c r="B41" s="164">
        <f>B4</f>
        <v>8</v>
      </c>
      <c r="C41" s="164">
        <f>C4</f>
        <v>24</v>
      </c>
      <c r="D41">
        <f>A41*B41*C41</f>
        <v>768</v>
      </c>
      <c r="E41">
        <f>D41/$B$34</f>
        <v>0.44444444444444442</v>
      </c>
      <c r="F41">
        <f>E41*$E$35</f>
        <v>220</v>
      </c>
      <c r="G41" s="223">
        <f>F41*$E$36</f>
        <v>26.4</v>
      </c>
      <c r="J41" s="174" t="s">
        <v>111</v>
      </c>
      <c r="M41">
        <v>283.39</v>
      </c>
      <c r="N41" t="s">
        <v>112</v>
      </c>
      <c r="O41" s="176"/>
      <c r="Q41" s="222">
        <f>A16</f>
        <v>7.5</v>
      </c>
      <c r="R41" s="164">
        <f>B16</f>
        <v>32</v>
      </c>
      <c r="S41" s="164">
        <f>C16</f>
        <v>114</v>
      </c>
      <c r="T41">
        <f>Q41*R41*S41</f>
        <v>27360</v>
      </c>
      <c r="U41">
        <f>T41/$B$34</f>
        <v>15.833333333333334</v>
      </c>
      <c r="V41">
        <f>U41*$U$35</f>
        <v>4829.166666666667</v>
      </c>
      <c r="W41" s="223">
        <f>ROUNDUP(V41*$U$36, 1)</f>
        <v>965.9</v>
      </c>
    </row>
    <row r="42" spans="1:25" x14ac:dyDescent="0.25">
      <c r="A42" s="224">
        <f>+A8</f>
        <v>8.5</v>
      </c>
      <c r="B42" s="165">
        <f>B8</f>
        <v>26</v>
      </c>
      <c r="C42" s="165">
        <f>C8</f>
        <v>109</v>
      </c>
      <c r="D42">
        <f t="shared" ref="D42:D45" si="10">A42*B42*C42</f>
        <v>24089</v>
      </c>
      <c r="E42">
        <f>D42/$B$34</f>
        <v>13.940393518518519</v>
      </c>
      <c r="F42">
        <f>E42*$E$35</f>
        <v>6900.494791666667</v>
      </c>
      <c r="G42" s="225">
        <f>F42*$E$37</f>
        <v>966.06927083333346</v>
      </c>
      <c r="J42" s="174" t="s">
        <v>113</v>
      </c>
      <c r="M42">
        <v>490</v>
      </c>
      <c r="O42" s="176"/>
      <c r="Q42" s="224">
        <f>A20</f>
        <v>7.5</v>
      </c>
      <c r="R42" s="165">
        <f>B20</f>
        <v>32</v>
      </c>
      <c r="S42" s="165">
        <f>C20</f>
        <v>114</v>
      </c>
      <c r="T42">
        <f t="shared" ref="T42:T45" si="11">Q42*R42*S42</f>
        <v>27360</v>
      </c>
      <c r="U42">
        <f>T42/$B$34</f>
        <v>15.833333333333334</v>
      </c>
      <c r="V42">
        <f>U42*$U$35</f>
        <v>4829.166666666667</v>
      </c>
      <c r="W42" s="225">
        <f>ROUNDUP(V42*$U$37, 1)</f>
        <v>1207.3</v>
      </c>
    </row>
    <row r="43" spans="1:25" x14ac:dyDescent="0.25">
      <c r="A43" s="226">
        <v>5.625</v>
      </c>
      <c r="B43" s="166">
        <v>5.75</v>
      </c>
      <c r="C43" s="166">
        <v>9</v>
      </c>
      <c r="D43">
        <f t="shared" si="10"/>
        <v>291.09375</v>
      </c>
      <c r="E43">
        <f>D43/$B$34</f>
        <v>0.16845703125</v>
      </c>
      <c r="F43">
        <f>E43*$E$35</f>
        <v>83.38623046875</v>
      </c>
      <c r="G43" s="227">
        <f>F43*$E$36</f>
        <v>10.00634765625</v>
      </c>
      <c r="J43" s="174" t="s">
        <v>114</v>
      </c>
      <c r="M43">
        <v>1204.4100000000001</v>
      </c>
      <c r="O43" s="176"/>
      <c r="Q43" s="226">
        <v>5.625</v>
      </c>
      <c r="R43" s="166">
        <v>5.75</v>
      </c>
      <c r="S43" s="166">
        <v>9</v>
      </c>
      <c r="T43">
        <f t="shared" si="11"/>
        <v>291.09375</v>
      </c>
      <c r="U43">
        <f>T43/$B$34</f>
        <v>0.16845703125</v>
      </c>
      <c r="V43">
        <f>U43*$E$35</f>
        <v>83.38623046875</v>
      </c>
      <c r="W43" s="227">
        <f>V43*$E$36</f>
        <v>10.00634765625</v>
      </c>
    </row>
    <row r="44" spans="1:25" x14ac:dyDescent="0.25">
      <c r="A44" s="228">
        <v>11.75</v>
      </c>
      <c r="B44" s="167">
        <v>5.75</v>
      </c>
      <c r="C44" s="167">
        <v>55.875</v>
      </c>
      <c r="D44">
        <f t="shared" si="10"/>
        <v>3775.0546875</v>
      </c>
      <c r="E44">
        <f>D44/$B$34</f>
        <v>2.1846381293402777</v>
      </c>
      <c r="F44">
        <f>E44*$E$35</f>
        <v>1081.3958740234375</v>
      </c>
      <c r="G44" s="229">
        <f>F44*$E$36</f>
        <v>129.76750488281249</v>
      </c>
      <c r="J44" s="174" t="s">
        <v>115</v>
      </c>
      <c r="M44">
        <v>568.5</v>
      </c>
      <c r="O44" s="176"/>
      <c r="Q44" s="228">
        <v>11.75</v>
      </c>
      <c r="R44" s="167">
        <v>5.75</v>
      </c>
      <c r="S44" s="167">
        <v>55.875</v>
      </c>
      <c r="T44">
        <f t="shared" si="11"/>
        <v>3775.0546875</v>
      </c>
      <c r="U44">
        <f>T44/$B$34</f>
        <v>2.1846381293402777</v>
      </c>
      <c r="V44">
        <f>U44*$E$35</f>
        <v>1081.3958740234375</v>
      </c>
      <c r="W44" s="229">
        <f>V44*$E$36</f>
        <v>129.76750488281249</v>
      </c>
    </row>
    <row r="45" spans="1:25" x14ac:dyDescent="0.25">
      <c r="A45" s="230">
        <v>10</v>
      </c>
      <c r="B45" s="231">
        <v>10</v>
      </c>
      <c r="C45" s="231">
        <v>10</v>
      </c>
      <c r="D45" s="178">
        <f t="shared" si="10"/>
        <v>1000</v>
      </c>
      <c r="E45" s="178">
        <f>D45/$B$34</f>
        <v>0.57870370370370372</v>
      </c>
      <c r="F45" s="178">
        <f>E45*$E$35</f>
        <v>286.45833333333331</v>
      </c>
      <c r="G45" s="179">
        <f>F45*$E$36</f>
        <v>34.375</v>
      </c>
      <c r="J45" s="177"/>
      <c r="K45" s="178"/>
      <c r="L45" s="178"/>
      <c r="M45" s="178"/>
      <c r="N45" s="178"/>
      <c r="O45" s="199"/>
      <c r="Q45" s="230">
        <v>10</v>
      </c>
      <c r="R45" s="231">
        <v>10</v>
      </c>
      <c r="S45" s="231">
        <v>10</v>
      </c>
      <c r="T45" s="178">
        <f t="shared" si="11"/>
        <v>1000</v>
      </c>
      <c r="U45" s="178">
        <f>T45/$B$34</f>
        <v>0.57870370370370372</v>
      </c>
      <c r="V45" s="178">
        <f>U45*$E$35</f>
        <v>286.45833333333331</v>
      </c>
      <c r="W45" s="179">
        <f>V45*$E$36</f>
        <v>34.375</v>
      </c>
    </row>
    <row r="49" spans="1:19" ht="76.5" x14ac:dyDescent="0.35">
      <c r="A49" s="95" t="s">
        <v>178</v>
      </c>
      <c r="B49" s="246" t="s">
        <v>176</v>
      </c>
      <c r="C49" s="95" t="s">
        <v>173</v>
      </c>
      <c r="D49" s="95" t="s">
        <v>170</v>
      </c>
      <c r="E49" s="95" t="s">
        <v>171</v>
      </c>
      <c r="F49" s="246" t="s">
        <v>175</v>
      </c>
      <c r="G49" s="95" t="s">
        <v>172</v>
      </c>
      <c r="H49" s="95" t="s">
        <v>174</v>
      </c>
      <c r="I49" s="246" t="s">
        <v>177</v>
      </c>
      <c r="K49" s="184" t="s">
        <v>185</v>
      </c>
      <c r="L49" s="184" t="s">
        <v>186</v>
      </c>
      <c r="O49" s="250" t="s">
        <v>184</v>
      </c>
      <c r="Q49" s="171"/>
      <c r="R49" s="172" t="s">
        <v>119</v>
      </c>
      <c r="S49" s="173"/>
    </row>
    <row r="50" spans="1:19" x14ac:dyDescent="0.25">
      <c r="A50" s="232" t="s">
        <v>179</v>
      </c>
      <c r="B50" s="251">
        <v>13</v>
      </c>
      <c r="C50" s="161">
        <v>60</v>
      </c>
      <c r="D50" s="251">
        <f>B50/2</f>
        <v>6.5</v>
      </c>
      <c r="E50" s="161">
        <v>3.1415926535900001</v>
      </c>
      <c r="F50" s="161">
        <f>E50*(D50^2)</f>
        <v>132.73228961417749</v>
      </c>
      <c r="G50" s="161">
        <f>F50*C50</f>
        <v>7963.9373768506493</v>
      </c>
      <c r="H50" s="161">
        <v>0.28299999999999997</v>
      </c>
      <c r="I50" s="233">
        <f>G50*H50</f>
        <v>2253.7942776487334</v>
      </c>
      <c r="K50" s="257">
        <v>0.14000000000000001</v>
      </c>
      <c r="L50" s="256">
        <f>ROUND(K50*I50, 2)</f>
        <v>315.52999999999997</v>
      </c>
      <c r="O50" s="95">
        <v>6000</v>
      </c>
      <c r="Q50" s="174" t="s">
        <v>32</v>
      </c>
      <c r="S50" s="175">
        <v>250</v>
      </c>
    </row>
    <row r="51" spans="1:19" x14ac:dyDescent="0.25">
      <c r="A51" s="234" t="s">
        <v>180</v>
      </c>
      <c r="B51" s="252">
        <f>B12</f>
        <v>6.5</v>
      </c>
      <c r="C51" s="235">
        <f>C12</f>
        <v>144</v>
      </c>
      <c r="D51" s="252">
        <f>B51/2</f>
        <v>3.25</v>
      </c>
      <c r="E51" s="235">
        <v>3.1415926535900001</v>
      </c>
      <c r="F51" s="235">
        <f t="shared" ref="F51:F54" si="12">E51*(D51^2)</f>
        <v>33.183072403544372</v>
      </c>
      <c r="G51" s="235">
        <f>F51*C51</f>
        <v>4778.3624261103896</v>
      </c>
      <c r="H51" s="235">
        <v>0.28999999999999998</v>
      </c>
      <c r="I51" s="236">
        <f>G51*H51</f>
        <v>1385.7251035720128</v>
      </c>
      <c r="K51" s="257">
        <v>0.14000000000000001</v>
      </c>
      <c r="L51" s="256">
        <f t="shared" ref="L51:L54" si="13">ROUND(K51*I51, 2)</f>
        <v>194</v>
      </c>
      <c r="Q51" s="174" t="s">
        <v>120</v>
      </c>
      <c r="S51" s="175">
        <v>125</v>
      </c>
    </row>
    <row r="52" spans="1:19" x14ac:dyDescent="0.25">
      <c r="A52" s="237" t="s">
        <v>181</v>
      </c>
      <c r="B52" s="253">
        <v>17</v>
      </c>
      <c r="C52" s="238">
        <v>17.25</v>
      </c>
      <c r="D52" s="253">
        <f>B52/2</f>
        <v>8.5</v>
      </c>
      <c r="E52" s="238">
        <v>3.1415926535900001</v>
      </c>
      <c r="F52" s="238">
        <f t="shared" si="12"/>
        <v>226.9800692218775</v>
      </c>
      <c r="G52" s="238">
        <f>F52*C52</f>
        <v>3915.4061940773868</v>
      </c>
      <c r="H52" s="238">
        <v>0.1</v>
      </c>
      <c r="I52" s="239">
        <f>G52*H52</f>
        <v>391.54061940773869</v>
      </c>
      <c r="K52" s="257">
        <v>0.16</v>
      </c>
      <c r="L52" s="256">
        <f t="shared" si="13"/>
        <v>62.65</v>
      </c>
      <c r="Q52" s="174" t="s">
        <v>36</v>
      </c>
      <c r="S52" s="200" t="s">
        <v>122</v>
      </c>
    </row>
    <row r="53" spans="1:19" x14ac:dyDescent="0.25">
      <c r="A53" s="240" t="s">
        <v>182</v>
      </c>
      <c r="B53" s="254">
        <v>13</v>
      </c>
      <c r="C53" s="241">
        <v>148</v>
      </c>
      <c r="D53" s="254">
        <f>B53/2</f>
        <v>6.5</v>
      </c>
      <c r="E53" s="241">
        <v>3.1415926535900001</v>
      </c>
      <c r="F53" s="241">
        <f t="shared" si="12"/>
        <v>132.73228961417749</v>
      </c>
      <c r="G53" s="241">
        <f>F53*C53</f>
        <v>19644.378862898269</v>
      </c>
      <c r="H53" s="241">
        <v>0.16</v>
      </c>
      <c r="I53" s="242">
        <f>G53*H53</f>
        <v>3143.1006180637232</v>
      </c>
      <c r="K53" s="257">
        <v>0.2</v>
      </c>
      <c r="L53" s="256">
        <f t="shared" si="13"/>
        <v>628.62</v>
      </c>
      <c r="Q53" s="174" t="s">
        <v>121</v>
      </c>
      <c r="S53" s="200" t="s">
        <v>310</v>
      </c>
    </row>
    <row r="54" spans="1:19" x14ac:dyDescent="0.25">
      <c r="A54" s="243" t="s">
        <v>187</v>
      </c>
      <c r="B54" s="255">
        <v>7</v>
      </c>
      <c r="C54" s="244">
        <v>20.375</v>
      </c>
      <c r="D54" s="255">
        <f>B54/2</f>
        <v>3.5</v>
      </c>
      <c r="E54" s="244">
        <v>3.1415926535900001</v>
      </c>
      <c r="F54" s="244">
        <f t="shared" si="12"/>
        <v>38.4845100064775</v>
      </c>
      <c r="G54" s="244">
        <f>F54*C54</f>
        <v>784.12189138197903</v>
      </c>
      <c r="H54" s="244">
        <v>0.29949999999999999</v>
      </c>
      <c r="I54" s="245">
        <f>G54*H54</f>
        <v>234.84450646890272</v>
      </c>
      <c r="K54" s="257">
        <v>0.16</v>
      </c>
      <c r="L54" s="256">
        <f t="shared" si="13"/>
        <v>37.58</v>
      </c>
      <c r="Q54" s="177" t="s">
        <v>124</v>
      </c>
      <c r="R54" s="178"/>
      <c r="S54" s="201" t="s">
        <v>156</v>
      </c>
    </row>
  </sheetData>
  <conditionalFormatting sqref="I50:I54">
    <cfRule type="cellIs" dxfId="24" priority="1" operator="greaterThan">
      <formula>$Q$24</formula>
    </cfRule>
  </conditionalFormatting>
  <conditionalFormatting sqref="I54">
    <cfRule type="cellIs" dxfId="23" priority="7" operator="greaterThan">
      <formula>6296.819819</formula>
    </cfRule>
    <cfRule type="cellIs" dxfId="22" priority="8" operator="greaterThan">
      <formula>$Q$24</formula>
    </cfRule>
  </conditionalFormatting>
  <conditionalFormatting sqref="L54">
    <cfRule type="cellIs" dxfId="21" priority="2" operator="greaterThan">
      <formula>960</formula>
    </cfRule>
    <cfRule type="cellIs" priority="3" operator="greaterThan">
      <formula>960</formula>
    </cfRule>
    <cfRule type="expression" priority="4">
      <formula>$K$28</formula>
    </cfRule>
    <cfRule type="aboveAverage" priority="5" aboveAverage="0"/>
    <cfRule type="expression" priority="6">
      <formula>"IF K28 IS RED"</formula>
    </cfRule>
  </conditionalFormatting>
  <conditionalFormatting sqref="P4">
    <cfRule type="expression" dxfId="20" priority="14">
      <formula>$F$41&gt;$Y$33</formula>
    </cfRule>
  </conditionalFormatting>
  <conditionalFormatting sqref="P8">
    <cfRule type="expression" dxfId="19" priority="13">
      <formula>$F$42&gt;$Y$33</formula>
    </cfRule>
  </conditionalFormatting>
  <conditionalFormatting sqref="P12">
    <cfRule type="expression" dxfId="18" priority="9">
      <formula>$F$42&gt;$Y$33</formula>
    </cfRule>
  </conditionalFormatting>
  <conditionalFormatting sqref="P16">
    <cfRule type="expression" dxfId="17" priority="11">
      <formula>$V$41&gt;$Y$33</formula>
    </cfRule>
    <cfRule type="expression" priority="12">
      <formula>$V$41&gt;$Y$33</formula>
    </cfRule>
  </conditionalFormatting>
  <conditionalFormatting sqref="P20">
    <cfRule type="expression" dxfId="16" priority="10">
      <formula>$V$42&gt;$Y$33</formula>
    </cfRule>
  </conditionalFormatting>
  <pageMargins left="0.7" right="0.7" top="0.75" bottom="0.75" header="0.3" footer="0.3"/>
  <drawing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24F3-6727-4B57-8E13-FE9B7441CBD9}">
  <sheetPr>
    <tabColor rgb="FFFF0000"/>
  </sheetPr>
  <dimension ref="A1"/>
  <sheetViews>
    <sheetView workbookViewId="0">
      <selection activeCell="D40" sqref="D40"/>
    </sheetView>
  </sheetViews>
  <sheetFormatPr defaultRowHeight="15" x14ac:dyDescent="0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2BA2-5CBC-439E-9D18-EDE862005BA5}">
  <sheetPr>
    <tabColor rgb="FFFF0000"/>
  </sheetPr>
  <dimension ref="A1:AG43"/>
  <sheetViews>
    <sheetView zoomScaleNormal="100" workbookViewId="0">
      <selection activeCell="B5" sqref="B5:Y7"/>
    </sheetView>
  </sheetViews>
  <sheetFormatPr defaultRowHeight="15" x14ac:dyDescent="0.25"/>
  <cols>
    <col min="4" max="8" width="9.140625" customWidth="1"/>
    <col min="10" max="13" width="9.140625" customWidth="1"/>
    <col min="17" max="17" width="10.28515625" customWidth="1"/>
    <col min="18" max="18" width="10.42578125" customWidth="1"/>
    <col min="19" max="19" width="17.42578125" customWidth="1"/>
    <col min="21" max="21" width="11.5703125" customWidth="1"/>
    <col min="23" max="23" width="14.5703125" customWidth="1"/>
    <col min="24" max="24" width="14.85546875" customWidth="1"/>
    <col min="25" max="25" width="11.28515625" customWidth="1"/>
    <col min="28" max="28" width="10.28515625" bestFit="1" customWidth="1"/>
    <col min="29" max="29" width="12.42578125" bestFit="1" customWidth="1"/>
    <col min="30" max="30" width="10.28515625" bestFit="1" customWidth="1"/>
  </cols>
  <sheetData>
    <row r="1" spans="1:32" ht="21" x14ac:dyDescent="0.25">
      <c r="A1" s="80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82"/>
      <c r="Q1" s="82"/>
      <c r="R1" s="181"/>
      <c r="S1" s="181"/>
      <c r="T1" s="181"/>
      <c r="U1" s="181"/>
      <c r="V1" s="282"/>
      <c r="W1" s="181"/>
      <c r="X1" s="181"/>
      <c r="Y1" s="88"/>
    </row>
    <row r="2" spans="1:32" ht="45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3" t="s">
        <v>5</v>
      </c>
      <c r="O2" s="34"/>
      <c r="P2" s="38" t="s">
        <v>29</v>
      </c>
      <c r="Q2" s="38" t="s">
        <v>203</v>
      </c>
      <c r="R2" s="37" t="s">
        <v>34</v>
      </c>
      <c r="S2" s="37" t="s">
        <v>27</v>
      </c>
      <c r="T2" s="38" t="s">
        <v>39</v>
      </c>
      <c r="U2" s="38" t="s">
        <v>30</v>
      </c>
      <c r="V2" s="74" t="s">
        <v>36</v>
      </c>
      <c r="W2" s="38" t="s">
        <v>31</v>
      </c>
      <c r="X2" s="37" t="s">
        <v>32</v>
      </c>
      <c r="Y2" s="41" t="s">
        <v>33</v>
      </c>
    </row>
    <row r="3" spans="1:32" x14ac:dyDescent="0.25">
      <c r="A3" s="65">
        <v>2.1880000000000002</v>
      </c>
      <c r="B3" s="65">
        <v>17.5</v>
      </c>
      <c r="C3" s="65">
        <v>98</v>
      </c>
      <c r="D3" s="7" t="s">
        <v>0</v>
      </c>
      <c r="E3" s="66">
        <v>0.125</v>
      </c>
      <c r="F3" s="7">
        <f>(A3+B3)*C3</f>
        <v>1929.424</v>
      </c>
      <c r="G3" s="7">
        <f>(A3+B3)/E3</f>
        <v>157.50399999999999</v>
      </c>
      <c r="H3" s="7">
        <f t="shared" ref="H3" si="0">C3/10</f>
        <v>9.8000000000000007</v>
      </c>
      <c r="I3" s="66">
        <v>3.5</v>
      </c>
      <c r="J3" s="13">
        <f t="shared" ref="J3" si="1">H3*G3/60</f>
        <v>25.725653333333334</v>
      </c>
      <c r="K3" s="13">
        <f>J3+I3</f>
        <v>29.225653333333334</v>
      </c>
      <c r="L3" s="11">
        <v>225</v>
      </c>
      <c r="M3" s="12">
        <f>L3/60</f>
        <v>3.75</v>
      </c>
      <c r="N3" s="70">
        <f>ROUNDUP(K3*M3,1)</f>
        <v>109.6</v>
      </c>
      <c r="O3" s="23" t="s">
        <v>215</v>
      </c>
      <c r="P3" s="32">
        <v>1</v>
      </c>
      <c r="Q3" s="35">
        <f>N3*P3</f>
        <v>109.6</v>
      </c>
      <c r="R3" s="33">
        <f>IF(Q3&gt;X3, Q3, X3)</f>
        <v>225</v>
      </c>
      <c r="S3" s="30">
        <v>0</v>
      </c>
      <c r="T3" s="79">
        <v>0</v>
      </c>
      <c r="U3" s="33">
        <f>R3+S3</f>
        <v>225</v>
      </c>
      <c r="V3" s="77">
        <v>0</v>
      </c>
      <c r="W3" s="33">
        <f>U3+V3</f>
        <v>225</v>
      </c>
      <c r="X3" s="57">
        <v>225</v>
      </c>
      <c r="Y3" s="78">
        <f>ROUNDDOWN(X3/N3,0)</f>
        <v>2</v>
      </c>
    </row>
    <row r="4" spans="1:32" ht="18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4"/>
      <c r="P4" s="21"/>
      <c r="Q4" s="21"/>
      <c r="R4" s="27"/>
      <c r="S4" s="28"/>
      <c r="T4" s="72"/>
      <c r="U4" s="27"/>
      <c r="V4" s="76"/>
      <c r="W4" s="27"/>
      <c r="X4" s="25"/>
      <c r="Y4" s="26"/>
    </row>
    <row r="5" spans="1:32" ht="21" x14ac:dyDescent="0.25">
      <c r="A5" s="1"/>
      <c r="B5" s="80" t="s">
        <v>451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2"/>
      <c r="P5" s="82"/>
      <c r="Q5" s="82"/>
      <c r="R5" s="83"/>
      <c r="S5" s="84"/>
      <c r="T5" s="85"/>
      <c r="U5" s="83"/>
      <c r="V5" s="86"/>
      <c r="W5" s="83"/>
      <c r="X5" s="82"/>
      <c r="Y5" s="87"/>
    </row>
    <row r="6" spans="1:32" ht="45" x14ac:dyDescent="0.25">
      <c r="A6" s="1"/>
      <c r="B6" s="4" t="s">
        <v>13</v>
      </c>
      <c r="C6" s="4" t="s">
        <v>7</v>
      </c>
      <c r="D6" s="2" t="s">
        <v>2</v>
      </c>
      <c r="E6" s="4" t="s">
        <v>1</v>
      </c>
      <c r="F6" s="5" t="s">
        <v>20</v>
      </c>
      <c r="G6" s="4" t="s">
        <v>14</v>
      </c>
      <c r="H6" s="4" t="s">
        <v>15</v>
      </c>
      <c r="I6" s="4" t="s">
        <v>17</v>
      </c>
      <c r="J6" s="4" t="s">
        <v>16</v>
      </c>
      <c r="K6" s="4" t="s">
        <v>18</v>
      </c>
      <c r="L6" s="2" t="s">
        <v>24</v>
      </c>
      <c r="M6" s="2" t="s">
        <v>25</v>
      </c>
      <c r="N6" s="6" t="s">
        <v>19</v>
      </c>
      <c r="O6" s="37"/>
      <c r="P6" s="38" t="s">
        <v>29</v>
      </c>
      <c r="Q6" s="38" t="s">
        <v>203</v>
      </c>
      <c r="R6" s="44" t="s">
        <v>34</v>
      </c>
      <c r="S6" s="42" t="s">
        <v>27</v>
      </c>
      <c r="T6" s="73" t="s">
        <v>39</v>
      </c>
      <c r="U6" s="44" t="s">
        <v>30</v>
      </c>
      <c r="V6" s="45" t="s">
        <v>36</v>
      </c>
      <c r="W6" s="44" t="s">
        <v>31</v>
      </c>
      <c r="X6" s="37" t="s">
        <v>32</v>
      </c>
      <c r="Y6" s="41" t="s">
        <v>33</v>
      </c>
    </row>
    <row r="7" spans="1:32" x14ac:dyDescent="0.25">
      <c r="A7" s="1"/>
      <c r="B7" s="14">
        <v>11</v>
      </c>
      <c r="C7" s="14">
        <v>75</v>
      </c>
      <c r="D7" s="7" t="s">
        <v>0</v>
      </c>
      <c r="E7" s="16">
        <v>0.14499999999999999</v>
      </c>
      <c r="F7" s="16">
        <f>B7*3.14</f>
        <v>34.54</v>
      </c>
      <c r="G7" s="17">
        <f>F7/E7</f>
        <v>238.20689655172416</v>
      </c>
      <c r="H7" s="16">
        <f>C7/10</f>
        <v>7.5</v>
      </c>
      <c r="I7" s="16">
        <v>2.2000000000000002</v>
      </c>
      <c r="J7" s="19">
        <f>H7*G7/60</f>
        <v>29.77586206896552</v>
      </c>
      <c r="K7" s="20">
        <f>J7+I7</f>
        <v>31.975862068965519</v>
      </c>
      <c r="L7" s="11">
        <v>225</v>
      </c>
      <c r="M7" s="12">
        <f>L7/60</f>
        <v>3.75</v>
      </c>
      <c r="N7" s="18">
        <f>ROUNDUP(K7*M7,1)</f>
        <v>120</v>
      </c>
      <c r="O7" s="21" t="s">
        <v>215</v>
      </c>
      <c r="P7" s="32">
        <v>6</v>
      </c>
      <c r="Q7" s="35">
        <f>N7*P7</f>
        <v>720</v>
      </c>
      <c r="R7" s="33">
        <f>N7*P7</f>
        <v>720</v>
      </c>
      <c r="S7" s="30">
        <v>0</v>
      </c>
      <c r="T7" s="79">
        <v>0</v>
      </c>
      <c r="U7" s="33">
        <f>IF(R7&gt;X7, R7, X7)</f>
        <v>720</v>
      </c>
      <c r="V7" s="77">
        <f>ROUNDUP(U7*T7,0)</f>
        <v>0</v>
      </c>
      <c r="W7" s="33">
        <f t="shared" ref="W7" si="2">U7+V7</f>
        <v>720</v>
      </c>
      <c r="X7" s="57">
        <v>225</v>
      </c>
      <c r="Y7" s="78">
        <f>ROUNDDOWN(X7/N7,0)</f>
        <v>1</v>
      </c>
    </row>
    <row r="8" spans="1:32" ht="21" x14ac:dyDescent="0.25">
      <c r="A8" s="1"/>
      <c r="B8" s="80" t="s">
        <v>452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2"/>
      <c r="P8" s="82"/>
      <c r="Q8" s="82"/>
      <c r="R8" s="83"/>
      <c r="S8" s="84"/>
      <c r="T8" s="85"/>
      <c r="U8" s="83"/>
      <c r="V8" s="86"/>
      <c r="W8" s="83"/>
      <c r="X8" s="82"/>
      <c r="Y8" s="87"/>
    </row>
    <row r="9" spans="1:32" ht="45" x14ac:dyDescent="0.25">
      <c r="A9" s="1"/>
      <c r="B9" s="4" t="s">
        <v>13</v>
      </c>
      <c r="C9" s="4" t="s">
        <v>7</v>
      </c>
      <c r="D9" s="2" t="s">
        <v>2</v>
      </c>
      <c r="E9" s="4" t="s">
        <v>1</v>
      </c>
      <c r="F9" s="5" t="s">
        <v>20</v>
      </c>
      <c r="G9" s="4" t="s">
        <v>14</v>
      </c>
      <c r="H9" s="4" t="s">
        <v>15</v>
      </c>
      <c r="I9" s="4" t="s">
        <v>17</v>
      </c>
      <c r="J9" s="4" t="s">
        <v>16</v>
      </c>
      <c r="K9" s="4" t="s">
        <v>18</v>
      </c>
      <c r="L9" s="2" t="s">
        <v>24</v>
      </c>
      <c r="M9" s="2" t="s">
        <v>25</v>
      </c>
      <c r="N9" s="6" t="s">
        <v>19</v>
      </c>
      <c r="O9" s="37"/>
      <c r="P9" s="38" t="s">
        <v>29</v>
      </c>
      <c r="Q9" s="38" t="s">
        <v>203</v>
      </c>
      <c r="R9" s="44" t="s">
        <v>34</v>
      </c>
      <c r="S9" s="42" t="s">
        <v>27</v>
      </c>
      <c r="T9" s="73" t="s">
        <v>39</v>
      </c>
      <c r="U9" s="44" t="s">
        <v>30</v>
      </c>
      <c r="V9" s="45" t="s">
        <v>36</v>
      </c>
      <c r="W9" s="44" t="s">
        <v>31</v>
      </c>
      <c r="X9" s="37" t="s">
        <v>32</v>
      </c>
      <c r="Y9" s="41" t="s">
        <v>33</v>
      </c>
    </row>
    <row r="10" spans="1:32" x14ac:dyDescent="0.25">
      <c r="A10" s="1"/>
      <c r="B10" s="14">
        <v>11</v>
      </c>
      <c r="C10" s="14">
        <v>75</v>
      </c>
      <c r="D10" s="7" t="s">
        <v>0</v>
      </c>
      <c r="E10" s="16">
        <v>0.125</v>
      </c>
      <c r="F10" s="16">
        <f>B10*3.14</f>
        <v>34.54</v>
      </c>
      <c r="G10" s="17">
        <f>F10/E10</f>
        <v>276.32</v>
      </c>
      <c r="H10" s="16">
        <f>C10/10</f>
        <v>7.5</v>
      </c>
      <c r="I10" s="16">
        <v>2.2000000000000002</v>
      </c>
      <c r="J10" s="19">
        <f>H10*G10/60</f>
        <v>34.54</v>
      </c>
      <c r="K10" s="20">
        <f>J10+I10</f>
        <v>36.74</v>
      </c>
      <c r="L10" s="11">
        <v>225</v>
      </c>
      <c r="M10" s="12">
        <f>L10/60</f>
        <v>3.75</v>
      </c>
      <c r="N10" s="18">
        <f>ROUNDUP(K10*M10,1)</f>
        <v>137.79999999999998</v>
      </c>
      <c r="O10" s="21" t="s">
        <v>215</v>
      </c>
      <c r="P10" s="32">
        <v>6</v>
      </c>
      <c r="Q10" s="35">
        <f>N10*P10</f>
        <v>826.8</v>
      </c>
      <c r="R10" s="33">
        <f>N10*P10</f>
        <v>826.8</v>
      </c>
      <c r="S10" s="30">
        <v>0</v>
      </c>
      <c r="T10" s="79">
        <v>0</v>
      </c>
      <c r="U10" s="33">
        <f>IF(R10&gt;X10, R10, X10)</f>
        <v>826.8</v>
      </c>
      <c r="V10" s="77">
        <f>ROUNDUP(U10*T10,0)</f>
        <v>0</v>
      </c>
      <c r="W10" s="33">
        <f t="shared" ref="W10" si="3">U10+V10</f>
        <v>826.8</v>
      </c>
      <c r="X10" s="57">
        <v>225</v>
      </c>
      <c r="Y10" s="78">
        <f>ROUNDDOWN(X10/N10,0)</f>
        <v>1</v>
      </c>
    </row>
    <row r="11" spans="1:3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1"/>
      <c r="P11" s="21"/>
      <c r="Q11" s="21"/>
      <c r="R11" s="21"/>
      <c r="S11" s="21"/>
      <c r="T11" s="21"/>
      <c r="U11" s="21"/>
      <c r="V11" s="26"/>
      <c r="W11" s="21"/>
      <c r="X11" s="21"/>
      <c r="Y11" s="21"/>
    </row>
    <row r="12" spans="1:32" ht="21" x14ac:dyDescent="0.25">
      <c r="A12" s="9" t="s">
        <v>240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93"/>
      <c r="W12" s="21"/>
      <c r="X12" s="21"/>
      <c r="Y12" s="22"/>
      <c r="Z12" s="22"/>
      <c r="AA12" s="22"/>
      <c r="AB12" s="22"/>
      <c r="AC12" s="75"/>
      <c r="AD12" s="22"/>
      <c r="AE12" s="22"/>
      <c r="AF12" s="88"/>
    </row>
    <row r="13" spans="1:32" ht="49.5" customHeight="1" x14ac:dyDescent="0.25">
      <c r="A13" s="2" t="s">
        <v>217</v>
      </c>
      <c r="B13" s="2" t="s">
        <v>218</v>
      </c>
      <c r="C13" s="2" t="s">
        <v>173</v>
      </c>
      <c r="D13" s="322" t="s">
        <v>2</v>
      </c>
      <c r="E13" s="2" t="s">
        <v>1</v>
      </c>
      <c r="F13" s="322" t="s">
        <v>219</v>
      </c>
      <c r="G13" s="322" t="s">
        <v>20</v>
      </c>
      <c r="H13" s="2" t="s">
        <v>220</v>
      </c>
      <c r="I13" s="322" t="s">
        <v>9</v>
      </c>
      <c r="J13" s="322" t="s">
        <v>221</v>
      </c>
      <c r="K13" s="322" t="s">
        <v>222</v>
      </c>
      <c r="L13" s="322" t="s">
        <v>223</v>
      </c>
      <c r="M13" s="322" t="s">
        <v>224</v>
      </c>
      <c r="N13" s="322" t="s">
        <v>225</v>
      </c>
      <c r="O13" s="322" t="s">
        <v>226</v>
      </c>
      <c r="P13" s="322" t="s">
        <v>228</v>
      </c>
      <c r="Q13" s="322" t="s">
        <v>227</v>
      </c>
      <c r="R13" s="322" t="s">
        <v>10</v>
      </c>
      <c r="S13" s="322" t="s">
        <v>24</v>
      </c>
      <c r="T13" s="322" t="s">
        <v>25</v>
      </c>
      <c r="U13" s="195" t="s">
        <v>230</v>
      </c>
      <c r="V13" s="195"/>
      <c r="W13" s="323"/>
      <c r="X13" s="38" t="s">
        <v>29</v>
      </c>
      <c r="Y13" s="37" t="s">
        <v>34</v>
      </c>
      <c r="Z13" s="37" t="s">
        <v>27</v>
      </c>
      <c r="AA13" s="38" t="s">
        <v>39</v>
      </c>
      <c r="AB13" s="38" t="s">
        <v>30</v>
      </c>
      <c r="AC13" s="74" t="s">
        <v>36</v>
      </c>
      <c r="AD13" s="38" t="s">
        <v>31</v>
      </c>
      <c r="AE13" s="37" t="s">
        <v>32</v>
      </c>
      <c r="AF13" s="41" t="s">
        <v>33</v>
      </c>
    </row>
    <row r="14" spans="1:32" x14ac:dyDescent="0.25">
      <c r="A14" s="65">
        <v>17</v>
      </c>
      <c r="B14" s="65">
        <v>6.75</v>
      </c>
      <c r="C14" s="65">
        <v>14.875</v>
      </c>
      <c r="D14" s="66" t="s">
        <v>0</v>
      </c>
      <c r="E14" s="66">
        <v>0.125</v>
      </c>
      <c r="F14" s="66">
        <f>(A14-B14)/2</f>
        <v>5.125</v>
      </c>
      <c r="G14" s="66">
        <f>A14*3.14159265359</f>
        <v>53.407075111030004</v>
      </c>
      <c r="H14" s="66">
        <v>3.1415926535900001</v>
      </c>
      <c r="I14" s="66">
        <v>5</v>
      </c>
      <c r="J14" s="66">
        <f>(A14+B14)*C14</f>
        <v>353.28125</v>
      </c>
      <c r="K14" s="66">
        <f>F14*G14</f>
        <v>273.71125994402877</v>
      </c>
      <c r="L14" s="66">
        <f>C14/E14</f>
        <v>119</v>
      </c>
      <c r="M14" s="66">
        <f>F14/E14</f>
        <v>41</v>
      </c>
      <c r="N14" s="66">
        <f>G14/10</f>
        <v>5.340707511103</v>
      </c>
      <c r="O14" s="66">
        <f>G14/10</f>
        <v>5.340707511103</v>
      </c>
      <c r="P14" s="67">
        <f t="shared" ref="P14:Q14" si="4">N14*L14/60</f>
        <v>10.592403230354282</v>
      </c>
      <c r="Q14" s="67">
        <f t="shared" si="4"/>
        <v>3.6494834659203832</v>
      </c>
      <c r="R14" s="67">
        <f>P14+I14+Q14</f>
        <v>19.241886696274666</v>
      </c>
      <c r="S14" s="68">
        <v>250</v>
      </c>
      <c r="T14" s="69">
        <f>S14/60</f>
        <v>4.166666666666667</v>
      </c>
      <c r="U14" s="70">
        <f>ROUNDUP(R14*T14,1)</f>
        <v>80.199999999999989</v>
      </c>
      <c r="V14" s="70"/>
      <c r="W14" s="324" t="s">
        <v>229</v>
      </c>
      <c r="X14" s="32">
        <v>30</v>
      </c>
      <c r="Y14" s="33">
        <f>U14*X14</f>
        <v>2405.9999999999995</v>
      </c>
      <c r="Z14" s="30">
        <v>0</v>
      </c>
      <c r="AA14" s="79">
        <v>0</v>
      </c>
      <c r="AB14" s="33">
        <f>Y14+Z14</f>
        <v>2405.9999999999995</v>
      </c>
      <c r="AC14" s="77">
        <f>ROUNDUP(AB14*AA14,0)</f>
        <v>0</v>
      </c>
      <c r="AD14" s="33">
        <f>AB14+AC14</f>
        <v>2405.9999999999995</v>
      </c>
      <c r="AE14" s="57">
        <v>225</v>
      </c>
      <c r="AF14" s="78">
        <f>ROUNDDOWN(AE14/U14,0)</f>
        <v>2</v>
      </c>
    </row>
    <row r="15" spans="1:3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1"/>
      <c r="P15" s="21"/>
      <c r="Q15" s="21"/>
      <c r="R15" s="21"/>
      <c r="S15" s="21"/>
      <c r="T15" s="21"/>
      <c r="U15" s="288"/>
    </row>
    <row r="16" spans="1:32" ht="21.75" thickBot="1" x14ac:dyDescent="0.4">
      <c r="A16" s="171"/>
      <c r="B16" s="172" t="s">
        <v>119</v>
      </c>
      <c r="C16" s="17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71"/>
      <c r="P16" s="198"/>
      <c r="Q16" s="172" t="s">
        <v>149</v>
      </c>
      <c r="R16" s="173"/>
      <c r="U16" s="319" t="s">
        <v>303</v>
      </c>
      <c r="V16" s="320"/>
      <c r="W16" s="320"/>
      <c r="X16" s="21"/>
      <c r="Z16" s="319" t="s">
        <v>304</v>
      </c>
      <c r="AA16" s="320"/>
      <c r="AB16" s="320"/>
      <c r="AC16" s="21"/>
    </row>
    <row r="17" spans="1:29" ht="16.5" thickTop="1" x14ac:dyDescent="0.25">
      <c r="A17" s="174" t="s">
        <v>32</v>
      </c>
      <c r="C17" s="280">
        <v>225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74" t="s">
        <v>150</v>
      </c>
      <c r="R17" s="176"/>
      <c r="U17" s="313" t="s">
        <v>207</v>
      </c>
      <c r="V17" s="59"/>
      <c r="W17" s="198"/>
      <c r="X17" s="314">
        <f>N3</f>
        <v>109.6</v>
      </c>
      <c r="Y17" s="174"/>
      <c r="Z17" s="362" t="s">
        <v>207</v>
      </c>
      <c r="AA17" s="363"/>
      <c r="AB17" s="352"/>
      <c r="AC17" s="364">
        <f>U14</f>
        <v>80.199999999999989</v>
      </c>
    </row>
    <row r="18" spans="1:29" ht="15.75" x14ac:dyDescent="0.25">
      <c r="A18" s="174" t="s">
        <v>120</v>
      </c>
      <c r="C18" s="280" t="s">
        <v>160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74" t="s">
        <v>151</v>
      </c>
      <c r="R18" s="176"/>
      <c r="U18" s="291" t="s">
        <v>208</v>
      </c>
      <c r="V18" s="1"/>
      <c r="X18" s="315">
        <f>P3</f>
        <v>1</v>
      </c>
      <c r="Y18" s="174"/>
      <c r="Z18" s="365" t="s">
        <v>208</v>
      </c>
      <c r="AA18" s="1"/>
      <c r="AC18" s="366">
        <f>X14</f>
        <v>30</v>
      </c>
    </row>
    <row r="19" spans="1:29" ht="15.75" x14ac:dyDescent="0.25">
      <c r="A19" s="174" t="s">
        <v>36</v>
      </c>
      <c r="C19" s="200" t="s">
        <v>122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74"/>
      <c r="R19" s="176"/>
      <c r="U19" s="291" t="s">
        <v>209</v>
      </c>
      <c r="V19" s="1"/>
      <c r="X19" s="316">
        <f>U3</f>
        <v>225</v>
      </c>
      <c r="Y19" s="174"/>
      <c r="Z19" s="365" t="s">
        <v>209</v>
      </c>
      <c r="AA19" s="1"/>
      <c r="AC19" s="367">
        <f>Z3</f>
        <v>0</v>
      </c>
    </row>
    <row r="20" spans="1:29" ht="15.75" x14ac:dyDescent="0.25">
      <c r="A20" s="174" t="s">
        <v>121</v>
      </c>
      <c r="C20" s="200" t="s">
        <v>123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74" t="s">
        <v>152</v>
      </c>
      <c r="R20" s="176"/>
      <c r="U20" s="291" t="s">
        <v>210</v>
      </c>
      <c r="V20" s="1"/>
      <c r="X20" s="316">
        <f>V3</f>
        <v>0</v>
      </c>
      <c r="Y20" s="174"/>
      <c r="Z20" s="365" t="s">
        <v>210</v>
      </c>
      <c r="AA20" s="1"/>
      <c r="AC20" s="367">
        <f>AA3</f>
        <v>0</v>
      </c>
    </row>
    <row r="21" spans="1:29" ht="15.75" x14ac:dyDescent="0.25">
      <c r="A21" s="177" t="s">
        <v>124</v>
      </c>
      <c r="B21" s="178"/>
      <c r="C21" s="201" t="s">
        <v>160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74" t="s">
        <v>153</v>
      </c>
      <c r="R21" s="176"/>
      <c r="U21" s="291" t="s">
        <v>216</v>
      </c>
      <c r="X21" s="321">
        <f>S3</f>
        <v>0</v>
      </c>
      <c r="Y21" s="174"/>
      <c r="Z21" s="365" t="s">
        <v>216</v>
      </c>
      <c r="AC21" s="368">
        <f>Z14</f>
        <v>0</v>
      </c>
    </row>
    <row r="22" spans="1:29" ht="16.5" thickBot="1" x14ac:dyDescent="0.3">
      <c r="A22" s="576" t="s">
        <v>415</v>
      </c>
      <c r="B22" s="576"/>
      <c r="C22" s="57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74"/>
      <c r="R22" s="176"/>
      <c r="U22" s="317" t="s">
        <v>211</v>
      </c>
      <c r="V22" s="207"/>
      <c r="W22" s="178"/>
      <c r="X22" s="318">
        <f>W3</f>
        <v>225</v>
      </c>
      <c r="Y22" s="174"/>
      <c r="Z22" s="369" t="s">
        <v>211</v>
      </c>
      <c r="AA22" s="370"/>
      <c r="AB22" s="354"/>
      <c r="AC22" s="371">
        <f>AD14</f>
        <v>2405.9999999999995</v>
      </c>
    </row>
    <row r="23" spans="1:29" ht="16.5" thickTop="1" x14ac:dyDescent="0.25">
      <c r="A23" s="577"/>
      <c r="B23" s="577"/>
      <c r="C23" s="57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74" t="s">
        <v>154</v>
      </c>
      <c r="R23" s="176"/>
      <c r="U23" s="289" t="s">
        <v>212</v>
      </c>
      <c r="V23" s="289"/>
      <c r="W23" s="289"/>
      <c r="X23" s="1"/>
      <c r="Y23" s="1"/>
      <c r="Z23" s="289" t="s">
        <v>212</v>
      </c>
      <c r="AA23" s="289"/>
      <c r="AB23" s="289"/>
      <c r="AC23" s="1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77" t="s">
        <v>155</v>
      </c>
      <c r="P24" s="178"/>
      <c r="Q24" s="178"/>
      <c r="R24" s="199"/>
      <c r="Y24" s="1"/>
    </row>
    <row r="26" spans="1:29" ht="16.5" thickBot="1" x14ac:dyDescent="0.3">
      <c r="U26" s="319" t="s">
        <v>453</v>
      </c>
      <c r="V26" s="320"/>
      <c r="W26" s="320"/>
      <c r="X26" s="21"/>
      <c r="Z26" s="319" t="s">
        <v>454</v>
      </c>
    </row>
    <row r="27" spans="1:29" ht="16.5" thickTop="1" x14ac:dyDescent="0.25">
      <c r="U27" s="362" t="s">
        <v>207</v>
      </c>
      <c r="V27" s="363"/>
      <c r="W27" s="352"/>
      <c r="X27" s="364">
        <f>N7</f>
        <v>120</v>
      </c>
      <c r="Z27" s="362" t="s">
        <v>207</v>
      </c>
      <c r="AA27" s="363"/>
      <c r="AB27" s="352"/>
      <c r="AC27" s="364">
        <f>N10</f>
        <v>137.79999999999998</v>
      </c>
    </row>
    <row r="28" spans="1:29" ht="15.75" x14ac:dyDescent="0.25">
      <c r="U28" s="365" t="s">
        <v>208</v>
      </c>
      <c r="V28" s="1"/>
      <c r="X28" s="366">
        <f>P7</f>
        <v>6</v>
      </c>
      <c r="Z28" s="365" t="s">
        <v>208</v>
      </c>
      <c r="AA28" s="1"/>
      <c r="AC28" s="366">
        <f>P10</f>
        <v>6</v>
      </c>
    </row>
    <row r="29" spans="1:29" ht="15.75" x14ac:dyDescent="0.25">
      <c r="U29" s="365" t="s">
        <v>209</v>
      </c>
      <c r="V29" s="1"/>
      <c r="X29" s="367">
        <f>U7</f>
        <v>720</v>
      </c>
      <c r="Z29" s="365" t="s">
        <v>209</v>
      </c>
      <c r="AA29" s="1"/>
      <c r="AC29" s="367">
        <f>R10</f>
        <v>826.8</v>
      </c>
    </row>
    <row r="30" spans="1:29" ht="15.75" x14ac:dyDescent="0.25">
      <c r="A30" s="174" t="s">
        <v>92</v>
      </c>
      <c r="B30">
        <f>12^3</f>
        <v>1728</v>
      </c>
      <c r="C30" t="s">
        <v>93</v>
      </c>
      <c r="G30" s="176"/>
      <c r="J30" s="171"/>
      <c r="K30" s="198"/>
      <c r="L30" s="215" t="s">
        <v>163</v>
      </c>
      <c r="M30" s="198"/>
      <c r="N30" s="198"/>
      <c r="O30" s="173"/>
      <c r="U30" s="365" t="s">
        <v>210</v>
      </c>
      <c r="V30" s="1"/>
      <c r="X30" s="367">
        <f>V7</f>
        <v>0</v>
      </c>
      <c r="Z30" s="365" t="s">
        <v>210</v>
      </c>
      <c r="AA30" s="1"/>
      <c r="AC30" s="367">
        <f>S10</f>
        <v>0</v>
      </c>
    </row>
    <row r="31" spans="1:29" ht="15.75" x14ac:dyDescent="0.25">
      <c r="A31" s="174"/>
      <c r="C31" t="s">
        <v>95</v>
      </c>
      <c r="E31" s="161">
        <v>305</v>
      </c>
      <c r="G31" s="176"/>
      <c r="J31" s="174"/>
      <c r="M31" t="s">
        <v>94</v>
      </c>
      <c r="N31">
        <v>62.427959999999999</v>
      </c>
      <c r="O31" s="176"/>
      <c r="U31" s="365" t="s">
        <v>216</v>
      </c>
      <c r="X31" s="368">
        <f>S7</f>
        <v>0</v>
      </c>
      <c r="Z31" s="365" t="s">
        <v>216</v>
      </c>
      <c r="AC31" s="368">
        <f>S10</f>
        <v>0</v>
      </c>
    </row>
    <row r="32" spans="1:29" ht="16.5" thickBot="1" x14ac:dyDescent="0.3">
      <c r="A32" s="174"/>
      <c r="C32" t="s">
        <v>161</v>
      </c>
      <c r="E32" s="162">
        <v>0.18</v>
      </c>
      <c r="G32" s="176"/>
      <c r="J32" s="174" t="s">
        <v>96</v>
      </c>
      <c r="K32" t="s">
        <v>97</v>
      </c>
      <c r="L32" t="s">
        <v>98</v>
      </c>
      <c r="M32" t="s">
        <v>99</v>
      </c>
      <c r="O32" s="176"/>
      <c r="U32" s="369" t="s">
        <v>211</v>
      </c>
      <c r="V32" s="370"/>
      <c r="W32" s="354"/>
      <c r="X32" s="371">
        <f>W7</f>
        <v>720</v>
      </c>
      <c r="Z32" s="369" t="s">
        <v>211</v>
      </c>
      <c r="AA32" s="370"/>
      <c r="AB32" s="354"/>
      <c r="AC32" s="371">
        <f>W10</f>
        <v>826.8</v>
      </c>
    </row>
    <row r="33" spans="1:33" ht="16.5" thickTop="1" x14ac:dyDescent="0.25">
      <c r="A33" s="174"/>
      <c r="C33" t="s">
        <v>162</v>
      </c>
      <c r="E33" s="259">
        <v>0.2</v>
      </c>
      <c r="G33" s="176"/>
      <c r="J33" s="174" t="s">
        <v>101</v>
      </c>
      <c r="K33">
        <v>7075</v>
      </c>
      <c r="L33">
        <v>2.81</v>
      </c>
      <c r="M33">
        <f>L33*$N$34</f>
        <v>0</v>
      </c>
      <c r="O33" s="176"/>
      <c r="Q33">
        <v>175.42256760000001</v>
      </c>
      <c r="U33" s="289" t="s">
        <v>212</v>
      </c>
      <c r="V33" s="289"/>
      <c r="W33" s="289"/>
      <c r="X33" s="1"/>
    </row>
    <row r="34" spans="1:33" x14ac:dyDescent="0.25">
      <c r="A34" s="174"/>
      <c r="G34" s="176"/>
      <c r="J34" s="174" t="s">
        <v>101</v>
      </c>
      <c r="K34">
        <v>2219</v>
      </c>
      <c r="L34">
        <v>2.84</v>
      </c>
      <c r="M34">
        <f>L34*$N$34</f>
        <v>0</v>
      </c>
      <c r="O34" s="176"/>
      <c r="Q34">
        <v>177.29540639999999</v>
      </c>
    </row>
    <row r="35" spans="1:33" x14ac:dyDescent="0.25">
      <c r="A35" s="174"/>
      <c r="G35" s="176"/>
      <c r="J35" s="174" t="s">
        <v>101</v>
      </c>
      <c r="K35">
        <v>6061</v>
      </c>
      <c r="L35">
        <v>2.7</v>
      </c>
      <c r="M35">
        <f>L35*$N$34</f>
        <v>0</v>
      </c>
      <c r="O35" s="176"/>
      <c r="Q35">
        <v>168.55549200000002</v>
      </c>
    </row>
    <row r="36" spans="1:33" x14ac:dyDescent="0.25">
      <c r="A36" s="213" t="s">
        <v>102</v>
      </c>
      <c r="B36" s="163" t="s">
        <v>103</v>
      </c>
      <c r="C36" s="163" t="s">
        <v>104</v>
      </c>
      <c r="D36" s="163" t="s">
        <v>105</v>
      </c>
      <c r="E36" s="163" t="s">
        <v>106</v>
      </c>
      <c r="F36" s="163" t="s">
        <v>107</v>
      </c>
      <c r="G36" s="214" t="s">
        <v>108</v>
      </c>
      <c r="J36" s="174" t="s">
        <v>101</v>
      </c>
      <c r="K36">
        <v>7050</v>
      </c>
      <c r="L36">
        <v>2.83</v>
      </c>
      <c r="M36">
        <f>L36*$N$34</f>
        <v>0</v>
      </c>
      <c r="O36" s="176"/>
      <c r="Q36">
        <v>176.6711268</v>
      </c>
    </row>
    <row r="37" spans="1:33" x14ac:dyDescent="0.25">
      <c r="A37" s="222" t="e">
        <f>#REF!</f>
        <v>#REF!</v>
      </c>
      <c r="B37" s="164" t="e">
        <f>#REF!</f>
        <v>#REF!</v>
      </c>
      <c r="C37" s="164" t="e">
        <f>#REF!</f>
        <v>#REF!</v>
      </c>
      <c r="D37" t="e">
        <f>A37*B37*C37</f>
        <v>#REF!</v>
      </c>
      <c r="E37" t="e">
        <f>D37/$B$34</f>
        <v>#REF!</v>
      </c>
      <c r="F37" t="e">
        <f>E37*$U$35</f>
        <v>#REF!</v>
      </c>
      <c r="G37" s="223" t="e">
        <f>ROUNDUP(F37*$U$36, 1)</f>
        <v>#REF!</v>
      </c>
      <c r="J37" s="213" t="s">
        <v>109</v>
      </c>
      <c r="K37" s="163"/>
      <c r="L37" s="163"/>
      <c r="M37" s="163">
        <v>494.21</v>
      </c>
      <c r="N37" s="163" t="s">
        <v>110</v>
      </c>
      <c r="O37" s="214"/>
    </row>
    <row r="38" spans="1:33" ht="75" x14ac:dyDescent="0.25">
      <c r="A38" s="224" t="e">
        <f>#REF!</f>
        <v>#REF!</v>
      </c>
      <c r="B38" s="165" t="e">
        <f>#REF!</f>
        <v>#REF!</v>
      </c>
      <c r="C38" s="165" t="e">
        <f>#REF!</f>
        <v>#REF!</v>
      </c>
      <c r="D38" t="e">
        <f t="shared" ref="D38:D41" si="5">A38*B38*C38</f>
        <v>#REF!</v>
      </c>
      <c r="E38" t="e">
        <f>D38/$B$34</f>
        <v>#REF!</v>
      </c>
      <c r="F38" t="e">
        <f>E38*$U$35</f>
        <v>#REF!</v>
      </c>
      <c r="G38" s="225" t="e">
        <f>ROUNDUP(F38*$U$37, 1)</f>
        <v>#REF!</v>
      </c>
      <c r="J38" s="174" t="s">
        <v>111</v>
      </c>
      <c r="M38">
        <v>283.39</v>
      </c>
      <c r="N38" t="s">
        <v>112</v>
      </c>
      <c r="O38" s="176"/>
      <c r="S38" s="95" t="s">
        <v>178</v>
      </c>
      <c r="T38" s="246" t="s">
        <v>176</v>
      </c>
      <c r="U38" s="95" t="s">
        <v>173</v>
      </c>
      <c r="V38" s="95" t="s">
        <v>170</v>
      </c>
      <c r="W38" s="95" t="s">
        <v>171</v>
      </c>
      <c r="X38" s="246" t="s">
        <v>175</v>
      </c>
      <c r="Y38" s="95" t="s">
        <v>172</v>
      </c>
      <c r="Z38" s="95" t="s">
        <v>174</v>
      </c>
      <c r="AA38" s="246" t="s">
        <v>177</v>
      </c>
      <c r="AC38" s="184" t="s">
        <v>185</v>
      </c>
      <c r="AD38" s="184" t="s">
        <v>186</v>
      </c>
      <c r="AG38" s="250" t="s">
        <v>184</v>
      </c>
    </row>
    <row r="39" spans="1:33" x14ac:dyDescent="0.25">
      <c r="A39" s="226">
        <v>5.625</v>
      </c>
      <c r="B39" s="166">
        <v>5.75</v>
      </c>
      <c r="C39" s="166">
        <v>9</v>
      </c>
      <c r="D39">
        <f t="shared" si="5"/>
        <v>291.09375</v>
      </c>
      <c r="E39" t="e">
        <f>D39/$B$34</f>
        <v>#DIV/0!</v>
      </c>
      <c r="F39" t="e">
        <f>E39*$E$35</f>
        <v>#DIV/0!</v>
      </c>
      <c r="G39" s="227" t="e">
        <f>F39*$E$36</f>
        <v>#DIV/0!</v>
      </c>
      <c r="J39" s="174" t="s">
        <v>113</v>
      </c>
      <c r="M39">
        <v>490</v>
      </c>
      <c r="O39" s="176"/>
      <c r="S39" s="424" t="s">
        <v>179</v>
      </c>
      <c r="T39" s="425">
        <v>13</v>
      </c>
      <c r="U39" s="426">
        <v>60</v>
      </c>
      <c r="V39" s="425">
        <f>T39/2</f>
        <v>6.5</v>
      </c>
      <c r="W39" s="426">
        <v>3.1415926535900001</v>
      </c>
      <c r="X39" s="426">
        <f>W39*(V39^2)</f>
        <v>132.73228961417749</v>
      </c>
      <c r="Y39" s="426">
        <f>X39*U39</f>
        <v>7963.9373768506493</v>
      </c>
      <c r="Z39" s="426">
        <v>0.28299999999999997</v>
      </c>
      <c r="AA39" s="427">
        <f>Y39*Z39</f>
        <v>2253.7942776487334</v>
      </c>
      <c r="AB39" s="426"/>
      <c r="AC39" s="428">
        <v>0.14000000000000001</v>
      </c>
      <c r="AD39" s="428">
        <f>ROUND(AC39*AA39, 2)</f>
        <v>315.52999999999997</v>
      </c>
      <c r="AG39" s="95">
        <v>6000</v>
      </c>
    </row>
    <row r="40" spans="1:33" x14ac:dyDescent="0.25">
      <c r="A40" s="228">
        <v>11.75</v>
      </c>
      <c r="B40" s="167">
        <v>5.75</v>
      </c>
      <c r="C40" s="167">
        <v>55.875</v>
      </c>
      <c r="D40">
        <f t="shared" si="5"/>
        <v>3775.0546875</v>
      </c>
      <c r="E40" t="e">
        <f>D40/$B$34</f>
        <v>#DIV/0!</v>
      </c>
      <c r="F40" t="e">
        <f>E40*$E$35</f>
        <v>#DIV/0!</v>
      </c>
      <c r="G40" s="229" t="e">
        <f>F40*$E$36</f>
        <v>#DIV/0!</v>
      </c>
      <c r="J40" s="174" t="s">
        <v>114</v>
      </c>
      <c r="M40">
        <v>1204.4100000000001</v>
      </c>
      <c r="O40" s="176"/>
      <c r="S40" s="424" t="s">
        <v>180</v>
      </c>
      <c r="T40" s="425">
        <v>10</v>
      </c>
      <c r="U40" s="426">
        <v>60</v>
      </c>
      <c r="V40" s="425">
        <f>T40/2</f>
        <v>5</v>
      </c>
      <c r="W40" s="426">
        <v>3.1415926535900001</v>
      </c>
      <c r="X40" s="426">
        <f t="shared" ref="X40:X43" si="6">W40*(V40^2)</f>
        <v>78.539816339750004</v>
      </c>
      <c r="Y40" s="426">
        <f>X40*U40</f>
        <v>4712.3889803850007</v>
      </c>
      <c r="Z40" s="426">
        <v>0.28999999999999998</v>
      </c>
      <c r="AA40" s="427">
        <f>Y40*Z40</f>
        <v>1366.5928043116501</v>
      </c>
      <c r="AB40" s="426"/>
      <c r="AC40" s="428">
        <v>0.14000000000000001</v>
      </c>
      <c r="AD40" s="428">
        <f t="shared" ref="AD40:AD43" si="7">ROUND(AC40*AA40, 2)</f>
        <v>191.32</v>
      </c>
    </row>
    <row r="41" spans="1:33" x14ac:dyDescent="0.25">
      <c r="A41" s="230">
        <v>10</v>
      </c>
      <c r="B41" s="231">
        <v>10</v>
      </c>
      <c r="C41" s="231">
        <v>10</v>
      </c>
      <c r="D41" s="178">
        <f t="shared" si="5"/>
        <v>1000</v>
      </c>
      <c r="E41" s="178" t="e">
        <f>D41/$B$34</f>
        <v>#DIV/0!</v>
      </c>
      <c r="F41" s="178" t="e">
        <f>E41*$E$35</f>
        <v>#DIV/0!</v>
      </c>
      <c r="G41" s="179" t="e">
        <f>F41*$E$36</f>
        <v>#DIV/0!</v>
      </c>
      <c r="J41" s="174" t="s">
        <v>115</v>
      </c>
      <c r="M41">
        <v>568.5</v>
      </c>
      <c r="O41" s="176"/>
      <c r="S41" s="433" t="s">
        <v>181</v>
      </c>
      <c r="T41" s="434">
        <v>7.375</v>
      </c>
      <c r="U41" s="188">
        <v>75</v>
      </c>
      <c r="V41" s="434">
        <f>T41/2</f>
        <v>3.6875</v>
      </c>
      <c r="W41" s="188">
        <v>3.1415926535900001</v>
      </c>
      <c r="X41" s="188">
        <f t="shared" si="6"/>
        <v>42.718296981042151</v>
      </c>
      <c r="Y41" s="188">
        <f>X41*U41</f>
        <v>3203.8722735781612</v>
      </c>
      <c r="Z41" s="188">
        <v>0.11</v>
      </c>
      <c r="AA41" s="435">
        <f>Y41*Z41</f>
        <v>352.42595009359775</v>
      </c>
      <c r="AB41" s="188"/>
      <c r="AC41" s="256">
        <v>0.34</v>
      </c>
      <c r="AD41" s="256">
        <f t="shared" si="7"/>
        <v>119.82</v>
      </c>
    </row>
    <row r="42" spans="1:33" x14ac:dyDescent="0.25">
      <c r="J42" s="177"/>
      <c r="K42" s="178"/>
      <c r="L42" s="178"/>
      <c r="M42" s="178"/>
      <c r="N42" s="178"/>
      <c r="O42" s="199"/>
      <c r="S42" s="424" t="s">
        <v>182</v>
      </c>
      <c r="T42" s="425">
        <v>13</v>
      </c>
      <c r="U42" s="426">
        <v>148</v>
      </c>
      <c r="V42" s="425">
        <f>T42/2</f>
        <v>6.5</v>
      </c>
      <c r="W42" s="426">
        <v>3.1415926535900001</v>
      </c>
      <c r="X42" s="426">
        <f t="shared" si="6"/>
        <v>132.73228961417749</v>
      </c>
      <c r="Y42" s="426">
        <f>X42*U42</f>
        <v>19644.378862898269</v>
      </c>
      <c r="Z42" s="426">
        <v>0.16</v>
      </c>
      <c r="AA42" s="427">
        <f>Y42*Z42</f>
        <v>3143.1006180637232</v>
      </c>
      <c r="AB42" s="426"/>
      <c r="AC42" s="428">
        <v>0.2</v>
      </c>
      <c r="AD42" s="428">
        <f t="shared" si="7"/>
        <v>628.62</v>
      </c>
    </row>
    <row r="43" spans="1:33" x14ac:dyDescent="0.25">
      <c r="S43" s="429" t="s">
        <v>187</v>
      </c>
      <c r="T43" s="430">
        <v>13</v>
      </c>
      <c r="U43" s="431">
        <v>5</v>
      </c>
      <c r="V43" s="430">
        <f>T43/2</f>
        <v>6.5</v>
      </c>
      <c r="W43" s="431">
        <v>3.1415926535900001</v>
      </c>
      <c r="X43" s="431">
        <f t="shared" si="6"/>
        <v>132.73228961417749</v>
      </c>
      <c r="Y43" s="431">
        <f>X43*U43</f>
        <v>663.66144807088745</v>
      </c>
      <c r="Z43" s="431">
        <v>0.29949999999999999</v>
      </c>
      <c r="AA43" s="432">
        <f>Y43*Z43</f>
        <v>198.76660369723078</v>
      </c>
      <c r="AB43" s="426"/>
      <c r="AC43" s="428">
        <v>0.14000000000000001</v>
      </c>
      <c r="AD43" s="428">
        <f t="shared" si="7"/>
        <v>27.83</v>
      </c>
    </row>
  </sheetData>
  <mergeCells count="1">
    <mergeCell ref="A22:C23"/>
  </mergeCells>
  <conditionalFormatting sqref="AA39:AA43">
    <cfRule type="cellIs" dxfId="15" priority="1" operator="greaterThan">
      <formula>$Q$27</formula>
    </cfRule>
  </conditionalFormatting>
  <conditionalFormatting sqref="AA43">
    <cfRule type="cellIs" dxfId="14" priority="7" operator="greaterThan">
      <formula>6296.819819</formula>
    </cfRule>
    <cfRule type="cellIs" dxfId="13" priority="8" operator="greaterThan">
      <formula>$Q$27</formula>
    </cfRule>
  </conditionalFormatting>
  <conditionalFormatting sqref="AD43">
    <cfRule type="cellIs" dxfId="12" priority="2" operator="greaterThan">
      <formula>960</formula>
    </cfRule>
    <cfRule type="cellIs" priority="3" operator="greaterThan">
      <formula>960</formula>
    </cfRule>
    <cfRule type="expression" priority="4">
      <formula>$K$31</formula>
    </cfRule>
    <cfRule type="aboveAverage" priority="5" aboveAverage="0"/>
    <cfRule type="expression" priority="6">
      <formula>"IF K28 IS RED"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BA99-6DD9-4C40-AB82-E90B8C520CA9}">
  <sheetPr>
    <tabColor rgb="FF92D050"/>
  </sheetPr>
  <dimension ref="A1:AD37"/>
  <sheetViews>
    <sheetView workbookViewId="0">
      <selection activeCell="V21" sqref="V21:Y27"/>
    </sheetView>
  </sheetViews>
  <sheetFormatPr defaultRowHeight="15" x14ac:dyDescent="0.25"/>
  <cols>
    <col min="4" max="13" width="0" hidden="1" customWidth="1"/>
    <col min="23" max="23" width="12.28515625" customWidth="1"/>
    <col min="24" max="24" width="12.5703125" customWidth="1"/>
    <col min="25" max="25" width="17.140625" customWidth="1"/>
    <col min="29" max="29" width="12" customWidth="1"/>
    <col min="30" max="30" width="18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3</v>
      </c>
      <c r="B3" s="65">
        <v>48.5</v>
      </c>
      <c r="C3" s="65">
        <v>38</v>
      </c>
      <c r="D3" s="66">
        <v>0.125</v>
      </c>
      <c r="E3" s="66">
        <v>0.105</v>
      </c>
      <c r="F3" s="66">
        <f>(A3+B3)*C3</f>
        <v>1957</v>
      </c>
      <c r="G3" s="66">
        <f>(A3+B3)/E3</f>
        <v>490.47619047619048</v>
      </c>
      <c r="H3" s="66">
        <f t="shared" ref="H3" si="0">C3/10</f>
        <v>3.8</v>
      </c>
      <c r="I3" s="66">
        <v>5</v>
      </c>
      <c r="J3" s="67">
        <f t="shared" ref="J3" si="1">H3*G3/60</f>
        <v>31.063492063492063</v>
      </c>
      <c r="K3" s="67">
        <f>J3+I3</f>
        <v>36.063492063492063</v>
      </c>
      <c r="L3" s="68">
        <v>225</v>
      </c>
      <c r="M3" s="69">
        <f>L3/60</f>
        <v>3.75</v>
      </c>
      <c r="N3" s="247">
        <f>ROUNDUP(K3*M3,1)</f>
        <v>135.29999999999998</v>
      </c>
      <c r="O3" s="56"/>
      <c r="P3" s="30">
        <v>125</v>
      </c>
      <c r="Q3" s="71">
        <v>0.02</v>
      </c>
      <c r="R3" s="32">
        <v>3</v>
      </c>
      <c r="S3" s="35">
        <f>N3*R3</f>
        <v>405.9</v>
      </c>
      <c r="T3" s="33">
        <f>IF(S3&gt;Y3, S3, Y3)</f>
        <v>405.9</v>
      </c>
      <c r="U3" s="33">
        <f>T3+P3</f>
        <v>530.9</v>
      </c>
      <c r="V3" s="33">
        <f>ROUNDUP(U3*Q3,0)</f>
        <v>11</v>
      </c>
      <c r="W3" s="249">
        <f>U3+V3</f>
        <v>541.9</v>
      </c>
      <c r="X3" s="34"/>
      <c r="Y3" s="57">
        <v>250</v>
      </c>
      <c r="Z3" s="36">
        <f>ROUNDDOWN(Y3/N3,0)</f>
        <v>1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204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4.25</v>
      </c>
      <c r="B6" s="65">
        <v>5.625</v>
      </c>
      <c r="C6" s="65">
        <v>5.75</v>
      </c>
      <c r="D6" s="66">
        <v>0.125</v>
      </c>
      <c r="E6" s="66">
        <v>4.4999999999999998E-2</v>
      </c>
      <c r="F6" s="66">
        <f>(A6+B6)*C6</f>
        <v>56.78125</v>
      </c>
      <c r="G6" s="66">
        <f>(A6+B6)/E6</f>
        <v>219.44444444444446</v>
      </c>
      <c r="H6" s="66">
        <f t="shared" ref="H6" si="2">C6/10</f>
        <v>0.57499999999999996</v>
      </c>
      <c r="I6" s="66">
        <v>3</v>
      </c>
      <c r="J6" s="67">
        <f t="shared" ref="J6" si="3">H6*G6/60</f>
        <v>2.1030092592592591</v>
      </c>
      <c r="K6" s="67">
        <f>J6+I6</f>
        <v>5.1030092592592595</v>
      </c>
      <c r="L6" s="68">
        <v>225</v>
      </c>
      <c r="M6" s="69">
        <f>L6/60</f>
        <v>3.75</v>
      </c>
      <c r="N6" s="247">
        <f>ROUNDUP(K6*M6,1)</f>
        <v>19.200000000000003</v>
      </c>
      <c r="O6" s="56"/>
      <c r="P6" s="30">
        <v>125</v>
      </c>
      <c r="Q6" s="71">
        <v>0.02</v>
      </c>
      <c r="R6" s="32">
        <v>10</v>
      </c>
      <c r="S6" s="35">
        <f>N6*R6</f>
        <v>192.00000000000003</v>
      </c>
      <c r="T6" s="33">
        <f>IF(S6&gt;Y6, S6, Y6)</f>
        <v>250</v>
      </c>
      <c r="U6" s="33">
        <f>T6+P6</f>
        <v>375</v>
      </c>
      <c r="V6" s="33">
        <f>ROUNDUP(U6*Q6,0)</f>
        <v>8</v>
      </c>
      <c r="W6" s="249">
        <f>U6+V6</f>
        <v>383</v>
      </c>
      <c r="X6" s="34"/>
      <c r="Y6" s="57">
        <v>250</v>
      </c>
      <c r="Z6" s="36">
        <f>ROUNDDOWN(Y6/N6,0)</f>
        <v>13</v>
      </c>
    </row>
    <row r="7" spans="1:26" ht="26.25" x14ac:dyDescent="0.25">
      <c r="B7" s="168" t="s">
        <v>12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ht="30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204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1.75</v>
      </c>
      <c r="C9" s="14">
        <v>11</v>
      </c>
      <c r="D9" s="66" t="s">
        <v>0</v>
      </c>
      <c r="E9" s="16">
        <v>4.4999999999999998E-2</v>
      </c>
      <c r="F9" s="16">
        <f>B9*3.14</f>
        <v>5.4950000000000001</v>
      </c>
      <c r="G9" s="17">
        <f>F9/E9</f>
        <v>122.11111111111111</v>
      </c>
      <c r="H9" s="16">
        <f>C9/10</f>
        <v>1.1000000000000001</v>
      </c>
      <c r="I9" s="16">
        <v>3</v>
      </c>
      <c r="J9" s="19">
        <f>H9*G9/60</f>
        <v>2.2387037037037039</v>
      </c>
      <c r="K9" s="20">
        <f>J9+I9</f>
        <v>5.2387037037037043</v>
      </c>
      <c r="L9" s="68">
        <v>225</v>
      </c>
      <c r="M9" s="69">
        <f>L9/60</f>
        <v>3.75</v>
      </c>
      <c r="N9" s="248">
        <f>ROUNDUP(K9*M9,1)</f>
        <v>19.700000000000003</v>
      </c>
      <c r="O9" s="56"/>
      <c r="P9" s="30">
        <v>125</v>
      </c>
      <c r="Q9" s="71">
        <v>0.02</v>
      </c>
      <c r="R9" s="32">
        <v>19</v>
      </c>
      <c r="S9" s="35">
        <f>N9*R9</f>
        <v>374.30000000000007</v>
      </c>
      <c r="T9" s="33">
        <f>IF(S9&gt;Y9, S9, Y9)</f>
        <v>374.30000000000007</v>
      </c>
      <c r="U9" s="33">
        <f>T9+P9</f>
        <v>499.30000000000007</v>
      </c>
      <c r="V9" s="33">
        <f>ROUNDUP(U9*Q9,0)</f>
        <v>10</v>
      </c>
      <c r="W9" s="249">
        <f t="shared" ref="W9" si="4">U9+V9</f>
        <v>509.30000000000007</v>
      </c>
      <c r="X9" s="56"/>
      <c r="Y9" s="58">
        <v>250</v>
      </c>
      <c r="Z9" s="47">
        <f>ROUNDDOWN(Y9/N9,0)</f>
        <v>12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204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1</v>
      </c>
      <c r="B14" s="65">
        <v>5</v>
      </c>
      <c r="C14" s="65">
        <v>4</v>
      </c>
      <c r="D14" s="66">
        <v>0.125</v>
      </c>
      <c r="E14" s="66">
        <v>4.4999999999999998E-2</v>
      </c>
      <c r="F14" s="66">
        <f>(A14+B14)*C14</f>
        <v>24</v>
      </c>
      <c r="G14" s="66">
        <f>(A14+B14)/E14</f>
        <v>133.33333333333334</v>
      </c>
      <c r="H14" s="66">
        <f t="shared" ref="H14" si="5">C14/10</f>
        <v>0.4</v>
      </c>
      <c r="I14" s="66">
        <v>3</v>
      </c>
      <c r="J14" s="67">
        <f t="shared" ref="J14" si="6">H14*G14/60</f>
        <v>0.88888888888888906</v>
      </c>
      <c r="K14" s="67">
        <f>J14+I14</f>
        <v>3.8888888888888893</v>
      </c>
      <c r="L14" s="68">
        <v>250</v>
      </c>
      <c r="M14" s="69">
        <f>L14/60</f>
        <v>4.166666666666667</v>
      </c>
      <c r="N14" s="247">
        <f>ROUNDUP(K14*M14,1)</f>
        <v>16.3</v>
      </c>
      <c r="O14" s="56"/>
      <c r="P14" s="30">
        <v>125</v>
      </c>
      <c r="Q14" s="71">
        <v>0.02</v>
      </c>
      <c r="R14" s="32">
        <v>85</v>
      </c>
      <c r="S14" s="35">
        <f>N14*R14</f>
        <v>1385.5</v>
      </c>
      <c r="T14" s="33">
        <f>IF(S14&gt;Y14, S14, Y14)</f>
        <v>1385.5</v>
      </c>
      <c r="U14" s="33">
        <f>T14+P14</f>
        <v>1510.5</v>
      </c>
      <c r="V14" s="33">
        <f>ROUNDUP(U14*Q14,0)</f>
        <v>31</v>
      </c>
      <c r="W14" s="249">
        <f>U14+V14</f>
        <v>1541.5</v>
      </c>
      <c r="X14" s="34"/>
      <c r="Y14" s="57">
        <v>275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ht="30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204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A17" s="1"/>
      <c r="B17" s="14">
        <v>2</v>
      </c>
      <c r="C17" s="14">
        <v>2</v>
      </c>
      <c r="D17" s="66" t="s">
        <v>0</v>
      </c>
      <c r="E17" s="16">
        <v>4.4999999999999998E-2</v>
      </c>
      <c r="F17" s="16">
        <f>B17*3.14</f>
        <v>6.28</v>
      </c>
      <c r="G17" s="17">
        <f>F17/E17</f>
        <v>139.55555555555557</v>
      </c>
      <c r="H17" s="16">
        <f>C17/10</f>
        <v>0.2</v>
      </c>
      <c r="I17" s="16">
        <v>3</v>
      </c>
      <c r="J17" s="19">
        <f>H17*G17/60</f>
        <v>0.46518518518518526</v>
      </c>
      <c r="K17" s="20">
        <f>J17+I17</f>
        <v>3.4651851851851854</v>
      </c>
      <c r="L17" s="68">
        <v>250</v>
      </c>
      <c r="M17" s="69">
        <f>L17/60</f>
        <v>4.166666666666667</v>
      </c>
      <c r="N17" s="248">
        <f>ROUNDUP(K17*M17,1)</f>
        <v>14.5</v>
      </c>
      <c r="O17" s="56"/>
      <c r="P17" s="30">
        <v>125</v>
      </c>
      <c r="Q17" s="71">
        <v>0.02</v>
      </c>
      <c r="R17" s="32">
        <v>1</v>
      </c>
      <c r="S17" s="35">
        <f>N17*R17</f>
        <v>14.5</v>
      </c>
      <c r="T17" s="33">
        <f>IF(S17&gt;Y17, S17, Y17)</f>
        <v>275</v>
      </c>
      <c r="U17" s="33">
        <f>T17+P17</f>
        <v>400</v>
      </c>
      <c r="V17" s="33">
        <f>ROUNDUP(U17*Q17,0)</f>
        <v>8</v>
      </c>
      <c r="W17" s="249">
        <f t="shared" ref="W17" si="7">U17+V17</f>
        <v>408</v>
      </c>
      <c r="X17" s="56"/>
      <c r="Y17" s="58">
        <v>275</v>
      </c>
      <c r="Z17" s="47">
        <f>ROUNDDOWN(Y17/N17,0)</f>
        <v>18</v>
      </c>
    </row>
    <row r="19" spans="1:30" ht="15.75" thickBot="1" x14ac:dyDescent="0.3"/>
    <row r="20" spans="1:30" ht="24.75" thickTop="1" thickBot="1" x14ac:dyDescent="0.4">
      <c r="A20" s="171"/>
      <c r="B20" s="172" t="s">
        <v>119</v>
      </c>
      <c r="C20" s="173"/>
      <c r="N20" s="351"/>
      <c r="O20" s="352"/>
      <c r="P20" s="352"/>
      <c r="Q20" s="372" t="s">
        <v>149</v>
      </c>
      <c r="R20" s="352"/>
      <c r="S20" s="372" t="s">
        <v>149</v>
      </c>
      <c r="T20" s="352"/>
      <c r="V20" s="494" t="s">
        <v>348</v>
      </c>
      <c r="W20" s="436"/>
      <c r="X20" s="436"/>
      <c r="Y20" s="436"/>
      <c r="Z20" s="1"/>
      <c r="AA20" s="460" t="s">
        <v>362</v>
      </c>
      <c r="AB20" s="461"/>
      <c r="AC20" s="461"/>
      <c r="AD20" s="461"/>
    </row>
    <row r="21" spans="1:30" ht="16.5" thickTop="1" x14ac:dyDescent="0.25">
      <c r="A21" s="174" t="s">
        <v>32</v>
      </c>
      <c r="C21" s="175">
        <v>250</v>
      </c>
      <c r="N21" s="373" t="s">
        <v>150</v>
      </c>
      <c r="T21" s="374"/>
      <c r="V21" s="362" t="s">
        <v>207</v>
      </c>
      <c r="W21" s="363"/>
      <c r="X21" s="352"/>
      <c r="Y21" s="364">
        <f>N6</f>
        <v>19.200000000000003</v>
      </c>
      <c r="Z21" s="1"/>
      <c r="AA21" s="462" t="s">
        <v>207</v>
      </c>
      <c r="AB21" s="463"/>
      <c r="AC21" s="383"/>
      <c r="AD21" s="470">
        <f>N3</f>
        <v>135.29999999999998</v>
      </c>
    </row>
    <row r="22" spans="1:30" ht="15.75" x14ac:dyDescent="0.25">
      <c r="A22" s="174" t="s">
        <v>120</v>
      </c>
      <c r="C22" s="175">
        <v>125</v>
      </c>
      <c r="N22" s="373" t="s">
        <v>151</v>
      </c>
      <c r="T22" s="374"/>
      <c r="V22" s="365" t="s">
        <v>208</v>
      </c>
      <c r="W22" s="1"/>
      <c r="Y22" s="366">
        <f>R6</f>
        <v>10</v>
      </c>
      <c r="Z22" s="1"/>
      <c r="AA22" s="464" t="s">
        <v>208</v>
      </c>
      <c r="AB22" s="1"/>
      <c r="AD22" s="471">
        <f>R3</f>
        <v>3</v>
      </c>
    </row>
    <row r="23" spans="1:30" ht="15.75" x14ac:dyDescent="0.25">
      <c r="A23" s="174" t="s">
        <v>36</v>
      </c>
      <c r="C23" s="200" t="s">
        <v>122</v>
      </c>
      <c r="N23" s="373"/>
      <c r="T23" s="374"/>
      <c r="V23" s="365" t="s">
        <v>209</v>
      </c>
      <c r="W23" s="1"/>
      <c r="Y23" s="367">
        <f>T6</f>
        <v>250</v>
      </c>
      <c r="Z23" s="1"/>
      <c r="AA23" s="464" t="s">
        <v>209</v>
      </c>
      <c r="AB23" s="1"/>
      <c r="AD23" s="469">
        <f>T3</f>
        <v>405.9</v>
      </c>
    </row>
    <row r="24" spans="1:30" ht="15.75" x14ac:dyDescent="0.25">
      <c r="A24" s="174" t="s">
        <v>121</v>
      </c>
      <c r="C24" s="176" t="s">
        <v>123</v>
      </c>
      <c r="N24" s="373" t="s">
        <v>152</v>
      </c>
      <c r="T24" s="374"/>
      <c r="V24" s="365" t="s">
        <v>210</v>
      </c>
      <c r="W24" s="1"/>
      <c r="Y24" s="367">
        <f>V6</f>
        <v>8</v>
      </c>
      <c r="Z24" s="1"/>
      <c r="AA24" s="464" t="s">
        <v>210</v>
      </c>
      <c r="AB24" s="1"/>
      <c r="AD24" s="469">
        <f>V3</f>
        <v>11</v>
      </c>
    </row>
    <row r="25" spans="1:30" ht="15.75" x14ac:dyDescent="0.25">
      <c r="A25" s="177" t="s">
        <v>124</v>
      </c>
      <c r="B25" s="178"/>
      <c r="C25" s="179">
        <v>100</v>
      </c>
      <c r="N25" s="373" t="s">
        <v>153</v>
      </c>
      <c r="T25" s="374"/>
      <c r="V25" s="365" t="s">
        <v>216</v>
      </c>
      <c r="Y25" s="368">
        <f>P6</f>
        <v>125</v>
      </c>
      <c r="Z25" s="1"/>
      <c r="AA25" s="464" t="s">
        <v>216</v>
      </c>
      <c r="AD25" s="465">
        <f>P3</f>
        <v>125</v>
      </c>
    </row>
    <row r="26" spans="1:30" ht="15.75" x14ac:dyDescent="0.25">
      <c r="N26" s="373"/>
      <c r="T26" s="374"/>
      <c r="V26" s="365" t="s">
        <v>211</v>
      </c>
      <c r="W26" s="1"/>
      <c r="Y26" s="367">
        <f>W6</f>
        <v>383</v>
      </c>
      <c r="Z26" s="1"/>
      <c r="AA26" s="464" t="s">
        <v>211</v>
      </c>
      <c r="AB26" s="1"/>
      <c r="AD26" s="469">
        <f>W3</f>
        <v>541.9</v>
      </c>
    </row>
    <row r="27" spans="1:30" ht="16.5" thickBot="1" x14ac:dyDescent="0.3"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7"/>
      <c r="AD27" s="468" t="s">
        <v>347</v>
      </c>
    </row>
    <row r="28" spans="1:30" ht="16.5" thickTop="1" thickBot="1" x14ac:dyDescent="0.3">
      <c r="N28" s="353" t="s">
        <v>155</v>
      </c>
      <c r="O28" s="354"/>
      <c r="P28" s="354"/>
      <c r="Q28" s="354"/>
      <c r="R28" s="354"/>
      <c r="S28" s="354"/>
      <c r="T28" s="354"/>
      <c r="X28" s="1"/>
      <c r="Y28" s="1"/>
      <c r="Z28" s="1"/>
    </row>
    <row r="29" spans="1:30" ht="24.75" thickTop="1" thickBot="1" x14ac:dyDescent="0.4">
      <c r="V29" s="541" t="s">
        <v>284</v>
      </c>
      <c r="W29" s="541"/>
      <c r="X29" s="541"/>
      <c r="Y29" s="541"/>
      <c r="Z29" s="1"/>
    </row>
    <row r="30" spans="1:30" ht="16.5" thickTop="1" x14ac:dyDescent="0.25">
      <c r="V30" s="362" t="s">
        <v>207</v>
      </c>
      <c r="W30" s="363"/>
      <c r="X30" s="352"/>
      <c r="Y30" s="364">
        <f>N9</f>
        <v>19.700000000000003</v>
      </c>
      <c r="Z30" s="1"/>
    </row>
    <row r="31" spans="1:30" ht="15.75" x14ac:dyDescent="0.25">
      <c r="V31" s="365" t="s">
        <v>208</v>
      </c>
      <c r="W31" s="1"/>
      <c r="Y31" s="366">
        <f>R9</f>
        <v>19</v>
      </c>
      <c r="Z31" s="1"/>
    </row>
    <row r="32" spans="1:30" ht="15.75" x14ac:dyDescent="0.25">
      <c r="V32" s="365" t="s">
        <v>209</v>
      </c>
      <c r="W32" s="1"/>
      <c r="Y32" s="367">
        <f>T9</f>
        <v>374.30000000000007</v>
      </c>
      <c r="Z32" s="1"/>
    </row>
    <row r="33" spans="22:26" ht="15.75" x14ac:dyDescent="0.25">
      <c r="V33" s="365" t="s">
        <v>210</v>
      </c>
      <c r="W33" s="1"/>
      <c r="Y33" s="367">
        <f>V9</f>
        <v>10</v>
      </c>
      <c r="Z33" s="1"/>
    </row>
    <row r="34" spans="22:26" ht="15.75" x14ac:dyDescent="0.25">
      <c r="V34" s="365" t="s">
        <v>216</v>
      </c>
      <c r="Y34" s="368">
        <f>P9</f>
        <v>125</v>
      </c>
      <c r="Z34" s="1"/>
    </row>
    <row r="35" spans="22:26" ht="15.75" x14ac:dyDescent="0.25">
      <c r="V35" s="365" t="s">
        <v>211</v>
      </c>
      <c r="W35" s="1"/>
      <c r="Y35" s="367">
        <f>W9</f>
        <v>509.30000000000007</v>
      </c>
      <c r="Z35" s="1"/>
    </row>
    <row r="36" spans="22:26" ht="16.5" thickBot="1" x14ac:dyDescent="0.3">
      <c r="V36" s="369" t="s">
        <v>346</v>
      </c>
      <c r="W36" s="354"/>
      <c r="X36" s="539" t="s">
        <v>347</v>
      </c>
      <c r="Y36" s="540"/>
      <c r="Z36" s="1"/>
    </row>
    <row r="37" spans="22:26" ht="15.75" thickTop="1" x14ac:dyDescent="0.25"/>
  </sheetData>
  <mergeCells count="2">
    <mergeCell ref="V29:Y29"/>
    <mergeCell ref="X36:Y36"/>
  </mergeCells>
  <pageMargins left="0.7" right="0.7" top="0.75" bottom="0.75" header="0.3" footer="0.3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9C29-F791-4FB0-B4BA-DE6256E2B6B0}">
  <sheetPr>
    <tabColor rgb="FFFF0000"/>
  </sheetPr>
  <dimension ref="A1"/>
  <sheetViews>
    <sheetView workbookViewId="0">
      <selection activeCell="K47" sqref="K47"/>
    </sheetView>
  </sheetViews>
  <sheetFormatPr defaultRowHeight="15" x14ac:dyDescent="0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525F-8E9E-4EDA-BE5F-199420A4A93D}">
  <sheetPr>
    <tabColor rgb="FF92D050"/>
  </sheetPr>
  <dimension ref="A1:AE18"/>
  <sheetViews>
    <sheetView zoomScale="160" zoomScaleNormal="160" workbookViewId="0">
      <selection sqref="A1:AE18"/>
    </sheetView>
  </sheetViews>
  <sheetFormatPr defaultRowHeight="15" x14ac:dyDescent="0.25"/>
  <cols>
    <col min="1" max="1" width="13.7109375" bestFit="1" customWidth="1"/>
    <col min="2" max="2" width="0" hidden="1" customWidth="1"/>
    <col min="5" max="10" width="0" hidden="1" customWidth="1"/>
    <col min="11" max="11" width="13.5703125" customWidth="1"/>
  </cols>
  <sheetData>
    <row r="1" spans="1:31" ht="21" x14ac:dyDescent="0.35">
      <c r="A1" s="578" t="s">
        <v>213</v>
      </c>
      <c r="B1" s="579"/>
      <c r="C1" s="579"/>
      <c r="D1" s="579"/>
      <c r="E1" s="579"/>
      <c r="F1" s="579"/>
      <c r="G1" s="579"/>
      <c r="H1" s="579"/>
      <c r="I1" s="579"/>
      <c r="J1" s="579"/>
      <c r="K1" s="580"/>
      <c r="N1" s="171"/>
      <c r="O1" s="172" t="s">
        <v>119</v>
      </c>
      <c r="P1" s="173"/>
      <c r="V1" s="171"/>
      <c r="W1" s="198"/>
      <c r="X1" s="198"/>
      <c r="Y1" s="198"/>
      <c r="Z1" s="198"/>
      <c r="AA1" s="172" t="s">
        <v>149</v>
      </c>
      <c r="AB1" s="198"/>
      <c r="AC1" s="198"/>
      <c r="AD1" s="198"/>
      <c r="AE1" s="173"/>
    </row>
    <row r="2" spans="1:31" x14ac:dyDescent="0.25">
      <c r="A2" s="2" t="s">
        <v>214</v>
      </c>
      <c r="B2" s="2" t="s">
        <v>1</v>
      </c>
      <c r="C2" s="2" t="s">
        <v>8</v>
      </c>
      <c r="D2" s="2" t="s">
        <v>7</v>
      </c>
      <c r="E2" s="2" t="s">
        <v>6</v>
      </c>
      <c r="F2" s="2" t="s">
        <v>3</v>
      </c>
      <c r="G2" s="2" t="s">
        <v>21</v>
      </c>
      <c r="H2" s="2" t="s">
        <v>4</v>
      </c>
      <c r="I2" s="2" t="s">
        <v>9</v>
      </c>
      <c r="J2" s="2" t="s">
        <v>10</v>
      </c>
      <c r="K2" s="3" t="s">
        <v>5</v>
      </c>
      <c r="N2" s="174" t="s">
        <v>32</v>
      </c>
      <c r="P2" s="175">
        <v>250</v>
      </c>
      <c r="V2" s="174" t="s">
        <v>150</v>
      </c>
      <c r="AE2" s="176"/>
    </row>
    <row r="3" spans="1:31" x14ac:dyDescent="0.25">
      <c r="A3" s="298">
        <v>4</v>
      </c>
      <c r="B3" s="293">
        <v>4.9500000000000002E-2</v>
      </c>
      <c r="C3" s="308">
        <v>20</v>
      </c>
      <c r="D3" s="308">
        <v>100</v>
      </c>
      <c r="E3" s="293">
        <f t="shared" ref="E3:E9" si="0">C3*D3</f>
        <v>2000</v>
      </c>
      <c r="F3" s="293">
        <f t="shared" ref="F3:F18" si="1">C3/B3</f>
        <v>404.04040404040404</v>
      </c>
      <c r="G3" s="293">
        <f t="shared" ref="G3:G18" si="2">D3/10</f>
        <v>10</v>
      </c>
      <c r="H3" s="293">
        <f t="shared" ref="H3:H18" si="3">G3*F3/60</f>
        <v>67.34006734006735</v>
      </c>
      <c r="I3" s="293">
        <v>8</v>
      </c>
      <c r="J3" s="293">
        <f t="shared" ref="J3:J18" si="4">H3+I3</f>
        <v>75.34006734006735</v>
      </c>
      <c r="K3" s="303">
        <f>J3* 2.92</f>
        <v>219.99299663299666</v>
      </c>
      <c r="N3" s="174" t="s">
        <v>120</v>
      </c>
      <c r="P3" s="175">
        <v>125</v>
      </c>
      <c r="V3" s="174" t="s">
        <v>151</v>
      </c>
      <c r="AE3" s="176"/>
    </row>
    <row r="4" spans="1:31" x14ac:dyDescent="0.25">
      <c r="A4" s="298">
        <v>3.75</v>
      </c>
      <c r="B4" s="293">
        <v>0.05</v>
      </c>
      <c r="C4" s="308">
        <v>20</v>
      </c>
      <c r="D4" s="308">
        <v>100</v>
      </c>
      <c r="E4" s="293">
        <v>150</v>
      </c>
      <c r="F4" s="293">
        <f t="shared" si="1"/>
        <v>400</v>
      </c>
      <c r="G4" s="293">
        <f t="shared" si="2"/>
        <v>10</v>
      </c>
      <c r="H4" s="293">
        <f t="shared" si="3"/>
        <v>66.666666666666671</v>
      </c>
      <c r="I4" s="293">
        <v>8</v>
      </c>
      <c r="J4" s="293">
        <f t="shared" si="4"/>
        <v>74.666666666666671</v>
      </c>
      <c r="K4" s="303">
        <f>J4*2.92</f>
        <v>218.02666666666667</v>
      </c>
      <c r="N4" s="174" t="s">
        <v>36</v>
      </c>
      <c r="P4" s="176" t="s">
        <v>122</v>
      </c>
      <c r="V4" s="174"/>
      <c r="AE4" s="176"/>
    </row>
    <row r="5" spans="1:31" x14ac:dyDescent="0.25">
      <c r="A5" s="298">
        <v>3.5</v>
      </c>
      <c r="B5" s="293">
        <v>5.2499999999999998E-2</v>
      </c>
      <c r="C5" s="308">
        <v>20</v>
      </c>
      <c r="D5" s="308">
        <v>100</v>
      </c>
      <c r="E5" s="293">
        <f t="shared" si="0"/>
        <v>2000</v>
      </c>
      <c r="F5" s="293">
        <f t="shared" si="1"/>
        <v>380.95238095238096</v>
      </c>
      <c r="G5" s="293">
        <f t="shared" si="2"/>
        <v>10</v>
      </c>
      <c r="H5" s="293">
        <f t="shared" si="3"/>
        <v>63.492063492063494</v>
      </c>
      <c r="I5" s="293">
        <v>8</v>
      </c>
      <c r="J5" s="293">
        <f t="shared" si="4"/>
        <v>71.492063492063494</v>
      </c>
      <c r="K5" s="303">
        <f>J5*2.92</f>
        <v>208.75682539682541</v>
      </c>
      <c r="N5" s="174" t="s">
        <v>121</v>
      </c>
      <c r="P5" s="176" t="s">
        <v>123</v>
      </c>
      <c r="V5" s="174" t="s">
        <v>152</v>
      </c>
      <c r="AE5" s="176"/>
    </row>
    <row r="6" spans="1:31" x14ac:dyDescent="0.25">
      <c r="A6" s="298">
        <v>3.25</v>
      </c>
      <c r="B6" s="293">
        <v>5.5E-2</v>
      </c>
      <c r="C6" s="308">
        <v>20</v>
      </c>
      <c r="D6" s="308">
        <v>100</v>
      </c>
      <c r="E6" s="293">
        <f t="shared" si="0"/>
        <v>2000</v>
      </c>
      <c r="F6" s="293">
        <f t="shared" si="1"/>
        <v>363.63636363636363</v>
      </c>
      <c r="G6" s="293">
        <f t="shared" si="2"/>
        <v>10</v>
      </c>
      <c r="H6" s="293">
        <f t="shared" si="3"/>
        <v>60.606060606060602</v>
      </c>
      <c r="I6" s="293">
        <v>8</v>
      </c>
      <c r="J6" s="293">
        <f t="shared" si="4"/>
        <v>68.606060606060595</v>
      </c>
      <c r="K6" s="303">
        <f>J6*2.92</f>
        <v>200.32969696969693</v>
      </c>
      <c r="N6" s="177" t="s">
        <v>124</v>
      </c>
      <c r="O6" s="178"/>
      <c r="P6" s="179">
        <v>150</v>
      </c>
      <c r="V6" s="174" t="s">
        <v>153</v>
      </c>
      <c r="AE6" s="176"/>
    </row>
    <row r="7" spans="1:31" x14ac:dyDescent="0.25">
      <c r="A7" s="298">
        <v>3</v>
      </c>
      <c r="B7" s="293">
        <v>5.7500000000000002E-2</v>
      </c>
      <c r="C7" s="308">
        <v>25</v>
      </c>
      <c r="D7" s="308">
        <v>30</v>
      </c>
      <c r="E7" s="293">
        <f t="shared" si="0"/>
        <v>750</v>
      </c>
      <c r="F7" s="293">
        <f t="shared" si="1"/>
        <v>434.78260869565213</v>
      </c>
      <c r="G7" s="293">
        <f t="shared" si="2"/>
        <v>3</v>
      </c>
      <c r="H7" s="293">
        <f t="shared" si="3"/>
        <v>21.739130434782609</v>
      </c>
      <c r="I7" s="293">
        <v>8</v>
      </c>
      <c r="J7" s="293">
        <f t="shared" si="4"/>
        <v>29.739130434782609</v>
      </c>
      <c r="K7" s="303">
        <f>J7*2.92</f>
        <v>86.838260869565218</v>
      </c>
      <c r="V7" s="174"/>
      <c r="AE7" s="176"/>
    </row>
    <row r="8" spans="1:31" x14ac:dyDescent="0.25">
      <c r="A8" s="299">
        <v>2.75</v>
      </c>
      <c r="B8" s="294">
        <v>0.06</v>
      </c>
      <c r="C8" s="309">
        <v>40</v>
      </c>
      <c r="D8" s="309">
        <v>75</v>
      </c>
      <c r="E8" s="294">
        <f t="shared" si="0"/>
        <v>3000</v>
      </c>
      <c r="F8" s="294">
        <f t="shared" si="1"/>
        <v>666.66666666666674</v>
      </c>
      <c r="G8" s="294">
        <f t="shared" si="2"/>
        <v>7.5</v>
      </c>
      <c r="H8" s="294">
        <f t="shared" si="3"/>
        <v>83.333333333333343</v>
      </c>
      <c r="I8" s="294">
        <v>8</v>
      </c>
      <c r="J8" s="294">
        <f t="shared" si="4"/>
        <v>91.333333333333343</v>
      </c>
      <c r="K8" s="304">
        <f>J8*2.92</f>
        <v>266.69333333333333</v>
      </c>
      <c r="V8" s="174" t="s">
        <v>154</v>
      </c>
      <c r="AE8" s="176"/>
    </row>
    <row r="9" spans="1:31" x14ac:dyDescent="0.25">
      <c r="A9" s="298">
        <v>2.5</v>
      </c>
      <c r="B9" s="293">
        <v>6.5000000000000002E-2</v>
      </c>
      <c r="C9" s="308">
        <v>10.5</v>
      </c>
      <c r="D9" s="308">
        <v>15</v>
      </c>
      <c r="E9" s="293">
        <f t="shared" si="0"/>
        <v>157.5</v>
      </c>
      <c r="F9" s="293">
        <f t="shared" si="1"/>
        <v>161.53846153846152</v>
      </c>
      <c r="G9" s="293">
        <f t="shared" si="2"/>
        <v>1.5</v>
      </c>
      <c r="H9" s="293">
        <f t="shared" si="3"/>
        <v>4.0384615384615374</v>
      </c>
      <c r="I9" s="293">
        <v>8</v>
      </c>
      <c r="J9" s="293">
        <f t="shared" si="4"/>
        <v>12.038461538461537</v>
      </c>
      <c r="K9" s="303">
        <f>J9* 2.92</f>
        <v>35.152307692307687</v>
      </c>
      <c r="V9" s="177" t="s">
        <v>155</v>
      </c>
      <c r="W9" s="178"/>
      <c r="X9" s="178"/>
      <c r="Y9" s="178"/>
      <c r="Z9" s="178"/>
      <c r="AA9" s="178"/>
      <c r="AB9" s="178"/>
      <c r="AC9" s="178"/>
      <c r="AD9" s="178"/>
      <c r="AE9" s="199"/>
    </row>
    <row r="10" spans="1:31" x14ac:dyDescent="0.25">
      <c r="A10" s="300">
        <v>2.25</v>
      </c>
      <c r="B10" s="295">
        <v>7.0000000000000007E-2</v>
      </c>
      <c r="C10" s="310">
        <v>40</v>
      </c>
      <c r="D10" s="310">
        <v>64</v>
      </c>
      <c r="E10" s="295">
        <v>150</v>
      </c>
      <c r="F10" s="295">
        <f t="shared" si="1"/>
        <v>571.42857142857133</v>
      </c>
      <c r="G10" s="295">
        <f t="shared" si="2"/>
        <v>6.4</v>
      </c>
      <c r="H10" s="295">
        <f t="shared" si="3"/>
        <v>60.952380952380949</v>
      </c>
      <c r="I10" s="295">
        <v>8</v>
      </c>
      <c r="J10" s="295">
        <f t="shared" si="4"/>
        <v>68.952380952380949</v>
      </c>
      <c r="K10" s="305">
        <f>J10*2.92</f>
        <v>201.34095238095236</v>
      </c>
    </row>
    <row r="11" spans="1:31" x14ac:dyDescent="0.25">
      <c r="A11" s="300">
        <v>2</v>
      </c>
      <c r="B11" s="295">
        <v>7.4999999999999997E-2</v>
      </c>
      <c r="C11" s="310">
        <v>10</v>
      </c>
      <c r="D11" s="310">
        <v>15</v>
      </c>
      <c r="E11" s="295">
        <f t="shared" ref="E11:E18" si="5">C11*D11</f>
        <v>150</v>
      </c>
      <c r="F11" s="295">
        <f t="shared" si="1"/>
        <v>133.33333333333334</v>
      </c>
      <c r="G11" s="295">
        <f t="shared" si="2"/>
        <v>1.5</v>
      </c>
      <c r="H11" s="295">
        <f t="shared" si="3"/>
        <v>3.3333333333333335</v>
      </c>
      <c r="I11" s="295">
        <v>8</v>
      </c>
      <c r="J11" s="295">
        <f t="shared" si="4"/>
        <v>11.333333333333334</v>
      </c>
      <c r="K11" s="305">
        <f>J11*2.92</f>
        <v>33.093333333333334</v>
      </c>
    </row>
    <row r="12" spans="1:31" x14ac:dyDescent="0.25">
      <c r="A12" s="300">
        <v>1.75</v>
      </c>
      <c r="B12" s="295">
        <v>0.08</v>
      </c>
      <c r="C12" s="310">
        <v>18.25</v>
      </c>
      <c r="D12" s="310">
        <v>68</v>
      </c>
      <c r="E12" s="295">
        <f t="shared" si="5"/>
        <v>1241</v>
      </c>
      <c r="F12" s="295">
        <f t="shared" si="1"/>
        <v>228.125</v>
      </c>
      <c r="G12" s="295">
        <f t="shared" si="2"/>
        <v>6.8</v>
      </c>
      <c r="H12" s="295">
        <f t="shared" si="3"/>
        <v>25.854166666666668</v>
      </c>
      <c r="I12" s="295">
        <v>8</v>
      </c>
      <c r="J12" s="295">
        <f t="shared" si="4"/>
        <v>33.854166666666671</v>
      </c>
      <c r="K12" s="305">
        <f>J12*2.92</f>
        <v>98.854166666666671</v>
      </c>
    </row>
    <row r="13" spans="1:31" x14ac:dyDescent="0.25">
      <c r="A13" s="301">
        <v>1.5</v>
      </c>
      <c r="B13" s="296">
        <v>8.5000000000000006E-2</v>
      </c>
      <c r="C13" s="311">
        <v>36</v>
      </c>
      <c r="D13" s="311">
        <v>96</v>
      </c>
      <c r="E13" s="296">
        <f t="shared" si="5"/>
        <v>3456</v>
      </c>
      <c r="F13" s="296">
        <f t="shared" si="1"/>
        <v>423.52941176470586</v>
      </c>
      <c r="G13" s="296">
        <f t="shared" si="2"/>
        <v>9.6</v>
      </c>
      <c r="H13" s="296">
        <f t="shared" si="3"/>
        <v>67.764705882352942</v>
      </c>
      <c r="I13" s="296">
        <v>8</v>
      </c>
      <c r="J13" s="296">
        <f t="shared" si="4"/>
        <v>75.764705882352942</v>
      </c>
      <c r="K13" s="306">
        <f>J13*2.92</f>
        <v>221.23294117647058</v>
      </c>
    </row>
    <row r="14" spans="1:31" x14ac:dyDescent="0.25">
      <c r="A14" s="302">
        <v>1.25</v>
      </c>
      <c r="B14" s="297">
        <v>0.09</v>
      </c>
      <c r="C14" s="312">
        <v>40</v>
      </c>
      <c r="D14" s="312">
        <v>81</v>
      </c>
      <c r="E14" s="297">
        <f t="shared" si="5"/>
        <v>3240</v>
      </c>
      <c r="F14" s="297">
        <f t="shared" si="1"/>
        <v>444.44444444444446</v>
      </c>
      <c r="G14" s="297">
        <f t="shared" si="2"/>
        <v>8.1</v>
      </c>
      <c r="H14" s="297">
        <f t="shared" si="3"/>
        <v>60</v>
      </c>
      <c r="I14" s="297">
        <v>8</v>
      </c>
      <c r="J14" s="297">
        <f t="shared" si="4"/>
        <v>68</v>
      </c>
      <c r="K14" s="307">
        <f>J14*2.92</f>
        <v>198.56</v>
      </c>
    </row>
    <row r="15" spans="1:31" x14ac:dyDescent="0.25">
      <c r="A15" s="301">
        <v>1</v>
      </c>
      <c r="B15" s="296">
        <v>9.5000000000000001E-2</v>
      </c>
      <c r="C15" s="311">
        <v>40</v>
      </c>
      <c r="D15" s="311">
        <v>73</v>
      </c>
      <c r="E15" s="296">
        <f t="shared" si="5"/>
        <v>2920</v>
      </c>
      <c r="F15" s="296">
        <f t="shared" si="1"/>
        <v>421.05263157894734</v>
      </c>
      <c r="G15" s="296">
        <f t="shared" si="2"/>
        <v>7.3</v>
      </c>
      <c r="H15" s="296">
        <f t="shared" si="3"/>
        <v>51.228070175438589</v>
      </c>
      <c r="I15" s="296">
        <v>8</v>
      </c>
      <c r="J15" s="296">
        <f t="shared" si="4"/>
        <v>59.228070175438589</v>
      </c>
      <c r="K15" s="306">
        <f>J15* 2.92</f>
        <v>172.94596491228069</v>
      </c>
    </row>
    <row r="16" spans="1:31" x14ac:dyDescent="0.25">
      <c r="A16" s="301">
        <v>0.75</v>
      </c>
      <c r="B16" s="296">
        <v>0.09</v>
      </c>
      <c r="C16" s="311">
        <v>39</v>
      </c>
      <c r="D16" s="311">
        <v>91</v>
      </c>
      <c r="E16" s="296">
        <f t="shared" si="5"/>
        <v>3549</v>
      </c>
      <c r="F16" s="296">
        <f t="shared" si="1"/>
        <v>433.33333333333337</v>
      </c>
      <c r="G16" s="296">
        <f t="shared" si="2"/>
        <v>9.1</v>
      </c>
      <c r="H16" s="296">
        <f t="shared" si="3"/>
        <v>65.722222222222229</v>
      </c>
      <c r="I16" s="296">
        <v>8</v>
      </c>
      <c r="J16" s="296">
        <f t="shared" si="4"/>
        <v>73.722222222222229</v>
      </c>
      <c r="K16" s="306">
        <f>J16*2.92</f>
        <v>215.26888888888891</v>
      </c>
    </row>
    <row r="17" spans="1:11" x14ac:dyDescent="0.25">
      <c r="A17" s="301">
        <v>0.5</v>
      </c>
      <c r="B17" s="296">
        <v>8.5000000000000006E-2</v>
      </c>
      <c r="C17" s="311">
        <v>39</v>
      </c>
      <c r="D17" s="311">
        <v>117</v>
      </c>
      <c r="E17" s="296">
        <f t="shared" si="5"/>
        <v>4563</v>
      </c>
      <c r="F17" s="296">
        <f t="shared" si="1"/>
        <v>458.8235294117647</v>
      </c>
      <c r="G17" s="296">
        <f t="shared" si="2"/>
        <v>11.7</v>
      </c>
      <c r="H17" s="296">
        <f t="shared" si="3"/>
        <v>89.470588235294116</v>
      </c>
      <c r="I17" s="296">
        <v>8</v>
      </c>
      <c r="J17" s="296">
        <f t="shared" si="4"/>
        <v>97.470588235294116</v>
      </c>
      <c r="K17" s="306">
        <f>J17*2.92</f>
        <v>284.61411764705883</v>
      </c>
    </row>
    <row r="18" spans="1:11" x14ac:dyDescent="0.25">
      <c r="A18" s="301">
        <v>0.25</v>
      </c>
      <c r="B18" s="296">
        <v>0.08</v>
      </c>
      <c r="C18" s="311">
        <v>51</v>
      </c>
      <c r="D18" s="311">
        <v>106</v>
      </c>
      <c r="E18" s="296">
        <f t="shared" si="5"/>
        <v>5406</v>
      </c>
      <c r="F18" s="296">
        <f t="shared" si="1"/>
        <v>637.5</v>
      </c>
      <c r="G18" s="296">
        <f t="shared" si="2"/>
        <v>10.6</v>
      </c>
      <c r="H18" s="296">
        <f t="shared" si="3"/>
        <v>112.625</v>
      </c>
      <c r="I18" s="296">
        <v>8</v>
      </c>
      <c r="J18" s="296">
        <f t="shared" si="4"/>
        <v>120.625</v>
      </c>
      <c r="K18" s="306">
        <f>J18*2.92</f>
        <v>352.22499999999997</v>
      </c>
    </row>
  </sheetData>
  <mergeCells count="1">
    <mergeCell ref="A1:K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B83C-901B-4A04-BB0F-C44ADC72B176}">
  <sheetPr>
    <tabColor rgb="FF92D050"/>
  </sheetPr>
  <dimension ref="A1:AD37"/>
  <sheetViews>
    <sheetView zoomScaleNormal="100" workbookViewId="0">
      <selection activeCell="V21" sqref="V21:Y27"/>
    </sheetView>
  </sheetViews>
  <sheetFormatPr defaultRowHeight="15" x14ac:dyDescent="0.25"/>
  <cols>
    <col min="1" max="1" width="9.140625" style="1"/>
    <col min="2" max="2" width="13.28515625" style="1" customWidth="1"/>
    <col min="3" max="3" width="14.7109375" style="1" customWidth="1"/>
    <col min="4" max="5" width="13.28515625" style="1" hidden="1" customWidth="1"/>
    <col min="6" max="6" width="21" style="1" hidden="1" customWidth="1"/>
    <col min="7" max="7" width="22.7109375" style="1" hidden="1" customWidth="1"/>
    <col min="8" max="8" width="14.85546875" style="1" hidden="1" customWidth="1"/>
    <col min="9" max="9" width="11.5703125" style="1" hidden="1" customWidth="1"/>
    <col min="10" max="10" width="12.42578125" style="1" hidden="1" customWidth="1"/>
    <col min="11" max="13" width="26" style="1" hidden="1" customWidth="1"/>
    <col min="14" max="14" width="18.5703125" style="1" customWidth="1"/>
    <col min="15" max="15" width="16.42578125" style="1" customWidth="1"/>
    <col min="16" max="16" width="14.7109375" style="1" customWidth="1"/>
    <col min="17" max="17" width="20.28515625" style="1" hidden="1" customWidth="1"/>
    <col min="18" max="18" width="13" style="1" customWidth="1"/>
    <col min="19" max="19" width="13" style="1" hidden="1" customWidth="1"/>
    <col min="20" max="20" width="13" style="1" customWidth="1"/>
    <col min="21" max="21" width="11.42578125" style="1" customWidth="1"/>
    <col min="22" max="22" width="8.7109375" style="1" bestFit="1" customWidth="1"/>
    <col min="23" max="23" width="13.140625" style="1" customWidth="1"/>
    <col min="24" max="24" width="9.140625" style="1"/>
    <col min="25" max="25" width="15.28515625" style="1" customWidth="1"/>
    <col min="26" max="26" width="13.85546875" style="1" customWidth="1"/>
    <col min="29" max="29" width="16.28515625" customWidth="1"/>
    <col min="30" max="30" width="11.4257812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15.75" customHeight="1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3</v>
      </c>
      <c r="B3" s="65">
        <v>48.5</v>
      </c>
      <c r="C3" s="65">
        <v>39</v>
      </c>
      <c r="D3" s="66">
        <v>0.125</v>
      </c>
      <c r="E3" s="66">
        <v>0.125</v>
      </c>
      <c r="F3" s="66">
        <f>(A3+B3)*C3</f>
        <v>2008.5</v>
      </c>
      <c r="G3" s="66">
        <f>(A3+B3)/E3</f>
        <v>412</v>
      </c>
      <c r="H3" s="66">
        <f t="shared" ref="H3" si="0">C3/10</f>
        <v>3.9</v>
      </c>
      <c r="I3" s="66">
        <v>3.5</v>
      </c>
      <c r="J3" s="67">
        <f t="shared" ref="J3" si="1">H3*G3/60</f>
        <v>26.779999999999998</v>
      </c>
      <c r="K3" s="67">
        <f>J3+I3</f>
        <v>30.279999999999998</v>
      </c>
      <c r="L3" s="68">
        <v>250</v>
      </c>
      <c r="M3" s="69">
        <f>L3/60</f>
        <v>4.166666666666667</v>
      </c>
      <c r="N3" s="70">
        <f>ROUNDUP(K3*M3,1)</f>
        <v>126.19999999999999</v>
      </c>
      <c r="O3" s="56"/>
      <c r="P3" s="30">
        <v>0</v>
      </c>
      <c r="Q3" s="71">
        <v>0.02</v>
      </c>
      <c r="R3" s="32">
        <v>5</v>
      </c>
      <c r="S3" s="35">
        <f>N3*R3</f>
        <v>631</v>
      </c>
      <c r="T3" s="33">
        <f>IF(S3&gt;Y3,S3,Y3)</f>
        <v>631</v>
      </c>
      <c r="U3" s="33">
        <f>T3+P3</f>
        <v>631</v>
      </c>
      <c r="V3" s="33">
        <f>ROUNDUP(U3*Q3,0)</f>
        <v>13</v>
      </c>
      <c r="W3" s="33">
        <f>U3+V3</f>
        <v>644</v>
      </c>
      <c r="X3" s="34"/>
      <c r="Y3" s="57">
        <v>250</v>
      </c>
      <c r="Z3" s="36">
        <f>ROUNDDOWN(Y3/N3,0)</f>
        <v>1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15.75" customHeight="1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1.125</v>
      </c>
      <c r="B6" s="65">
        <v>2</v>
      </c>
      <c r="C6" s="65">
        <v>2.25</v>
      </c>
      <c r="D6" s="66">
        <v>0.125</v>
      </c>
      <c r="E6" s="66">
        <v>4.4999999999999998E-2</v>
      </c>
      <c r="F6" s="66">
        <f>(A6+B6)*C6</f>
        <v>7.03125</v>
      </c>
      <c r="G6" s="66">
        <f>(A6+B6)/E6</f>
        <v>69.444444444444443</v>
      </c>
      <c r="H6" s="66">
        <f t="shared" ref="H6" si="2">C6/10</f>
        <v>0.22500000000000001</v>
      </c>
      <c r="I6" s="66">
        <v>3.5</v>
      </c>
      <c r="J6" s="67">
        <f t="shared" ref="J6" si="3">H6*G6/60</f>
        <v>0.26041666666666669</v>
      </c>
      <c r="K6" s="67">
        <f>J6+I6</f>
        <v>3.7604166666666665</v>
      </c>
      <c r="L6" s="68">
        <v>250</v>
      </c>
      <c r="M6" s="69">
        <f>L6/60</f>
        <v>4.166666666666667</v>
      </c>
      <c r="N6" s="70">
        <f>ROUNDUP(K6*M6,1)</f>
        <v>15.7</v>
      </c>
      <c r="O6" s="56"/>
      <c r="P6" s="30">
        <v>125</v>
      </c>
      <c r="Q6" s="71">
        <v>0.02</v>
      </c>
      <c r="R6" s="32">
        <v>11</v>
      </c>
      <c r="S6" s="35">
        <f>N6*R6</f>
        <v>172.7</v>
      </c>
      <c r="T6" s="33">
        <f>IF(S6&gt;Y6,S6,Y6)</f>
        <v>250</v>
      </c>
      <c r="U6" s="33">
        <f>T6+P6</f>
        <v>375</v>
      </c>
      <c r="V6" s="33">
        <f>ROUNDUP(U6*Q6,0)</f>
        <v>8</v>
      </c>
      <c r="W6" s="33">
        <f>U6+V6</f>
        <v>383</v>
      </c>
      <c r="X6" s="34"/>
      <c r="Y6" s="57">
        <v>250</v>
      </c>
      <c r="Z6" s="36">
        <f>ROUNDDOWN(Y6/N6,0)</f>
        <v>15</v>
      </c>
    </row>
    <row r="7" spans="1:26" ht="26.25" x14ac:dyDescent="0.25">
      <c r="A7"/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A8"/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A9"/>
      <c r="B9" s="14">
        <v>2.125</v>
      </c>
      <c r="C9" s="14">
        <v>36</v>
      </c>
      <c r="D9" s="66" t="s">
        <v>0</v>
      </c>
      <c r="E9" s="16">
        <v>4.4999999999999998E-2</v>
      </c>
      <c r="F9" s="16">
        <f>B9*3.14</f>
        <v>6.6725000000000003</v>
      </c>
      <c r="G9" s="17">
        <f>F9/E9</f>
        <v>148.2777777777778</v>
      </c>
      <c r="H9" s="16">
        <f>C9/10</f>
        <v>3.6</v>
      </c>
      <c r="I9" s="16">
        <v>2</v>
      </c>
      <c r="J9" s="19">
        <f>H9*G9/60</f>
        <v>8.8966666666666683</v>
      </c>
      <c r="K9" s="20">
        <f>J9+I9</f>
        <v>10.896666666666668</v>
      </c>
      <c r="L9" s="68">
        <v>250</v>
      </c>
      <c r="M9" s="69">
        <f>L9/60</f>
        <v>4.166666666666667</v>
      </c>
      <c r="N9" s="18">
        <f>ROUNDUP(K9*M9,1)</f>
        <v>45.5</v>
      </c>
      <c r="O9" s="56"/>
      <c r="P9" s="30">
        <v>125</v>
      </c>
      <c r="Q9" s="71">
        <v>0.02</v>
      </c>
      <c r="R9" s="32">
        <v>16</v>
      </c>
      <c r="S9" s="35">
        <f>N9*R9</f>
        <v>728</v>
      </c>
      <c r="T9" s="33">
        <f>IF(S9&gt;Y9,S9,Y9)</f>
        <v>728</v>
      </c>
      <c r="U9" s="33">
        <f>T9+P9</f>
        <v>853</v>
      </c>
      <c r="V9" s="33">
        <f>ROUNDUP(U9*Q9,0)</f>
        <v>18</v>
      </c>
      <c r="W9" s="33">
        <f t="shared" ref="W9" si="4">U9+V9</f>
        <v>871</v>
      </c>
      <c r="X9" s="56"/>
      <c r="Y9" s="58">
        <v>250</v>
      </c>
      <c r="Z9" s="47">
        <f>ROUNDDOWN(Y9/N9,0)</f>
        <v>5</v>
      </c>
    </row>
    <row r="10" spans="1:26" ht="18.75" x14ac:dyDescent="0.25"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3.5</v>
      </c>
      <c r="J14" s="67">
        <f t="shared" ref="J14" si="6">H14*G14/60</f>
        <v>0.1111111111111111</v>
      </c>
      <c r="K14" s="67">
        <f>J14+I14</f>
        <v>3.6111111111111112</v>
      </c>
      <c r="L14" s="68">
        <v>275</v>
      </c>
      <c r="M14" s="69">
        <f>L14/60</f>
        <v>4.583333333333333</v>
      </c>
      <c r="N14" s="70">
        <f>ROUNDUP(K14*M14,1)</f>
        <v>16.600000000000001</v>
      </c>
      <c r="O14" s="56"/>
      <c r="P14" s="30">
        <v>125</v>
      </c>
      <c r="Q14" s="71">
        <v>0.02</v>
      </c>
      <c r="R14" s="32">
        <v>50</v>
      </c>
      <c r="S14" s="35">
        <f>N14*R14</f>
        <v>830.00000000000011</v>
      </c>
      <c r="T14" s="33">
        <f>IF(S14&gt;Y14,S14,Y14)</f>
        <v>830.00000000000011</v>
      </c>
      <c r="U14" s="33">
        <f>T14+P14</f>
        <v>955.00000000000011</v>
      </c>
      <c r="V14" s="33">
        <f>ROUNDUP(U14*Q14,0)</f>
        <v>20</v>
      </c>
      <c r="W14" s="33">
        <f>U14+V14</f>
        <v>975.00000000000011</v>
      </c>
      <c r="X14" s="34"/>
      <c r="Y14" s="57">
        <v>275</v>
      </c>
      <c r="Z14" s="36">
        <f>ROUNDDOWN(Y14/N14,0)</f>
        <v>16</v>
      </c>
    </row>
    <row r="15" spans="1:26" ht="26.25" x14ac:dyDescent="0.25"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B17" s="14">
        <v>8.5</v>
      </c>
      <c r="C17" s="14">
        <v>3.75</v>
      </c>
      <c r="D17" s="66" t="s">
        <v>0</v>
      </c>
      <c r="E17" s="16">
        <v>4.4999999999999998E-2</v>
      </c>
      <c r="F17" s="16">
        <f>B17*3.14</f>
        <v>26.69</v>
      </c>
      <c r="G17" s="17">
        <f>F17/E17</f>
        <v>593.1111111111112</v>
      </c>
      <c r="H17" s="16">
        <f>C17/10</f>
        <v>0.375</v>
      </c>
      <c r="I17" s="16">
        <v>4</v>
      </c>
      <c r="J17" s="19">
        <f>H17*G17/60</f>
        <v>3.7069444444444448</v>
      </c>
      <c r="K17" s="20">
        <f>J17+I17</f>
        <v>7.7069444444444448</v>
      </c>
      <c r="L17" s="68">
        <v>275</v>
      </c>
      <c r="M17" s="69">
        <f>L17/60</f>
        <v>4.583333333333333</v>
      </c>
      <c r="N17" s="18">
        <f>ROUNDUP(K17*M17,1)</f>
        <v>35.4</v>
      </c>
      <c r="O17" s="56"/>
      <c r="P17" s="30">
        <v>125</v>
      </c>
      <c r="Q17" s="71">
        <v>0.02</v>
      </c>
      <c r="R17" s="32">
        <v>1</v>
      </c>
      <c r="S17" s="35">
        <f>N17*R17</f>
        <v>35.4</v>
      </c>
      <c r="T17" s="33">
        <f>IF(S17&gt;Y17,S17,Y17)</f>
        <v>275</v>
      </c>
      <c r="U17" s="33">
        <f>T17+P17</f>
        <v>400</v>
      </c>
      <c r="V17" s="33">
        <f>ROUNDUP(U17*Q17,0)</f>
        <v>8</v>
      </c>
      <c r="W17" s="33">
        <f t="shared" ref="W17" si="7">U17+V17</f>
        <v>408</v>
      </c>
      <c r="X17" s="56"/>
      <c r="Y17" s="58">
        <v>275</v>
      </c>
      <c r="Z17" s="47">
        <f>ROUNDDOWN(Y17/N17,0)</f>
        <v>7</v>
      </c>
    </row>
    <row r="18" spans="1:30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30" ht="15.75" thickBo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30" ht="24.75" thickTop="1" thickBot="1" x14ac:dyDescent="0.4">
      <c r="A20" s="351"/>
      <c r="B20" s="372" t="s">
        <v>119</v>
      </c>
      <c r="C20" s="359"/>
      <c r="D20"/>
      <c r="E20"/>
      <c r="F20"/>
      <c r="G20"/>
      <c r="H20"/>
      <c r="N20" s="351"/>
      <c r="O20" s="352"/>
      <c r="P20" s="372" t="s">
        <v>149</v>
      </c>
      <c r="Q20" s="352"/>
      <c r="R20" s="352"/>
      <c r="S20" s="372" t="s">
        <v>149</v>
      </c>
      <c r="T20" s="359"/>
      <c r="U20"/>
      <c r="V20" s="436" t="s">
        <v>348</v>
      </c>
      <c r="W20" s="436"/>
      <c r="X20" s="436"/>
      <c r="Y20" s="436"/>
      <c r="AA20" s="460" t="s">
        <v>362</v>
      </c>
      <c r="AB20" s="461"/>
      <c r="AC20" s="461"/>
      <c r="AD20" s="461"/>
    </row>
    <row r="21" spans="1:30" ht="16.5" thickTop="1" x14ac:dyDescent="0.25">
      <c r="A21" s="373" t="s">
        <v>32</v>
      </c>
      <c r="B21"/>
      <c r="C21" s="376">
        <v>250</v>
      </c>
      <c r="D21"/>
      <c r="E21"/>
      <c r="F21"/>
      <c r="G21"/>
      <c r="H21"/>
      <c r="N21" s="373" t="s">
        <v>150</v>
      </c>
      <c r="O21"/>
      <c r="P21"/>
      <c r="Q21"/>
      <c r="R21"/>
      <c r="S21"/>
      <c r="T21" s="374"/>
      <c r="U21"/>
      <c r="V21" s="362" t="s">
        <v>207</v>
      </c>
      <c r="W21" s="363"/>
      <c r="X21" s="352"/>
      <c r="Y21" s="364">
        <f>N6</f>
        <v>15.7</v>
      </c>
      <c r="AA21" s="462" t="s">
        <v>207</v>
      </c>
      <c r="AB21" s="463"/>
      <c r="AC21" s="383"/>
      <c r="AD21" s="470">
        <f>N3</f>
        <v>126.19999999999999</v>
      </c>
    </row>
    <row r="22" spans="1:30" ht="15.75" x14ac:dyDescent="0.25">
      <c r="A22" s="373" t="s">
        <v>120</v>
      </c>
      <c r="B22"/>
      <c r="C22" s="376">
        <v>125</v>
      </c>
      <c r="D22"/>
      <c r="E22"/>
      <c r="F22"/>
      <c r="G22"/>
      <c r="H22"/>
      <c r="N22" s="373" t="s">
        <v>151</v>
      </c>
      <c r="O22"/>
      <c r="P22"/>
      <c r="Q22"/>
      <c r="R22"/>
      <c r="S22"/>
      <c r="T22" s="374"/>
      <c r="U22"/>
      <c r="V22" s="365" t="s">
        <v>208</v>
      </c>
      <c r="X22"/>
      <c r="Y22" s="366">
        <f>R6</f>
        <v>11</v>
      </c>
      <c r="AA22" s="464" t="s">
        <v>208</v>
      </c>
      <c r="AB22" s="1"/>
      <c r="AD22" s="471">
        <f>R3</f>
        <v>5</v>
      </c>
    </row>
    <row r="23" spans="1:30" ht="15.75" x14ac:dyDescent="0.25">
      <c r="A23" s="373" t="s">
        <v>36</v>
      </c>
      <c r="B23"/>
      <c r="C23" s="377" t="s">
        <v>122</v>
      </c>
      <c r="D23"/>
      <c r="E23"/>
      <c r="F23"/>
      <c r="G23"/>
      <c r="H23"/>
      <c r="N23" s="373"/>
      <c r="O23"/>
      <c r="P23"/>
      <c r="Q23"/>
      <c r="R23"/>
      <c r="S23"/>
      <c r="T23" s="374"/>
      <c r="U23"/>
      <c r="V23" s="365" t="s">
        <v>209</v>
      </c>
      <c r="X23"/>
      <c r="Y23" s="367">
        <f>T6</f>
        <v>250</v>
      </c>
      <c r="AA23" s="464" t="s">
        <v>209</v>
      </c>
      <c r="AB23" s="1"/>
      <c r="AD23" s="469">
        <f>T3</f>
        <v>631</v>
      </c>
    </row>
    <row r="24" spans="1:30" ht="15.75" x14ac:dyDescent="0.25">
      <c r="A24" s="373" t="s">
        <v>121</v>
      </c>
      <c r="B24"/>
      <c r="C24" s="377" t="s">
        <v>123</v>
      </c>
      <c r="D24"/>
      <c r="E24"/>
      <c r="F24"/>
      <c r="G24"/>
      <c r="H24"/>
      <c r="N24" s="373" t="s">
        <v>152</v>
      </c>
      <c r="O24"/>
      <c r="P24"/>
      <c r="Q24"/>
      <c r="R24"/>
      <c r="S24"/>
      <c r="T24" s="374"/>
      <c r="U24"/>
      <c r="V24" s="365" t="s">
        <v>210</v>
      </c>
      <c r="X24"/>
      <c r="Y24" s="367">
        <f>V6</f>
        <v>8</v>
      </c>
      <c r="AA24" s="464" t="s">
        <v>210</v>
      </c>
      <c r="AB24" s="1"/>
      <c r="AD24" s="469">
        <f>V3</f>
        <v>13</v>
      </c>
    </row>
    <row r="25" spans="1:30" ht="16.5" thickBot="1" x14ac:dyDescent="0.3">
      <c r="A25" s="353" t="s">
        <v>124</v>
      </c>
      <c r="B25" s="354"/>
      <c r="C25" s="378" t="s">
        <v>156</v>
      </c>
      <c r="D25"/>
      <c r="E25"/>
      <c r="F25"/>
      <c r="G25"/>
      <c r="H25"/>
      <c r="N25" s="373" t="s">
        <v>153</v>
      </c>
      <c r="O25"/>
      <c r="P25"/>
      <c r="Q25"/>
      <c r="R25"/>
      <c r="S25"/>
      <c r="T25" s="374"/>
      <c r="U25"/>
      <c r="V25" s="365" t="s">
        <v>216</v>
      </c>
      <c r="W25"/>
      <c r="X25"/>
      <c r="Y25" s="368">
        <f>P6</f>
        <v>125</v>
      </c>
      <c r="AA25" s="464" t="s">
        <v>216</v>
      </c>
      <c r="AD25" s="465">
        <f>-P3</f>
        <v>0</v>
      </c>
    </row>
    <row r="26" spans="1:30" ht="16.5" thickTop="1" x14ac:dyDescent="0.25">
      <c r="A26"/>
      <c r="B26"/>
      <c r="C26"/>
      <c r="D26"/>
      <c r="E26"/>
      <c r="F26"/>
      <c r="G26"/>
      <c r="H26"/>
      <c r="N26" s="373"/>
      <c r="O26"/>
      <c r="P26"/>
      <c r="Q26"/>
      <c r="R26"/>
      <c r="S26"/>
      <c r="T26" s="374"/>
      <c r="U26"/>
      <c r="V26" s="365" t="s">
        <v>211</v>
      </c>
      <c r="X26"/>
      <c r="Y26" s="367">
        <f>W6</f>
        <v>383</v>
      </c>
      <c r="AA26" s="464" t="s">
        <v>211</v>
      </c>
      <c r="AB26" s="1"/>
      <c r="AD26" s="469">
        <f>W3</f>
        <v>644</v>
      </c>
    </row>
    <row r="27" spans="1:30" ht="16.5" thickBot="1" x14ac:dyDescent="0.3">
      <c r="A27"/>
      <c r="B27"/>
      <c r="C27"/>
      <c r="D27"/>
      <c r="E27"/>
      <c r="F27"/>
      <c r="G27"/>
      <c r="H27"/>
      <c r="N27" s="373" t="s">
        <v>154</v>
      </c>
      <c r="O27"/>
      <c r="P27"/>
      <c r="Q27"/>
      <c r="R27"/>
      <c r="S27"/>
      <c r="T27" s="374"/>
      <c r="U27"/>
      <c r="V27" s="369" t="s">
        <v>346</v>
      </c>
      <c r="W27" s="354"/>
      <c r="X27" s="437"/>
      <c r="Y27" s="438" t="s">
        <v>347</v>
      </c>
      <c r="AA27" s="466" t="s">
        <v>346</v>
      </c>
      <c r="AB27" s="388"/>
      <c r="AC27" s="467"/>
      <c r="AD27" s="468" t="s">
        <v>347</v>
      </c>
    </row>
    <row r="28" spans="1:30" ht="16.5" thickTop="1" thickBot="1" x14ac:dyDescent="0.3">
      <c r="A28"/>
      <c r="B28"/>
      <c r="C28"/>
      <c r="D28"/>
      <c r="E28"/>
      <c r="F28"/>
      <c r="G28"/>
      <c r="H28"/>
      <c r="N28" s="353" t="s">
        <v>155</v>
      </c>
      <c r="O28" s="354"/>
      <c r="P28" s="354"/>
      <c r="Q28" s="354"/>
      <c r="R28" s="354"/>
      <c r="S28" s="354"/>
      <c r="T28" s="375"/>
      <c r="U28"/>
      <c r="V28"/>
      <c r="W28"/>
    </row>
    <row r="29" spans="1:30" ht="24.75" thickTop="1" thickBot="1" x14ac:dyDescent="0.4">
      <c r="V29" s="541" t="s">
        <v>284</v>
      </c>
      <c r="W29" s="541"/>
      <c r="X29" s="541"/>
      <c r="Y29" s="541"/>
    </row>
    <row r="30" spans="1:30" ht="16.5" thickTop="1" x14ac:dyDescent="0.25">
      <c r="V30" s="362" t="s">
        <v>207</v>
      </c>
      <c r="W30" s="363"/>
      <c r="X30" s="352"/>
      <c r="Y30" s="364">
        <f>N9</f>
        <v>45.5</v>
      </c>
    </row>
    <row r="31" spans="1:30" ht="15.75" x14ac:dyDescent="0.25">
      <c r="V31" s="365" t="s">
        <v>208</v>
      </c>
      <c r="X31"/>
      <c r="Y31" s="366">
        <f>R9</f>
        <v>16</v>
      </c>
    </row>
    <row r="32" spans="1:30" ht="15.75" x14ac:dyDescent="0.25">
      <c r="V32" s="365" t="s">
        <v>209</v>
      </c>
      <c r="X32"/>
      <c r="Y32" s="367">
        <f>T9</f>
        <v>728</v>
      </c>
    </row>
    <row r="33" spans="22:25" ht="15.75" x14ac:dyDescent="0.25">
      <c r="V33" s="365" t="s">
        <v>210</v>
      </c>
      <c r="X33"/>
      <c r="Y33" s="367">
        <f>V9</f>
        <v>18</v>
      </c>
    </row>
    <row r="34" spans="22:25" ht="15.75" x14ac:dyDescent="0.25">
      <c r="V34" s="365" t="s">
        <v>216</v>
      </c>
      <c r="W34"/>
      <c r="X34"/>
      <c r="Y34" s="368">
        <f>P9</f>
        <v>125</v>
      </c>
    </row>
    <row r="35" spans="22:25" ht="15.75" x14ac:dyDescent="0.25">
      <c r="V35" s="365" t="s">
        <v>211</v>
      </c>
      <c r="X35"/>
      <c r="Y35" s="367">
        <f>W9</f>
        <v>871</v>
      </c>
    </row>
    <row r="36" spans="22:25" ht="16.5" thickBot="1" x14ac:dyDescent="0.3">
      <c r="V36" s="369" t="s">
        <v>346</v>
      </c>
      <c r="W36" s="354"/>
      <c r="X36" s="539" t="s">
        <v>347</v>
      </c>
      <c r="Y36" s="540"/>
    </row>
    <row r="37" spans="22:25" ht="15.75" thickTop="1" x14ac:dyDescent="0.25"/>
  </sheetData>
  <mergeCells count="2">
    <mergeCell ref="V29:Y29"/>
    <mergeCell ref="X36:Y36"/>
  </mergeCells>
  <pageMargins left="0.7" right="0.7" top="0.75" bottom="0.75" header="0.3" footer="0.3"/>
  <pageSetup orientation="portrait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A6751-0540-4904-88C6-755C09776417}">
  <sheetPr>
    <tabColor rgb="FF92D050"/>
  </sheetPr>
  <dimension ref="A1:Z34"/>
  <sheetViews>
    <sheetView topLeftCell="C1" workbookViewId="0">
      <selection activeCell="V18" sqref="V18:Y24"/>
    </sheetView>
  </sheetViews>
  <sheetFormatPr defaultRowHeight="15" x14ac:dyDescent="0.25"/>
  <cols>
    <col min="4" max="13" width="9.140625" customWidth="1"/>
    <col min="19" max="19" width="10.42578125" customWidth="1"/>
    <col min="20" max="20" width="11.42578125" customWidth="1"/>
    <col min="21" max="21" width="11.5703125" customWidth="1"/>
    <col min="23" max="23" width="11.85546875" customWidth="1"/>
    <col min="25" max="25" width="12.85546875" customWidth="1"/>
  </cols>
  <sheetData>
    <row r="1" spans="1:26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1.25</v>
      </c>
      <c r="B3" s="65">
        <v>2.1</v>
      </c>
      <c r="C3" s="65">
        <v>3.1</v>
      </c>
      <c r="D3" s="66">
        <v>0.125</v>
      </c>
      <c r="E3" s="66">
        <v>3.5000000000000003E-2</v>
      </c>
      <c r="F3" s="66">
        <f>(A3+B3)*C3</f>
        <v>10.385</v>
      </c>
      <c r="G3" s="66">
        <f>(A3+B3)/E3</f>
        <v>95.714285714285708</v>
      </c>
      <c r="H3" s="66">
        <f t="shared" ref="H3" si="0">C3/10</f>
        <v>0.31</v>
      </c>
      <c r="I3" s="66">
        <v>3.5</v>
      </c>
      <c r="J3" s="67">
        <f t="shared" ref="J3" si="1">H3*G3/60</f>
        <v>0.49452380952380953</v>
      </c>
      <c r="K3" s="67">
        <f>J3+I3</f>
        <v>3.9945238095238094</v>
      </c>
      <c r="L3" s="68">
        <v>250</v>
      </c>
      <c r="M3" s="69">
        <f>L3/60</f>
        <v>4.166666666666667</v>
      </c>
      <c r="N3" s="70">
        <f>ROUNDUP(K3*M3,1)</f>
        <v>16.700000000000003</v>
      </c>
      <c r="O3" s="56" t="s">
        <v>197</v>
      </c>
      <c r="P3" s="30">
        <v>125</v>
      </c>
      <c r="Q3" s="71">
        <v>0.02</v>
      </c>
      <c r="R3" s="32">
        <v>25</v>
      </c>
      <c r="S3" s="35">
        <f>N3*R3</f>
        <v>417.50000000000006</v>
      </c>
      <c r="T3" s="33">
        <f>IF(S3&gt;Y3,S3,Y3)</f>
        <v>417.50000000000006</v>
      </c>
      <c r="U3" s="55">
        <f>(T3+P3)</f>
        <v>542.5</v>
      </c>
      <c r="V3" s="33">
        <f>ROUNDUP(U3*Q3,0)</f>
        <v>11</v>
      </c>
      <c r="W3" s="33">
        <f>U3+V3</f>
        <v>553.5</v>
      </c>
      <c r="X3" s="34"/>
      <c r="Y3" s="57">
        <v>250</v>
      </c>
      <c r="Z3" s="36">
        <f>ROUNDDOWN(Y3/N3,0)</f>
        <v>14</v>
      </c>
    </row>
    <row r="4" spans="1:26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0"/>
      <c r="T4" s="63"/>
      <c r="U4" s="63"/>
      <c r="V4" s="63"/>
      <c r="W4" s="63"/>
      <c r="X4" s="60"/>
      <c r="Y4" s="60"/>
      <c r="Z4" s="64"/>
    </row>
    <row r="5" spans="1:26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114" t="s">
        <v>204</v>
      </c>
      <c r="T5" s="52" t="s">
        <v>34</v>
      </c>
      <c r="U5" s="44" t="s">
        <v>30</v>
      </c>
      <c r="V5" s="53" t="s">
        <v>36</v>
      </c>
      <c r="W5" s="46" t="s">
        <v>37</v>
      </c>
      <c r="X5" s="21"/>
      <c r="Y5" s="37" t="s">
        <v>32</v>
      </c>
      <c r="Z5" s="37" t="s">
        <v>33</v>
      </c>
    </row>
    <row r="6" spans="1:26" x14ac:dyDescent="0.25">
      <c r="B6" s="14">
        <v>7.5</v>
      </c>
      <c r="C6" s="14">
        <v>1.9</v>
      </c>
      <c r="D6" s="66" t="s">
        <v>0</v>
      </c>
      <c r="E6" s="16">
        <v>4.4999999999999998E-2</v>
      </c>
      <c r="F6" s="16">
        <f>B6*3.14</f>
        <v>23.55</v>
      </c>
      <c r="G6" s="17">
        <f>F6/E6</f>
        <v>523.33333333333337</v>
      </c>
      <c r="H6" s="16">
        <f>C6/10</f>
        <v>0.19</v>
      </c>
      <c r="I6" s="16">
        <v>3.5</v>
      </c>
      <c r="J6" s="19">
        <f>H6*G6/60</f>
        <v>1.6572222222222224</v>
      </c>
      <c r="K6" s="20">
        <f>J6+I6</f>
        <v>5.1572222222222219</v>
      </c>
      <c r="L6" s="68">
        <v>250</v>
      </c>
      <c r="M6" s="69">
        <f>L6/60</f>
        <v>4.166666666666667</v>
      </c>
      <c r="N6" s="18">
        <f>ROUNDUP(K6*M6,1)</f>
        <v>21.5</v>
      </c>
      <c r="O6" s="56" t="s">
        <v>197</v>
      </c>
      <c r="P6" s="30">
        <v>125</v>
      </c>
      <c r="Q6" s="71">
        <v>0.02</v>
      </c>
      <c r="R6" s="32">
        <v>32</v>
      </c>
      <c r="S6" s="35">
        <f>N6*R6</f>
        <v>688</v>
      </c>
      <c r="T6" s="33">
        <f>IF(S6&gt;Y6,S6,Y6)</f>
        <v>688</v>
      </c>
      <c r="U6" s="55">
        <f>(T6+P6)</f>
        <v>813</v>
      </c>
      <c r="V6" s="33">
        <f>ROUNDUP(U6*Q6,0)</f>
        <v>17</v>
      </c>
      <c r="W6" s="33">
        <f t="shared" ref="W6" si="2">U6+V6</f>
        <v>830</v>
      </c>
      <c r="X6" s="56"/>
      <c r="Y6" s="58">
        <v>250</v>
      </c>
      <c r="Z6" s="47">
        <f>ROUNDDOWN(Y6/N6,0)</f>
        <v>11</v>
      </c>
    </row>
    <row r="7" spans="1:26" ht="18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4"/>
      <c r="P7" s="28"/>
      <c r="Q7" s="29"/>
      <c r="R7" s="21"/>
      <c r="S7" s="21"/>
      <c r="T7" s="27"/>
      <c r="U7" s="27"/>
      <c r="V7" s="27"/>
      <c r="W7" s="27"/>
      <c r="X7" s="25"/>
      <c r="Y7" s="21"/>
      <c r="Z7" s="21"/>
    </row>
    <row r="8" spans="1:26" x14ac:dyDescent="0.25">
      <c r="A8" s="1"/>
    </row>
    <row r="9" spans="1:26" ht="26.25" x14ac:dyDescent="0.25">
      <c r="A9" s="134" t="s">
        <v>147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82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88"/>
    </row>
    <row r="10" spans="1:26" ht="30" x14ac:dyDescent="0.25">
      <c r="A10" s="111" t="s">
        <v>23</v>
      </c>
      <c r="B10" s="111" t="s">
        <v>8</v>
      </c>
      <c r="C10" s="111" t="s">
        <v>7</v>
      </c>
      <c r="D10" s="111" t="s">
        <v>2</v>
      </c>
      <c r="E10" s="111" t="s">
        <v>1</v>
      </c>
      <c r="F10" s="111" t="s">
        <v>6</v>
      </c>
      <c r="G10" s="111" t="s">
        <v>3</v>
      </c>
      <c r="H10" s="111" t="s">
        <v>21</v>
      </c>
      <c r="I10" s="111" t="s">
        <v>9</v>
      </c>
      <c r="J10" s="111" t="s">
        <v>4</v>
      </c>
      <c r="K10" s="111" t="s">
        <v>10</v>
      </c>
      <c r="L10" s="111" t="s">
        <v>24</v>
      </c>
      <c r="M10" s="111" t="s">
        <v>25</v>
      </c>
      <c r="N10" s="112" t="s">
        <v>5</v>
      </c>
      <c r="O10" s="39"/>
      <c r="P10" s="113" t="s">
        <v>27</v>
      </c>
      <c r="Q10" s="113" t="s">
        <v>38</v>
      </c>
      <c r="R10" s="114" t="s">
        <v>35</v>
      </c>
      <c r="S10" s="114" t="s">
        <v>204</v>
      </c>
      <c r="T10" s="114" t="s">
        <v>34</v>
      </c>
      <c r="U10" s="114" t="s">
        <v>30</v>
      </c>
      <c r="V10" s="113" t="s">
        <v>36</v>
      </c>
      <c r="W10" s="115" t="s">
        <v>31</v>
      </c>
      <c r="X10" s="113"/>
      <c r="Y10" s="113" t="s">
        <v>32</v>
      </c>
      <c r="Z10" s="114" t="s">
        <v>33</v>
      </c>
    </row>
    <row r="11" spans="1:26" x14ac:dyDescent="0.25">
      <c r="A11" s="65">
        <v>2</v>
      </c>
      <c r="B11" s="65">
        <v>7.65</v>
      </c>
      <c r="C11" s="65">
        <v>8.1999999999999993</v>
      </c>
      <c r="D11" s="66">
        <v>0.125</v>
      </c>
      <c r="E11" s="66">
        <v>4.4999999999999998E-2</v>
      </c>
      <c r="F11" s="66">
        <f>(A11+B11)*C11</f>
        <v>79.13</v>
      </c>
      <c r="G11" s="66">
        <f>(A11+B11)/E11</f>
        <v>214.44444444444446</v>
      </c>
      <c r="H11" s="66">
        <f t="shared" ref="H11" si="3">C11/10</f>
        <v>0.82</v>
      </c>
      <c r="I11" s="66">
        <v>3.5</v>
      </c>
      <c r="J11" s="67">
        <f t="shared" ref="J11" si="4">H11*G11/60</f>
        <v>2.9307407407407404</v>
      </c>
      <c r="K11" s="67">
        <f>J11+I11</f>
        <v>6.43074074074074</v>
      </c>
      <c r="L11" s="68">
        <v>275</v>
      </c>
      <c r="M11" s="69">
        <f>L11/60</f>
        <v>4.583333333333333</v>
      </c>
      <c r="N11" s="70">
        <f>ROUNDUP(K11*M11,1)</f>
        <v>29.5</v>
      </c>
      <c r="O11" s="56" t="s">
        <v>197</v>
      </c>
      <c r="P11" s="30">
        <v>125</v>
      </c>
      <c r="Q11" s="71">
        <v>0.02</v>
      </c>
      <c r="R11" s="32">
        <v>35</v>
      </c>
      <c r="S11" s="35">
        <f>N11*R11</f>
        <v>1032.5</v>
      </c>
      <c r="T11" s="33">
        <f>IF(S11&gt;Y11,S11,Y11)</f>
        <v>1032.5</v>
      </c>
      <c r="U11" s="55">
        <f>(T11+P11)</f>
        <v>1157.5</v>
      </c>
      <c r="V11" s="33">
        <f>ROUNDUP(U11*Q11,0)</f>
        <v>24</v>
      </c>
      <c r="W11" s="33">
        <f>U11+V11</f>
        <v>1181.5</v>
      </c>
      <c r="X11" s="34"/>
      <c r="Y11" s="57">
        <v>275</v>
      </c>
      <c r="Z11" s="36">
        <f>ROUNDDOWN(Y11/N11,0)</f>
        <v>9</v>
      </c>
    </row>
    <row r="12" spans="1:26" ht="26.25" x14ac:dyDescent="0.25">
      <c r="A12" s="1"/>
      <c r="B12" s="168" t="s">
        <v>148</v>
      </c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  <c r="P12" s="61"/>
      <c r="Q12" s="62"/>
      <c r="R12" s="60"/>
      <c r="S12" s="60"/>
      <c r="T12" s="63"/>
      <c r="U12" s="63"/>
      <c r="V12" s="63"/>
      <c r="W12" s="63"/>
      <c r="X12" s="60"/>
      <c r="Y12" s="60"/>
      <c r="Z12" s="64"/>
    </row>
    <row r="13" spans="1:26" x14ac:dyDescent="0.25">
      <c r="A13" s="1"/>
      <c r="B13" s="4" t="s">
        <v>13</v>
      </c>
      <c r="C13" s="4" t="s">
        <v>7</v>
      </c>
      <c r="D13" s="2" t="s">
        <v>2</v>
      </c>
      <c r="E13" s="4" t="s">
        <v>1</v>
      </c>
      <c r="F13" s="5" t="s">
        <v>20</v>
      </c>
      <c r="G13" s="4" t="s">
        <v>14</v>
      </c>
      <c r="H13" s="4" t="s">
        <v>15</v>
      </c>
      <c r="I13" s="4" t="s">
        <v>17</v>
      </c>
      <c r="J13" s="4" t="s">
        <v>16</v>
      </c>
      <c r="K13" s="4" t="s">
        <v>18</v>
      </c>
      <c r="L13" s="2" t="s">
        <v>24</v>
      </c>
      <c r="M13" s="2" t="s">
        <v>25</v>
      </c>
      <c r="N13" s="6" t="s">
        <v>19</v>
      </c>
      <c r="O13" s="40"/>
      <c r="P13" s="42" t="s">
        <v>27</v>
      </c>
      <c r="Q13" s="43" t="s">
        <v>38</v>
      </c>
      <c r="R13" s="49" t="s">
        <v>35</v>
      </c>
      <c r="S13" s="114" t="s">
        <v>204</v>
      </c>
      <c r="T13" s="52" t="s">
        <v>34</v>
      </c>
      <c r="U13" s="44" t="s">
        <v>30</v>
      </c>
      <c r="V13" s="53" t="s">
        <v>36</v>
      </c>
      <c r="W13" s="46" t="s">
        <v>37</v>
      </c>
      <c r="X13" s="21"/>
      <c r="Y13" s="37" t="s">
        <v>32</v>
      </c>
      <c r="Z13" s="37" t="s">
        <v>33</v>
      </c>
    </row>
    <row r="14" spans="1:26" x14ac:dyDescent="0.25">
      <c r="A14" s="1"/>
      <c r="B14" s="14">
        <v>2</v>
      </c>
      <c r="C14" s="14">
        <v>2.8</v>
      </c>
      <c r="D14" s="66" t="s">
        <v>0</v>
      </c>
      <c r="E14" s="16">
        <v>4.4999999999999998E-2</v>
      </c>
      <c r="F14" s="16">
        <f>B14*3.14</f>
        <v>6.28</v>
      </c>
      <c r="G14" s="17">
        <f>F14/E14</f>
        <v>139.55555555555557</v>
      </c>
      <c r="H14" s="16">
        <f>C14/10</f>
        <v>0.27999999999999997</v>
      </c>
      <c r="I14" s="16">
        <v>3.5</v>
      </c>
      <c r="J14" s="19">
        <f>H14*G14/60</f>
        <v>0.6512592592592592</v>
      </c>
      <c r="K14" s="20">
        <f>J14+I14</f>
        <v>4.151259259259259</v>
      </c>
      <c r="L14" s="68">
        <v>275</v>
      </c>
      <c r="M14" s="69">
        <f>L14/60</f>
        <v>4.583333333333333</v>
      </c>
      <c r="N14" s="18">
        <f>ROUNDUP(K14*M14,1)</f>
        <v>19.100000000000001</v>
      </c>
      <c r="O14" s="56" t="s">
        <v>197</v>
      </c>
      <c r="P14" s="30">
        <v>125</v>
      </c>
      <c r="Q14" s="71">
        <v>0.02</v>
      </c>
      <c r="R14" s="32">
        <v>100</v>
      </c>
      <c r="S14" s="35">
        <f>N14*R14</f>
        <v>1910.0000000000002</v>
      </c>
      <c r="T14" s="33">
        <f>IF(S14&gt;Y14,S14,Y14)</f>
        <v>1910.0000000000002</v>
      </c>
      <c r="U14" s="55">
        <f>(T14+P14)</f>
        <v>2035.0000000000002</v>
      </c>
      <c r="V14" s="33">
        <f>ROUNDUP(U14*Q14,0)</f>
        <v>41</v>
      </c>
      <c r="W14" s="33">
        <f t="shared" ref="W14" si="5">U14+V14</f>
        <v>2076</v>
      </c>
      <c r="X14" s="56"/>
      <c r="Y14" s="58">
        <v>275</v>
      </c>
      <c r="Z14" s="47">
        <f>ROUNDDOWN(Y14/N14,0)</f>
        <v>14</v>
      </c>
    </row>
    <row r="16" spans="1:26" ht="15.75" thickBot="1" x14ac:dyDescent="0.3"/>
    <row r="17" spans="1:25" ht="24" thickBot="1" x14ac:dyDescent="0.4">
      <c r="A17" s="171"/>
      <c r="B17" s="172" t="s">
        <v>119</v>
      </c>
      <c r="C17" s="173"/>
      <c r="N17" s="439"/>
      <c r="O17" s="440" t="s">
        <v>149</v>
      </c>
      <c r="P17" s="441"/>
      <c r="Q17" s="441"/>
      <c r="R17" s="441"/>
      <c r="S17" s="488"/>
      <c r="V17" s="541" t="s">
        <v>348</v>
      </c>
      <c r="W17" s="541"/>
      <c r="X17" s="541"/>
      <c r="Y17" s="541"/>
    </row>
    <row r="18" spans="1:25" ht="16.5" thickTop="1" x14ac:dyDescent="0.25">
      <c r="A18" s="174" t="s">
        <v>32</v>
      </c>
      <c r="C18" s="175">
        <v>250</v>
      </c>
      <c r="N18" s="443" t="s">
        <v>150</v>
      </c>
      <c r="S18" s="444"/>
      <c r="V18" s="362" t="s">
        <v>207</v>
      </c>
      <c r="W18" s="363"/>
      <c r="X18" s="352"/>
      <c r="Y18" s="364">
        <f>N3</f>
        <v>16.700000000000003</v>
      </c>
    </row>
    <row r="19" spans="1:25" ht="15.75" x14ac:dyDescent="0.25">
      <c r="A19" s="174" t="s">
        <v>120</v>
      </c>
      <c r="C19" s="175">
        <v>125</v>
      </c>
      <c r="N19" s="443" t="s">
        <v>151</v>
      </c>
      <c r="S19" s="444"/>
      <c r="V19" s="365" t="s">
        <v>208</v>
      </c>
      <c r="W19" s="1"/>
      <c r="Y19" s="366">
        <f>R3</f>
        <v>25</v>
      </c>
    </row>
    <row r="20" spans="1:25" ht="15.75" x14ac:dyDescent="0.25">
      <c r="A20" s="174" t="s">
        <v>36</v>
      </c>
      <c r="C20" s="176" t="s">
        <v>122</v>
      </c>
      <c r="N20" s="443"/>
      <c r="S20" s="444"/>
      <c r="V20" s="365" t="s">
        <v>209</v>
      </c>
      <c r="W20" s="1"/>
      <c r="Y20" s="367">
        <f>T3</f>
        <v>417.50000000000006</v>
      </c>
    </row>
    <row r="21" spans="1:25" ht="15.75" x14ac:dyDescent="0.25">
      <c r="A21" s="174" t="s">
        <v>121</v>
      </c>
      <c r="C21" s="176" t="s">
        <v>123</v>
      </c>
      <c r="N21" s="443" t="s">
        <v>152</v>
      </c>
      <c r="S21" s="444"/>
      <c r="V21" s="365" t="s">
        <v>210</v>
      </c>
      <c r="W21" s="1"/>
      <c r="Y21" s="367">
        <f>V3</f>
        <v>11</v>
      </c>
    </row>
    <row r="22" spans="1:25" ht="15.75" x14ac:dyDescent="0.25">
      <c r="A22" s="174" t="s">
        <v>124</v>
      </c>
      <c r="C22" s="175" t="s">
        <v>198</v>
      </c>
      <c r="N22" s="443" t="s">
        <v>153</v>
      </c>
      <c r="S22" s="444"/>
      <c r="V22" s="365" t="s">
        <v>216</v>
      </c>
      <c r="Y22" s="368">
        <f>P3</f>
        <v>125</v>
      </c>
    </row>
    <row r="23" spans="1:25" ht="15.75" x14ac:dyDescent="0.25">
      <c r="A23" s="174" t="s">
        <v>238</v>
      </c>
      <c r="C23" s="175">
        <v>75</v>
      </c>
      <c r="N23" s="443"/>
      <c r="S23" s="444"/>
      <c r="V23" s="365" t="s">
        <v>211</v>
      </c>
      <c r="W23" s="1"/>
      <c r="Y23" s="367">
        <f>W3</f>
        <v>553.5</v>
      </c>
    </row>
    <row r="24" spans="1:25" ht="16.5" thickBot="1" x14ac:dyDescent="0.3">
      <c r="A24" s="174"/>
      <c r="C24" s="176"/>
      <c r="N24" s="443" t="s">
        <v>154</v>
      </c>
      <c r="S24" s="444"/>
      <c r="V24" s="369" t="s">
        <v>346</v>
      </c>
      <c r="W24" s="354"/>
      <c r="X24" s="539" t="s">
        <v>347</v>
      </c>
      <c r="Y24" s="540"/>
    </row>
    <row r="25" spans="1:25" ht="16.5" thickTop="1" thickBot="1" x14ac:dyDescent="0.3">
      <c r="A25" s="177"/>
      <c r="B25" s="178"/>
      <c r="C25" s="199"/>
      <c r="N25" s="445" t="s">
        <v>155</v>
      </c>
      <c r="O25" s="446"/>
      <c r="P25" s="446"/>
      <c r="Q25" s="446"/>
      <c r="R25" s="446"/>
      <c r="S25" s="447"/>
      <c r="X25" s="1"/>
      <c r="Y25" s="1"/>
    </row>
    <row r="26" spans="1:25" ht="24" thickBot="1" x14ac:dyDescent="0.4">
      <c r="V26" s="541" t="s">
        <v>284</v>
      </c>
      <c r="W26" s="541"/>
      <c r="X26" s="541"/>
      <c r="Y26" s="541"/>
    </row>
    <row r="27" spans="1:25" ht="16.5" thickTop="1" x14ac:dyDescent="0.25">
      <c r="V27" s="362" t="s">
        <v>207</v>
      </c>
      <c r="W27" s="363"/>
      <c r="X27" s="352"/>
      <c r="Y27" s="364">
        <f>N6</f>
        <v>21.5</v>
      </c>
    </row>
    <row r="28" spans="1:25" ht="15.75" x14ac:dyDescent="0.25">
      <c r="V28" s="365" t="s">
        <v>208</v>
      </c>
      <c r="W28" s="1"/>
      <c r="Y28" s="366">
        <f>R6</f>
        <v>32</v>
      </c>
    </row>
    <row r="29" spans="1:25" ht="15.75" x14ac:dyDescent="0.25">
      <c r="V29" s="365" t="s">
        <v>209</v>
      </c>
      <c r="W29" s="1"/>
      <c r="Y29" s="367">
        <f>T6</f>
        <v>688</v>
      </c>
    </row>
    <row r="30" spans="1:25" ht="15.75" x14ac:dyDescent="0.25">
      <c r="V30" s="365" t="s">
        <v>210</v>
      </c>
      <c r="W30" s="1"/>
      <c r="Y30" s="367">
        <f>V6</f>
        <v>17</v>
      </c>
    </row>
    <row r="31" spans="1:25" ht="15.75" x14ac:dyDescent="0.25">
      <c r="V31" s="365" t="s">
        <v>216</v>
      </c>
      <c r="Y31" s="368">
        <f>P6</f>
        <v>125</v>
      </c>
    </row>
    <row r="32" spans="1:25" ht="15.75" x14ac:dyDescent="0.25">
      <c r="V32" s="365" t="s">
        <v>211</v>
      </c>
      <c r="W32" s="1"/>
      <c r="Y32" s="367">
        <f>W6</f>
        <v>830</v>
      </c>
    </row>
    <row r="33" spans="22:25" ht="16.5" thickBot="1" x14ac:dyDescent="0.3">
      <c r="V33" s="369" t="s">
        <v>346</v>
      </c>
      <c r="W33" s="354"/>
      <c r="X33" s="539" t="s">
        <v>347</v>
      </c>
      <c r="Y33" s="540"/>
    </row>
    <row r="34" spans="22:25" ht="15.75" thickTop="1" x14ac:dyDescent="0.25"/>
  </sheetData>
  <mergeCells count="4">
    <mergeCell ref="V17:Y17"/>
    <mergeCell ref="X24:Y24"/>
    <mergeCell ref="V26:Y26"/>
    <mergeCell ref="X33:Y33"/>
  </mergeCells>
  <pageMargins left="0.7" right="0.7" top="0.75" bottom="0.75" header="0.3" footer="0.3"/>
  <pageSetup orientation="portrait" verticalDpi="0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E081-8D06-4F6C-BBAD-907AD3BDB740}">
  <sheetPr>
    <tabColor rgb="FF92D050"/>
  </sheetPr>
  <dimension ref="A1:AD37"/>
  <sheetViews>
    <sheetView workbookViewId="0">
      <selection activeCell="AA30" sqref="AA30"/>
    </sheetView>
  </sheetViews>
  <sheetFormatPr defaultRowHeight="15" x14ac:dyDescent="0.25"/>
  <cols>
    <col min="4" max="13" width="9.140625" hidden="1" customWidth="1"/>
    <col min="19" max="19" width="12.42578125" customWidth="1"/>
    <col min="20" max="20" width="13.7109375" customWidth="1"/>
    <col min="21" max="21" width="13.42578125" customWidth="1"/>
    <col min="23" max="23" width="11.140625" customWidth="1"/>
    <col min="24" max="24" width="12" customWidth="1"/>
    <col min="25" max="25" width="16.140625" customWidth="1"/>
    <col min="29" max="29" width="11.5703125" customWidth="1"/>
    <col min="30" max="30" width="16.710937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0.25</v>
      </c>
      <c r="B3" s="65">
        <v>16</v>
      </c>
      <c r="C3" s="65">
        <v>16.25</v>
      </c>
      <c r="D3" s="66">
        <v>0.125</v>
      </c>
      <c r="E3" s="66">
        <v>0.125</v>
      </c>
      <c r="F3" s="66">
        <f>(A3+B3)*C3</f>
        <v>264.0625</v>
      </c>
      <c r="G3" s="66">
        <f>(A3+B3)/E3</f>
        <v>130</v>
      </c>
      <c r="H3" s="66">
        <f t="shared" ref="H3" si="0">C3/10</f>
        <v>1.625</v>
      </c>
      <c r="I3" s="66">
        <v>3.5</v>
      </c>
      <c r="J3" s="67">
        <f t="shared" ref="J3" si="1">H3*G3/60</f>
        <v>3.5208333333333335</v>
      </c>
      <c r="K3" s="67">
        <f>J3+I3</f>
        <v>7.0208333333333339</v>
      </c>
      <c r="L3" s="68">
        <v>250</v>
      </c>
      <c r="M3" s="69">
        <f>L3/60</f>
        <v>4.166666666666667</v>
      </c>
      <c r="N3" s="70">
        <f>ROUNDUP(K3*M3,1)</f>
        <v>29.3</v>
      </c>
      <c r="O3" s="56"/>
      <c r="P3" s="30">
        <v>125</v>
      </c>
      <c r="Q3" s="71">
        <v>0.02</v>
      </c>
      <c r="R3" s="32">
        <v>5</v>
      </c>
      <c r="S3" s="35">
        <f>N3*R3</f>
        <v>146.5</v>
      </c>
      <c r="T3" s="33">
        <f>IF(S3&gt;Y3,S3,Y3)</f>
        <v>250</v>
      </c>
      <c r="U3" s="33">
        <f>T3+P3</f>
        <v>375</v>
      </c>
      <c r="V3" s="33">
        <f>ROUNDUP(U3*Q3,0)</f>
        <v>8</v>
      </c>
      <c r="W3" s="33">
        <f>U3+V3</f>
        <v>383</v>
      </c>
      <c r="X3" s="34"/>
      <c r="Y3" s="57">
        <v>250</v>
      </c>
      <c r="Z3" s="36">
        <f>ROUNDDOWN(Y3/N3,0)</f>
        <v>8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3.5</v>
      </c>
      <c r="B6" s="65">
        <v>35</v>
      </c>
      <c r="C6" s="65">
        <v>35</v>
      </c>
      <c r="D6" s="66">
        <v>0.125</v>
      </c>
      <c r="E6" s="66">
        <v>4.4999999999999998E-2</v>
      </c>
      <c r="F6" s="66">
        <f>(A6+B6)*C6</f>
        <v>1347.5</v>
      </c>
      <c r="G6" s="66">
        <f>(A6+B6)/E6</f>
        <v>855.55555555555554</v>
      </c>
      <c r="H6" s="66">
        <f t="shared" ref="H6" si="2">C6/10</f>
        <v>3.5</v>
      </c>
      <c r="I6" s="66">
        <v>3.5</v>
      </c>
      <c r="J6" s="67">
        <f t="shared" ref="J6" si="3">H6*G6/60</f>
        <v>49.907407407407405</v>
      </c>
      <c r="K6" s="67">
        <f>J6+I6</f>
        <v>53.407407407407405</v>
      </c>
      <c r="L6" s="68">
        <v>250</v>
      </c>
      <c r="M6" s="69">
        <f>L6/60</f>
        <v>4.166666666666667</v>
      </c>
      <c r="N6" s="70">
        <f>ROUNDUP(K6*M6,1)</f>
        <v>222.6</v>
      </c>
      <c r="O6" s="56"/>
      <c r="P6" s="30">
        <v>125</v>
      </c>
      <c r="Q6" s="71">
        <v>0.02</v>
      </c>
      <c r="R6" s="32">
        <v>5</v>
      </c>
      <c r="S6" s="35">
        <f>N6*R6</f>
        <v>1113</v>
      </c>
      <c r="T6" s="33">
        <f>IF(S6&gt;Y6,S6,Y6)</f>
        <v>1113</v>
      </c>
      <c r="U6" s="33">
        <f>T6+P6</f>
        <v>1238</v>
      </c>
      <c r="V6" s="33">
        <f>ROUNDUP(U6*Q6,0)</f>
        <v>25</v>
      </c>
      <c r="W6" s="33">
        <f>U6+V6</f>
        <v>1263</v>
      </c>
      <c r="X6" s="34"/>
      <c r="Y6" s="57">
        <v>250</v>
      </c>
      <c r="Z6" s="36">
        <f>ROUNDDOWN(Y6/N6,0)</f>
        <v>1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12</v>
      </c>
      <c r="C9" s="14">
        <v>4</v>
      </c>
      <c r="D9" s="66" t="s">
        <v>0</v>
      </c>
      <c r="E9" s="16">
        <v>4.4999999999999998E-2</v>
      </c>
      <c r="F9" s="16">
        <f>B9*3.14</f>
        <v>37.68</v>
      </c>
      <c r="G9" s="17">
        <f>F9/E9</f>
        <v>837.33333333333337</v>
      </c>
      <c r="H9" s="16">
        <f>C9/10</f>
        <v>0.4</v>
      </c>
      <c r="I9" s="16">
        <v>2</v>
      </c>
      <c r="J9" s="19">
        <f>H9*G9/60</f>
        <v>5.5822222222222235</v>
      </c>
      <c r="K9" s="20">
        <f>J9+I9</f>
        <v>7.5822222222222235</v>
      </c>
      <c r="L9" s="68">
        <v>250</v>
      </c>
      <c r="M9" s="69">
        <f>L9/60</f>
        <v>4.166666666666667</v>
      </c>
      <c r="N9" s="18">
        <f>ROUNDUP(K9*M9,1)</f>
        <v>31.6</v>
      </c>
      <c r="O9" s="56"/>
      <c r="P9" s="30">
        <v>125</v>
      </c>
      <c r="Q9" s="71">
        <v>0.02</v>
      </c>
      <c r="R9" s="32">
        <v>28</v>
      </c>
      <c r="S9" s="35">
        <f>N9*R9</f>
        <v>884.80000000000007</v>
      </c>
      <c r="T9" s="33">
        <f>IF(S9&gt;Y9,S9,Y9)</f>
        <v>884.80000000000007</v>
      </c>
      <c r="U9" s="33">
        <f>T9+P9</f>
        <v>1009.8000000000001</v>
      </c>
      <c r="V9" s="33">
        <f>ROUNDUP(U9*Q9,0)</f>
        <v>21</v>
      </c>
      <c r="W9" s="33">
        <f t="shared" ref="W9" si="4">U9+V9</f>
        <v>1030.8000000000002</v>
      </c>
      <c r="X9" s="56"/>
      <c r="Y9" s="58">
        <v>250</v>
      </c>
      <c r="Z9" s="47">
        <f>ROUNDDOWN(Y9/N9,0)</f>
        <v>7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4</v>
      </c>
      <c r="J14" s="67">
        <f t="shared" ref="J14" si="6">H14*G14/60</f>
        <v>0.1111111111111111</v>
      </c>
      <c r="K14" s="67">
        <f>J14+I14</f>
        <v>4.1111111111111107</v>
      </c>
      <c r="L14" s="68">
        <v>275</v>
      </c>
      <c r="M14" s="69">
        <f>L14/60</f>
        <v>4.583333333333333</v>
      </c>
      <c r="N14" s="70">
        <f>ROUNDUP(K14*M14,1)</f>
        <v>18.900000000000002</v>
      </c>
      <c r="O14" s="56"/>
      <c r="P14" s="30">
        <v>125</v>
      </c>
      <c r="Q14" s="71">
        <v>0.02</v>
      </c>
      <c r="R14" s="32">
        <v>105</v>
      </c>
      <c r="S14" s="35">
        <f>N14*R14</f>
        <v>1984.5000000000002</v>
      </c>
      <c r="T14" s="33">
        <f>IF(S14&gt;Y14,S14,Y14)</f>
        <v>1984.5000000000002</v>
      </c>
      <c r="U14" s="33">
        <f>T14+P14</f>
        <v>2109.5</v>
      </c>
      <c r="V14" s="33">
        <f>ROUNDUP(U14*Q14,0)</f>
        <v>43</v>
      </c>
      <c r="W14" s="33">
        <f>U14+V14</f>
        <v>2152.5</v>
      </c>
      <c r="X14" s="34"/>
      <c r="Y14" s="57">
        <v>275</v>
      </c>
      <c r="Z14" s="36">
        <f>ROUNDDOWN(Y14/N14,0)</f>
        <v>14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A17" s="1"/>
      <c r="B17" s="14">
        <v>8.5</v>
      </c>
      <c r="C17" s="14">
        <v>3.75</v>
      </c>
      <c r="D17" s="66" t="s">
        <v>0</v>
      </c>
      <c r="E17" s="16">
        <v>4.4999999999999998E-2</v>
      </c>
      <c r="F17" s="16">
        <f>B17*3.14</f>
        <v>26.69</v>
      </c>
      <c r="G17" s="17">
        <f>F17/E17</f>
        <v>593.1111111111112</v>
      </c>
      <c r="H17" s="16">
        <f>C17/10</f>
        <v>0.375</v>
      </c>
      <c r="I17" s="16">
        <v>4</v>
      </c>
      <c r="J17" s="19">
        <f>H17*G17/60</f>
        <v>3.7069444444444448</v>
      </c>
      <c r="K17" s="20">
        <f>J17+I17</f>
        <v>7.7069444444444448</v>
      </c>
      <c r="L17" s="68">
        <v>275</v>
      </c>
      <c r="M17" s="69">
        <f>L17/60</f>
        <v>4.583333333333333</v>
      </c>
      <c r="N17" s="18">
        <f>ROUNDUP(K17*M17,1)</f>
        <v>35.4</v>
      </c>
      <c r="O17" s="56"/>
      <c r="P17" s="30">
        <v>125</v>
      </c>
      <c r="Q17" s="71">
        <v>0.02</v>
      </c>
      <c r="R17" s="32">
        <v>105</v>
      </c>
      <c r="S17" s="35">
        <f>N17*R17</f>
        <v>3717</v>
      </c>
      <c r="T17" s="33">
        <f>IF(S17&gt;Y17,S17,Y17)</f>
        <v>3717</v>
      </c>
      <c r="U17" s="33">
        <f>T17+P17</f>
        <v>3842</v>
      </c>
      <c r="V17" s="33">
        <f>ROUNDUP(U17*Q17,0)</f>
        <v>77</v>
      </c>
      <c r="W17" s="33">
        <f t="shared" ref="W17" si="7">U17+V17</f>
        <v>3919</v>
      </c>
      <c r="X17" s="56"/>
      <c r="Y17" s="58">
        <v>275</v>
      </c>
      <c r="Z17" s="47">
        <f>ROUNDDOWN(Y17/N17,0)</f>
        <v>7</v>
      </c>
    </row>
    <row r="19" spans="1:30" ht="15.75" thickBot="1" x14ac:dyDescent="0.3"/>
    <row r="20" spans="1:30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494" t="s">
        <v>348</v>
      </c>
      <c r="W20" s="436"/>
      <c r="X20" s="436"/>
      <c r="Y20" s="436"/>
      <c r="Z20" s="1"/>
      <c r="AA20" s="460" t="s">
        <v>362</v>
      </c>
      <c r="AB20" s="461"/>
      <c r="AC20" s="461"/>
      <c r="AD20" s="461"/>
    </row>
    <row r="21" spans="1:30" ht="16.5" thickTop="1" x14ac:dyDescent="0.25">
      <c r="A21" s="373" t="s">
        <v>32</v>
      </c>
      <c r="C21" s="376">
        <v>250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222.6</v>
      </c>
      <c r="Z21" s="1"/>
      <c r="AA21" s="462" t="s">
        <v>207</v>
      </c>
      <c r="AB21" s="463"/>
      <c r="AC21" s="383"/>
      <c r="AD21" s="470">
        <f>N3</f>
        <v>29.3</v>
      </c>
    </row>
    <row r="22" spans="1:30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5</v>
      </c>
      <c r="Z22" s="1"/>
      <c r="AA22" s="464" t="s">
        <v>208</v>
      </c>
      <c r="AB22" s="1"/>
      <c r="AD22" s="471">
        <f>R3</f>
        <v>5</v>
      </c>
    </row>
    <row r="23" spans="1:30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1113</v>
      </c>
      <c r="Z23" s="1"/>
      <c r="AA23" s="464" t="s">
        <v>209</v>
      </c>
      <c r="AB23" s="1"/>
      <c r="AD23" s="469">
        <f>T3</f>
        <v>250</v>
      </c>
    </row>
    <row r="24" spans="1:30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25</v>
      </c>
      <c r="Z24" s="1"/>
      <c r="AA24" s="464" t="s">
        <v>210</v>
      </c>
      <c r="AB24" s="1"/>
      <c r="AD24" s="469">
        <f>V3</f>
        <v>8</v>
      </c>
    </row>
    <row r="25" spans="1:30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  <c r="AA25" s="464" t="s">
        <v>216</v>
      </c>
      <c r="AD25" s="465">
        <f>-P3</f>
        <v>-125</v>
      </c>
    </row>
    <row r="26" spans="1:30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1263</v>
      </c>
      <c r="Z26" s="1"/>
      <c r="AA26" s="464" t="s">
        <v>211</v>
      </c>
      <c r="AB26" s="1"/>
      <c r="AD26" s="469">
        <f>W3</f>
        <v>383</v>
      </c>
    </row>
    <row r="27" spans="1:30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7"/>
      <c r="AD27" s="468" t="s">
        <v>347</v>
      </c>
    </row>
    <row r="28" spans="1:30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30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30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31.6</v>
      </c>
      <c r="Z30" s="1"/>
    </row>
    <row r="31" spans="1:30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28</v>
      </c>
      <c r="Z31" s="1"/>
    </row>
    <row r="32" spans="1:30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884.80000000000007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21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1030.8000000000002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2">
    <mergeCell ref="V29:Y29"/>
    <mergeCell ref="X36:Y36"/>
  </mergeCells>
  <pageMargins left="0.7" right="0.7" top="0.75" bottom="0.75" header="0.3" footer="0.3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E873-DC1B-4B1F-8BD4-BE2FC6FC7757}">
  <sheetPr>
    <tabColor rgb="FF92D050"/>
  </sheetPr>
  <dimension ref="A1:AD37"/>
  <sheetViews>
    <sheetView workbookViewId="0">
      <selection activeCell="D1" sqref="D1:M1048576"/>
    </sheetView>
  </sheetViews>
  <sheetFormatPr defaultRowHeight="15" x14ac:dyDescent="0.25"/>
  <cols>
    <col min="4" max="13" width="0" hidden="1" customWidth="1"/>
    <col min="24" max="24" width="14.28515625" customWidth="1"/>
    <col min="25" max="25" width="16.5703125" customWidth="1"/>
    <col min="29" max="29" width="12" customWidth="1"/>
    <col min="30" max="30" width="16.85546875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0.25</v>
      </c>
      <c r="B3" s="65">
        <v>16</v>
      </c>
      <c r="C3" s="65">
        <v>16.25</v>
      </c>
      <c r="D3" s="66">
        <v>0.125</v>
      </c>
      <c r="E3" s="66">
        <v>0.125</v>
      </c>
      <c r="F3" s="66">
        <f>(A3+B3)*C3</f>
        <v>264.0625</v>
      </c>
      <c r="G3" s="66">
        <f>(A3+B3)/E3</f>
        <v>130</v>
      </c>
      <c r="H3" s="66">
        <f t="shared" ref="H3" si="0">C3/10</f>
        <v>1.625</v>
      </c>
      <c r="I3" s="66">
        <v>5</v>
      </c>
      <c r="J3" s="67">
        <f t="shared" ref="J3" si="1">H3*G3/60</f>
        <v>3.5208333333333335</v>
      </c>
      <c r="K3" s="67">
        <f>J3+I3</f>
        <v>8.5208333333333339</v>
      </c>
      <c r="L3" s="68">
        <v>250</v>
      </c>
      <c r="M3" s="69">
        <f>L3/60</f>
        <v>4.166666666666667</v>
      </c>
      <c r="N3" s="70">
        <f>ROUNDUP(K3*M3,1)</f>
        <v>35.6</v>
      </c>
      <c r="O3" s="56"/>
      <c r="P3" s="30">
        <v>0</v>
      </c>
      <c r="Q3" s="71">
        <v>0.02</v>
      </c>
      <c r="R3" s="32">
        <v>5</v>
      </c>
      <c r="S3" s="35">
        <f>N3*R3</f>
        <v>178</v>
      </c>
      <c r="T3" s="33">
        <f>IF(S3&gt;Y3,S3,Y3)</f>
        <v>250</v>
      </c>
      <c r="U3" s="33">
        <f>T3+P3</f>
        <v>250</v>
      </c>
      <c r="V3" s="33">
        <f>ROUNDUP(U3*Q3,0)</f>
        <v>5</v>
      </c>
      <c r="W3" s="33">
        <f>U3+V3</f>
        <v>255</v>
      </c>
      <c r="X3" s="34"/>
      <c r="Y3" s="57">
        <v>250</v>
      </c>
      <c r="Z3" s="36">
        <f>ROUNDDOWN(Y3/N3,0)</f>
        <v>7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3.5</v>
      </c>
      <c r="B6" s="65">
        <v>35</v>
      </c>
      <c r="C6" s="65">
        <v>35</v>
      </c>
      <c r="D6" s="66">
        <v>0.125</v>
      </c>
      <c r="E6" s="66">
        <v>0.05</v>
      </c>
      <c r="F6" s="66">
        <f>(A6+B6)*C6</f>
        <v>1347.5</v>
      </c>
      <c r="G6" s="66">
        <f>(A6+B6)/E6</f>
        <v>770</v>
      </c>
      <c r="H6" s="66">
        <f t="shared" ref="H6" si="2">C6/10</f>
        <v>3.5</v>
      </c>
      <c r="I6" s="66">
        <v>3.5</v>
      </c>
      <c r="J6" s="67">
        <f t="shared" ref="J6" si="3">H6*G6/60</f>
        <v>44.916666666666664</v>
      </c>
      <c r="K6" s="67">
        <f>J6+I6</f>
        <v>48.416666666666664</v>
      </c>
      <c r="L6" s="68">
        <v>250</v>
      </c>
      <c r="M6" s="69">
        <f>L6/60</f>
        <v>4.166666666666667</v>
      </c>
      <c r="N6" s="70">
        <f>ROUNDUP(K6*M6,1)</f>
        <v>201.79999999999998</v>
      </c>
      <c r="O6" s="56"/>
      <c r="P6" s="30">
        <v>125</v>
      </c>
      <c r="Q6" s="71">
        <v>0.02</v>
      </c>
      <c r="R6" s="32">
        <v>5</v>
      </c>
      <c r="S6" s="35">
        <f>N6*R6</f>
        <v>1008.9999999999999</v>
      </c>
      <c r="T6" s="33">
        <f>IF(S6&gt;Y6,S6,Y6)</f>
        <v>1008.9999999999999</v>
      </c>
      <c r="U6" s="33">
        <f>T6+P6</f>
        <v>1134</v>
      </c>
      <c r="V6" s="33">
        <f>ROUNDUP(U6*Q6,0)</f>
        <v>23</v>
      </c>
      <c r="W6" s="33">
        <f>U6+V6</f>
        <v>1157</v>
      </c>
      <c r="X6" s="34"/>
      <c r="Y6" s="57">
        <v>250</v>
      </c>
      <c r="Z6" s="36">
        <f>ROUNDDOWN(Y6/N6,0)</f>
        <v>1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12</v>
      </c>
      <c r="C9" s="14">
        <v>4</v>
      </c>
      <c r="D9" s="66" t="s">
        <v>0</v>
      </c>
      <c r="E9" s="16">
        <v>0.05</v>
      </c>
      <c r="F9" s="16">
        <f>B9*3.14</f>
        <v>37.68</v>
      </c>
      <c r="G9" s="17">
        <f>F9/E9</f>
        <v>753.59999999999991</v>
      </c>
      <c r="H9" s="16">
        <f>C9/10</f>
        <v>0.4</v>
      </c>
      <c r="I9" s="16">
        <v>3.5</v>
      </c>
      <c r="J9" s="19">
        <f>H9*G9/60</f>
        <v>5.024</v>
      </c>
      <c r="K9" s="20">
        <f>J9+I9</f>
        <v>8.5240000000000009</v>
      </c>
      <c r="L9" s="68">
        <v>250</v>
      </c>
      <c r="M9" s="69">
        <f>L9/60</f>
        <v>4.166666666666667</v>
      </c>
      <c r="N9" s="18">
        <f>ROUNDUP(K9*M9,1)</f>
        <v>35.6</v>
      </c>
      <c r="O9" s="56"/>
      <c r="P9" s="30">
        <v>125</v>
      </c>
      <c r="Q9" s="71">
        <v>0.02</v>
      </c>
      <c r="R9" s="32">
        <v>28</v>
      </c>
      <c r="S9" s="35">
        <f>N9*R9</f>
        <v>996.80000000000007</v>
      </c>
      <c r="T9" s="33">
        <f>IF(S9&gt;Y9,S9,Y9)</f>
        <v>996.80000000000007</v>
      </c>
      <c r="U9" s="33">
        <f>T9+P9</f>
        <v>1121.8000000000002</v>
      </c>
      <c r="V9" s="33">
        <f>ROUNDUP(U9*Q9,0)</f>
        <v>23</v>
      </c>
      <c r="W9" s="33">
        <f t="shared" ref="W9" si="4">U9+V9</f>
        <v>1144.8000000000002</v>
      </c>
      <c r="X9" s="56"/>
      <c r="Y9" s="58">
        <v>250</v>
      </c>
      <c r="Z9" s="47">
        <f>ROUNDDOWN(Y9/N9,0)</f>
        <v>7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0.05</v>
      </c>
      <c r="F14" s="66">
        <f>(A14+B14)*C14</f>
        <v>3</v>
      </c>
      <c r="G14" s="66">
        <f>(A14+B14)/E14</f>
        <v>40</v>
      </c>
      <c r="H14" s="66">
        <f t="shared" ref="H14" si="5">C14/10</f>
        <v>0.15</v>
      </c>
      <c r="I14" s="66">
        <v>3.5</v>
      </c>
      <c r="J14" s="67">
        <f t="shared" ref="J14" si="6">H14*G14/60</f>
        <v>0.1</v>
      </c>
      <c r="K14" s="67">
        <f>J14+I14</f>
        <v>3.6</v>
      </c>
      <c r="L14" s="68">
        <v>275</v>
      </c>
      <c r="M14" s="69">
        <f>L14/60</f>
        <v>4.583333333333333</v>
      </c>
      <c r="N14" s="70">
        <f>ROUNDUP(K14*M14,1)</f>
        <v>16.5</v>
      </c>
      <c r="O14" s="56"/>
      <c r="P14" s="30">
        <v>125</v>
      </c>
      <c r="Q14" s="71">
        <v>0.02</v>
      </c>
      <c r="R14" s="32">
        <v>50</v>
      </c>
      <c r="S14" s="35">
        <f>N14*R14</f>
        <v>825</v>
      </c>
      <c r="T14" s="33">
        <f>IF(S14&gt;Y14,S14,Y14)</f>
        <v>825</v>
      </c>
      <c r="U14" s="33">
        <f>T14+P14</f>
        <v>950</v>
      </c>
      <c r="V14" s="33">
        <f>ROUNDUP(U14*Q14,0)</f>
        <v>19</v>
      </c>
      <c r="W14" s="33">
        <f>U14+V14</f>
        <v>969</v>
      </c>
      <c r="X14" s="34"/>
      <c r="Y14" s="57">
        <v>275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A17" s="1"/>
      <c r="B17" s="14">
        <v>9.5</v>
      </c>
      <c r="C17" s="14">
        <v>2</v>
      </c>
      <c r="D17" s="66" t="s">
        <v>0</v>
      </c>
      <c r="E17" s="16">
        <v>0.05</v>
      </c>
      <c r="F17" s="16">
        <f>B17*3.14</f>
        <v>29.830000000000002</v>
      </c>
      <c r="G17" s="17">
        <f>F17/E17</f>
        <v>596.6</v>
      </c>
      <c r="H17" s="16">
        <f>C17/10</f>
        <v>0.2</v>
      </c>
      <c r="I17" s="16">
        <v>4</v>
      </c>
      <c r="J17" s="19">
        <f>H17*G17/60</f>
        <v>1.9886666666666668</v>
      </c>
      <c r="K17" s="20">
        <f>J17+I17</f>
        <v>5.988666666666667</v>
      </c>
      <c r="L17" s="68">
        <v>275</v>
      </c>
      <c r="M17" s="69">
        <f>L17/60</f>
        <v>4.583333333333333</v>
      </c>
      <c r="N17" s="18">
        <f>ROUNDUP(K17*M17,1)</f>
        <v>27.5</v>
      </c>
      <c r="O17" s="56"/>
      <c r="P17" s="30">
        <v>125</v>
      </c>
      <c r="Q17" s="71">
        <v>0.02</v>
      </c>
      <c r="R17" s="32">
        <v>1</v>
      </c>
      <c r="S17" s="35">
        <f>N17*R17</f>
        <v>27.5</v>
      </c>
      <c r="T17" s="33">
        <f>IF(S17&gt;Y17,S17,Y17)</f>
        <v>275</v>
      </c>
      <c r="U17" s="33">
        <f>T17+P17</f>
        <v>400</v>
      </c>
      <c r="V17" s="33">
        <f>ROUNDUP(U17*Q17,0)</f>
        <v>8</v>
      </c>
      <c r="W17" s="33">
        <f t="shared" ref="W17" si="7">U17+V17</f>
        <v>408</v>
      </c>
      <c r="X17" s="56"/>
      <c r="Y17" s="58">
        <v>275</v>
      </c>
      <c r="Z17" s="47">
        <f>ROUNDDOWN(Y17/N17,0)</f>
        <v>10</v>
      </c>
    </row>
    <row r="19" spans="1:30" ht="15.75" thickBot="1" x14ac:dyDescent="0.3"/>
    <row r="20" spans="1:30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436" t="s">
        <v>348</v>
      </c>
      <c r="W20" s="436"/>
      <c r="X20" s="436"/>
      <c r="Y20" s="436"/>
      <c r="Z20" s="1"/>
      <c r="AA20" s="460" t="s">
        <v>362</v>
      </c>
      <c r="AB20" s="461"/>
      <c r="AC20" s="461"/>
      <c r="AD20" s="461"/>
    </row>
    <row r="21" spans="1:30" ht="16.5" thickTop="1" x14ac:dyDescent="0.25">
      <c r="A21" s="373" t="s">
        <v>32</v>
      </c>
      <c r="C21" s="376">
        <v>250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201.79999999999998</v>
      </c>
      <c r="Z21" s="1"/>
      <c r="AA21" s="462" t="s">
        <v>207</v>
      </c>
      <c r="AB21" s="463"/>
      <c r="AC21" s="383"/>
      <c r="AD21" s="470">
        <f>N3</f>
        <v>35.6</v>
      </c>
    </row>
    <row r="22" spans="1:30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5</v>
      </c>
      <c r="Z22" s="1"/>
      <c r="AA22" s="464" t="s">
        <v>208</v>
      </c>
      <c r="AB22" s="1"/>
      <c r="AD22" s="471">
        <f>R3</f>
        <v>5</v>
      </c>
    </row>
    <row r="23" spans="1:30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1008.9999999999999</v>
      </c>
      <c r="Z23" s="1"/>
      <c r="AA23" s="464" t="s">
        <v>209</v>
      </c>
      <c r="AB23" s="1"/>
      <c r="AD23" s="469">
        <f>T3</f>
        <v>250</v>
      </c>
    </row>
    <row r="24" spans="1:30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23</v>
      </c>
      <c r="Z24" s="1"/>
      <c r="AA24" s="464" t="s">
        <v>210</v>
      </c>
      <c r="AB24" s="1"/>
      <c r="AD24" s="469">
        <f>V3</f>
        <v>5</v>
      </c>
    </row>
    <row r="25" spans="1:30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  <c r="AA25" s="464" t="s">
        <v>216</v>
      </c>
      <c r="AD25" s="465">
        <f>-P3</f>
        <v>0</v>
      </c>
    </row>
    <row r="26" spans="1:30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1157</v>
      </c>
      <c r="Z26" s="1"/>
      <c r="AA26" s="464" t="s">
        <v>211</v>
      </c>
      <c r="AB26" s="1"/>
      <c r="AD26" s="469">
        <f>W3</f>
        <v>255</v>
      </c>
    </row>
    <row r="27" spans="1:30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437"/>
      <c r="Y27" s="438" t="s">
        <v>347</v>
      </c>
      <c r="Z27" s="1"/>
      <c r="AA27" s="466" t="s">
        <v>346</v>
      </c>
      <c r="AB27" s="388"/>
      <c r="AC27" s="467"/>
      <c r="AD27" s="468" t="s">
        <v>347</v>
      </c>
    </row>
    <row r="28" spans="1:30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30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30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35.6</v>
      </c>
      <c r="Z30" s="1"/>
    </row>
    <row r="31" spans="1:30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28</v>
      </c>
      <c r="Z31" s="1"/>
    </row>
    <row r="32" spans="1:30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996.80000000000007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23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1144.8000000000002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2">
    <mergeCell ref="V29:Y29"/>
    <mergeCell ref="X36:Y36"/>
  </mergeCells>
  <pageMargins left="0.7" right="0.7" top="0.75" bottom="0.75" header="0.3" footer="0.3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6643-E0D2-4FB4-A9ED-2262CC5EE1B2}">
  <sheetPr>
    <tabColor rgb="FF92D050"/>
  </sheetPr>
  <dimension ref="A1:AF37"/>
  <sheetViews>
    <sheetView workbookViewId="0">
      <selection activeCell="B19" sqref="B19"/>
    </sheetView>
  </sheetViews>
  <sheetFormatPr defaultRowHeight="15" x14ac:dyDescent="0.25"/>
  <cols>
    <col min="1" max="1" width="15.28515625" customWidth="1"/>
    <col min="4" max="12" width="9.140625" hidden="1" customWidth="1"/>
    <col min="13" max="13" width="14.140625" hidden="1" customWidth="1"/>
    <col min="14" max="14" width="9.140625" hidden="1" customWidth="1"/>
    <col min="15" max="15" width="15.7109375" customWidth="1"/>
    <col min="18" max="18" width="0" hidden="1" customWidth="1"/>
    <col min="20" max="20" width="17.28515625" customWidth="1"/>
    <col min="21" max="21" width="12" bestFit="1" customWidth="1"/>
    <col min="22" max="22" width="10.85546875" bestFit="1" customWidth="1"/>
    <col min="24" max="24" width="15.5703125" customWidth="1"/>
    <col min="25" max="25" width="12.140625" customWidth="1"/>
    <col min="27" max="27" width="18" customWidth="1"/>
    <col min="28" max="28" width="7" customWidth="1"/>
    <col min="30" max="30" width="18.85546875" customWidth="1"/>
    <col min="32" max="32" width="16.7109375" customWidth="1"/>
  </cols>
  <sheetData>
    <row r="1" spans="1:27" ht="26.25" x14ac:dyDescent="0.25">
      <c r="A1" s="134" t="s">
        <v>301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82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88"/>
    </row>
    <row r="2" spans="1:27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1" t="s">
        <v>360</v>
      </c>
      <c r="O2" s="112" t="s">
        <v>5</v>
      </c>
      <c r="P2" s="39"/>
      <c r="Q2" s="113" t="s">
        <v>27</v>
      </c>
      <c r="R2" s="113" t="s">
        <v>38</v>
      </c>
      <c r="S2" s="114" t="s">
        <v>35</v>
      </c>
      <c r="T2" s="114" t="s">
        <v>204</v>
      </c>
      <c r="U2" s="114" t="s">
        <v>34</v>
      </c>
      <c r="V2" s="114" t="s">
        <v>30</v>
      </c>
      <c r="W2" s="113" t="s">
        <v>36</v>
      </c>
      <c r="X2" s="115" t="s">
        <v>31</v>
      </c>
      <c r="Y2" s="113"/>
      <c r="Z2" s="113" t="s">
        <v>32</v>
      </c>
      <c r="AA2" s="114" t="s">
        <v>33</v>
      </c>
    </row>
    <row r="3" spans="1:27" x14ac:dyDescent="0.25">
      <c r="A3" s="65">
        <v>0.625</v>
      </c>
      <c r="B3" s="65">
        <v>48.5</v>
      </c>
      <c r="C3" s="65">
        <v>144.5</v>
      </c>
      <c r="D3" s="66">
        <v>0.125</v>
      </c>
      <c r="E3" s="66">
        <v>0.125</v>
      </c>
      <c r="F3" s="66">
        <f>(A3+B3)*C3</f>
        <v>7098.5625</v>
      </c>
      <c r="G3" s="66">
        <f>(A3+B3)/E3</f>
        <v>393</v>
      </c>
      <c r="H3" s="66">
        <f t="shared" ref="H3" si="0">C3/10</f>
        <v>14.45</v>
      </c>
      <c r="I3" s="66">
        <v>6</v>
      </c>
      <c r="J3" s="67">
        <f t="shared" ref="J3" si="1">H3*G3/60</f>
        <v>94.647499999999994</v>
      </c>
      <c r="K3" s="67">
        <f>J3+I3</f>
        <v>100.64749999999999</v>
      </c>
      <c r="L3" s="68">
        <v>225</v>
      </c>
      <c r="M3" s="69">
        <f>L3/60</f>
        <v>3.75</v>
      </c>
      <c r="N3" s="69"/>
      <c r="O3" s="70">
        <f>ROUNDUP(K3*M3,1)</f>
        <v>377.5</v>
      </c>
      <c r="P3" s="56"/>
      <c r="Q3" s="30">
        <v>0</v>
      </c>
      <c r="R3" s="71">
        <v>0.02</v>
      </c>
      <c r="S3" s="32">
        <v>2</v>
      </c>
      <c r="T3" s="35">
        <f>O3*S3</f>
        <v>755</v>
      </c>
      <c r="U3" s="33">
        <f>IF(T3&gt;Z3, T3, Z3)</f>
        <v>755</v>
      </c>
      <c r="V3" s="33">
        <f>U3+Q3</f>
        <v>755</v>
      </c>
      <c r="W3" s="33">
        <f>ROUNDUP(V3*R3,0)</f>
        <v>16</v>
      </c>
      <c r="X3" s="33">
        <f>V3+W3</f>
        <v>771</v>
      </c>
      <c r="Y3" s="34"/>
      <c r="Z3" s="57">
        <v>225</v>
      </c>
      <c r="AA3" s="36">
        <f>ROUNDDOWN(Z3/O3,0)</f>
        <v>0</v>
      </c>
    </row>
    <row r="4" spans="1:27" ht="26.25" x14ac:dyDescent="0.25">
      <c r="A4" s="134" t="s">
        <v>356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82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88"/>
    </row>
    <row r="5" spans="1:27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1" t="s">
        <v>360</v>
      </c>
      <c r="O5" s="112" t="s">
        <v>5</v>
      </c>
      <c r="P5" s="39"/>
      <c r="Q5" s="113" t="s">
        <v>27</v>
      </c>
      <c r="R5" s="113" t="s">
        <v>38</v>
      </c>
      <c r="S5" s="114" t="s">
        <v>35</v>
      </c>
      <c r="T5" s="114" t="s">
        <v>204</v>
      </c>
      <c r="U5" s="114" t="s">
        <v>34</v>
      </c>
      <c r="V5" s="114" t="s">
        <v>30</v>
      </c>
      <c r="W5" s="113" t="s">
        <v>36</v>
      </c>
      <c r="X5" s="115" t="s">
        <v>31</v>
      </c>
      <c r="Y5" s="113"/>
      <c r="Z5" s="113" t="s">
        <v>32</v>
      </c>
      <c r="AA5" s="114" t="s">
        <v>33</v>
      </c>
    </row>
    <row r="6" spans="1:27" x14ac:dyDescent="0.25">
      <c r="A6" s="65">
        <v>1</v>
      </c>
      <c r="B6" s="65">
        <v>16</v>
      </c>
      <c r="C6" s="65">
        <v>16</v>
      </c>
      <c r="D6" s="66">
        <v>0.125</v>
      </c>
      <c r="E6" s="66">
        <v>8.5000000000000006E-2</v>
      </c>
      <c r="F6" s="66">
        <f>(A6+B6)*C6</f>
        <v>272</v>
      </c>
      <c r="G6" s="66">
        <f>(A6+B6)/E6</f>
        <v>199.99999999999997</v>
      </c>
      <c r="H6" s="66">
        <f t="shared" ref="H6" si="2">C6/10</f>
        <v>1.6</v>
      </c>
      <c r="I6" s="66">
        <v>3</v>
      </c>
      <c r="J6" s="67">
        <f t="shared" ref="J6" si="3">H6*G6/60</f>
        <v>5.333333333333333</v>
      </c>
      <c r="K6" s="67">
        <f>J6+I6</f>
        <v>8.3333333333333321</v>
      </c>
      <c r="L6" s="68">
        <v>225</v>
      </c>
      <c r="M6" s="69">
        <f>L6/60</f>
        <v>3.75</v>
      </c>
      <c r="N6" s="69"/>
      <c r="O6" s="70">
        <f>ROUNDUP(K6*M6,1)</f>
        <v>31.3</v>
      </c>
      <c r="P6" s="56"/>
      <c r="Q6" s="30">
        <v>125</v>
      </c>
      <c r="R6" s="71">
        <v>0.02</v>
      </c>
      <c r="S6" s="32">
        <v>55</v>
      </c>
      <c r="T6" s="35">
        <f>O6*S6</f>
        <v>1721.5</v>
      </c>
      <c r="U6" s="33">
        <f>IF(T6&gt;Z6, T6, Z6)</f>
        <v>1721.5</v>
      </c>
      <c r="V6" s="33">
        <f>U6+Q6</f>
        <v>1846.5</v>
      </c>
      <c r="W6" s="33">
        <f>ROUNDUP(V6*R6,0)</f>
        <v>37</v>
      </c>
      <c r="X6" s="33">
        <f>V6+W6</f>
        <v>1883.5</v>
      </c>
      <c r="Y6" s="34"/>
      <c r="Z6" s="57">
        <v>225</v>
      </c>
      <c r="AA6" s="36">
        <f>ROUNDDOWN(Z6/O6,0)</f>
        <v>7</v>
      </c>
    </row>
    <row r="7" spans="1:27" ht="26.25" x14ac:dyDescent="0.25">
      <c r="B7" s="168" t="s">
        <v>12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60"/>
      <c r="Q7" s="61"/>
      <c r="R7" s="62"/>
      <c r="S7" s="60"/>
      <c r="T7" s="60"/>
      <c r="U7" s="63"/>
      <c r="V7" s="63"/>
      <c r="W7" s="63"/>
      <c r="X7" s="63"/>
      <c r="Y7" s="60"/>
      <c r="Z7" s="60"/>
      <c r="AA7" s="64"/>
    </row>
    <row r="8" spans="1:27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111" t="s">
        <v>360</v>
      </c>
      <c r="O8" s="6" t="s">
        <v>19</v>
      </c>
      <c r="P8" s="40"/>
      <c r="Q8" s="42" t="s">
        <v>27</v>
      </c>
      <c r="R8" s="43" t="s">
        <v>38</v>
      </c>
      <c r="S8" s="49" t="s">
        <v>35</v>
      </c>
      <c r="T8" s="114" t="s">
        <v>204</v>
      </c>
      <c r="U8" s="52" t="s">
        <v>34</v>
      </c>
      <c r="V8" s="44" t="s">
        <v>30</v>
      </c>
      <c r="W8" s="53" t="s">
        <v>36</v>
      </c>
      <c r="X8" s="46" t="s">
        <v>37</v>
      </c>
      <c r="Y8" s="21"/>
      <c r="Z8" s="37" t="s">
        <v>32</v>
      </c>
      <c r="AA8" s="37" t="s">
        <v>33</v>
      </c>
    </row>
    <row r="9" spans="1:27" x14ac:dyDescent="0.25">
      <c r="B9" s="14">
        <v>6</v>
      </c>
      <c r="C9" s="14">
        <v>15</v>
      </c>
      <c r="D9" s="66" t="s">
        <v>0</v>
      </c>
      <c r="E9" s="16">
        <v>6.5000000000000002E-2</v>
      </c>
      <c r="F9" s="16">
        <f>B9*3.14</f>
        <v>18.84</v>
      </c>
      <c r="G9" s="17">
        <f>F9/E9</f>
        <v>289.84615384615381</v>
      </c>
      <c r="H9" s="16">
        <f>C9/10</f>
        <v>1.5</v>
      </c>
      <c r="I9" s="16">
        <v>3</v>
      </c>
      <c r="J9" s="19">
        <f>H9*G9/60</f>
        <v>7.2461538461538453</v>
      </c>
      <c r="K9" s="20">
        <f>J9+I9</f>
        <v>10.246153846153845</v>
      </c>
      <c r="L9" s="68">
        <v>225</v>
      </c>
      <c r="M9" s="69">
        <f>L9/60</f>
        <v>3.75</v>
      </c>
      <c r="N9" s="69"/>
      <c r="O9" s="18">
        <f>ROUNDUP(K9*M9,1)</f>
        <v>38.5</v>
      </c>
      <c r="P9" s="56"/>
      <c r="Q9" s="30">
        <v>125</v>
      </c>
      <c r="R9" s="71">
        <v>0.02</v>
      </c>
      <c r="S9" s="32">
        <v>22</v>
      </c>
      <c r="T9" s="35">
        <f>O9*S9</f>
        <v>847</v>
      </c>
      <c r="U9" s="33">
        <f>IF(T9&gt;Z9, T9, Z9)</f>
        <v>847</v>
      </c>
      <c r="V9" s="33">
        <f>U9+Q9</f>
        <v>972</v>
      </c>
      <c r="W9" s="33">
        <f>ROUNDUP(V9*R9,0)</f>
        <v>20</v>
      </c>
      <c r="X9" s="33">
        <f t="shared" ref="X9" si="4">V9+W9</f>
        <v>992</v>
      </c>
      <c r="Y9" s="56"/>
      <c r="Z9" s="58">
        <v>225</v>
      </c>
      <c r="AA9" s="47">
        <f>ROUNDDOWN(Z9/O9,0)</f>
        <v>5</v>
      </c>
    </row>
    <row r="10" spans="1:27" ht="26.25" x14ac:dyDescent="0.25">
      <c r="A10" s="134" t="s">
        <v>302</v>
      </c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82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88"/>
    </row>
    <row r="11" spans="1:27" ht="30" x14ac:dyDescent="0.25">
      <c r="A11" s="111" t="s">
        <v>23</v>
      </c>
      <c r="B11" s="111" t="s">
        <v>8</v>
      </c>
      <c r="C11" s="111" t="s">
        <v>7</v>
      </c>
      <c r="D11" s="111" t="s">
        <v>2</v>
      </c>
      <c r="E11" s="111" t="s">
        <v>1</v>
      </c>
      <c r="F11" s="111" t="s">
        <v>6</v>
      </c>
      <c r="G11" s="111" t="s">
        <v>3</v>
      </c>
      <c r="H11" s="111" t="s">
        <v>21</v>
      </c>
      <c r="I11" s="111" t="s">
        <v>9</v>
      </c>
      <c r="J11" s="111" t="s">
        <v>4</v>
      </c>
      <c r="K11" s="111" t="s">
        <v>10</v>
      </c>
      <c r="L11" s="111" t="s">
        <v>24</v>
      </c>
      <c r="M11" s="111" t="s">
        <v>25</v>
      </c>
      <c r="N11" s="111" t="s">
        <v>360</v>
      </c>
      <c r="O11" s="112" t="s">
        <v>5</v>
      </c>
      <c r="P11" s="39"/>
      <c r="Q11" s="113" t="s">
        <v>27</v>
      </c>
      <c r="R11" s="113" t="s">
        <v>38</v>
      </c>
      <c r="S11" s="114" t="s">
        <v>35</v>
      </c>
      <c r="T11" s="114" t="s">
        <v>204</v>
      </c>
      <c r="U11" s="114" t="s">
        <v>34</v>
      </c>
      <c r="V11" s="114" t="s">
        <v>30</v>
      </c>
      <c r="W11" s="113" t="s">
        <v>36</v>
      </c>
      <c r="X11" s="115" t="s">
        <v>31</v>
      </c>
      <c r="Y11" s="113"/>
      <c r="Z11" s="113" t="s">
        <v>32</v>
      </c>
      <c r="AA11" s="114" t="s">
        <v>33</v>
      </c>
    </row>
    <row r="12" spans="1:27" x14ac:dyDescent="0.25">
      <c r="A12" s="65">
        <v>8</v>
      </c>
      <c r="B12" s="65">
        <v>48.5</v>
      </c>
      <c r="C12" s="65">
        <v>144.5</v>
      </c>
      <c r="D12" s="66">
        <v>0.125</v>
      </c>
      <c r="E12" s="66">
        <v>0.125</v>
      </c>
      <c r="F12" s="66">
        <f>(A12+B12)*C12</f>
        <v>8164.25</v>
      </c>
      <c r="G12" s="66">
        <f>(A12+B12)/E12</f>
        <v>452</v>
      </c>
      <c r="H12" s="66">
        <f t="shared" ref="H12" si="5">C12/10</f>
        <v>14.45</v>
      </c>
      <c r="I12" s="66">
        <v>6</v>
      </c>
      <c r="J12" s="67">
        <f t="shared" ref="J12" si="6">H12*G12/60</f>
        <v>108.85666666666665</v>
      </c>
      <c r="K12" s="67">
        <f>J12+I12</f>
        <v>114.85666666666665</v>
      </c>
      <c r="L12" s="68">
        <v>250</v>
      </c>
      <c r="M12" s="69">
        <f>L12/60</f>
        <v>4.166666666666667</v>
      </c>
      <c r="N12" s="69"/>
      <c r="O12" s="70">
        <f>ROUNDUP(K12*M12,1)</f>
        <v>478.6</v>
      </c>
      <c r="P12" s="56"/>
      <c r="Q12" s="30">
        <v>125</v>
      </c>
      <c r="R12" s="71">
        <v>0.02</v>
      </c>
      <c r="S12" s="32">
        <v>15</v>
      </c>
      <c r="T12" s="35">
        <f>O12*S12</f>
        <v>7179</v>
      </c>
      <c r="U12" s="33">
        <f>IF(T12&gt;Z12, T12, Z12)</f>
        <v>7179</v>
      </c>
      <c r="V12" s="33">
        <f>U12+Q12</f>
        <v>7304</v>
      </c>
      <c r="W12" s="33">
        <f>ROUNDUP(V12*R12,0)</f>
        <v>147</v>
      </c>
      <c r="X12" s="33">
        <f>V12+W12</f>
        <v>7451</v>
      </c>
      <c r="Y12" s="34"/>
      <c r="Z12" s="57">
        <v>225</v>
      </c>
      <c r="AA12" s="36">
        <f>ROUNDDOWN(Z12/O12,0)</f>
        <v>0</v>
      </c>
    </row>
    <row r="13" spans="1:27" ht="26.25" x14ac:dyDescent="0.25">
      <c r="A13" s="134" t="s">
        <v>116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82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88"/>
    </row>
    <row r="14" spans="1:27" ht="30" x14ac:dyDescent="0.25">
      <c r="A14" s="111" t="s">
        <v>23</v>
      </c>
      <c r="B14" s="111" t="s">
        <v>8</v>
      </c>
      <c r="C14" s="111" t="s">
        <v>7</v>
      </c>
      <c r="D14" s="111" t="s">
        <v>2</v>
      </c>
      <c r="E14" s="111" t="s">
        <v>1</v>
      </c>
      <c r="F14" s="111" t="s">
        <v>6</v>
      </c>
      <c r="G14" s="111" t="s">
        <v>3</v>
      </c>
      <c r="H14" s="111" t="s">
        <v>21</v>
      </c>
      <c r="I14" s="111" t="s">
        <v>9</v>
      </c>
      <c r="J14" s="111" t="s">
        <v>4</v>
      </c>
      <c r="K14" s="111" t="s">
        <v>10</v>
      </c>
      <c r="L14" s="111" t="s">
        <v>24</v>
      </c>
      <c r="M14" s="111" t="s">
        <v>25</v>
      </c>
      <c r="N14" s="111" t="s">
        <v>360</v>
      </c>
      <c r="O14" s="112" t="s">
        <v>5</v>
      </c>
      <c r="P14" s="39"/>
      <c r="Q14" s="113" t="s">
        <v>27</v>
      </c>
      <c r="R14" s="113" t="s">
        <v>38</v>
      </c>
      <c r="S14" s="114" t="s">
        <v>35</v>
      </c>
      <c r="T14" s="114" t="s">
        <v>204</v>
      </c>
      <c r="U14" s="114" t="s">
        <v>34</v>
      </c>
      <c r="V14" s="114" t="s">
        <v>30</v>
      </c>
      <c r="W14" s="113" t="s">
        <v>36</v>
      </c>
      <c r="X14" s="115" t="s">
        <v>31</v>
      </c>
      <c r="Y14" s="113"/>
      <c r="Z14" s="113" t="s">
        <v>32</v>
      </c>
      <c r="AA14" s="114" t="s">
        <v>33</v>
      </c>
    </row>
    <row r="15" spans="1:27" x14ac:dyDescent="0.25">
      <c r="A15" s="65">
        <v>1.5</v>
      </c>
      <c r="B15" s="65">
        <v>36</v>
      </c>
      <c r="C15" s="65">
        <v>96</v>
      </c>
      <c r="D15" s="66">
        <v>0.125</v>
      </c>
      <c r="E15" s="66">
        <v>6.5000000000000002E-2</v>
      </c>
      <c r="F15" s="66">
        <f>(A15+B15)*C15</f>
        <v>3600</v>
      </c>
      <c r="G15" s="66">
        <f>(A15+B15)/E15</f>
        <v>576.92307692307691</v>
      </c>
      <c r="H15" s="66">
        <f t="shared" ref="H15" si="7">C15/10</f>
        <v>9.6</v>
      </c>
      <c r="I15" s="66">
        <v>4</v>
      </c>
      <c r="J15" s="67">
        <f t="shared" ref="J15" si="8">H15*G15/60</f>
        <v>92.307692307692307</v>
      </c>
      <c r="K15" s="67">
        <f>J15+I15</f>
        <v>96.307692307692307</v>
      </c>
      <c r="L15" s="68">
        <v>250</v>
      </c>
      <c r="M15" s="69">
        <f>L15/60</f>
        <v>4.166666666666667</v>
      </c>
      <c r="N15" s="69"/>
      <c r="O15" s="70">
        <f>ROUNDUP(K15*M15,1)</f>
        <v>401.3</v>
      </c>
      <c r="P15" s="56"/>
      <c r="Q15" s="30">
        <v>125</v>
      </c>
      <c r="R15" s="71">
        <v>0.02</v>
      </c>
      <c r="S15" s="32">
        <v>1</v>
      </c>
      <c r="T15" s="35">
        <f>O15*S15</f>
        <v>401.3</v>
      </c>
      <c r="U15" s="33">
        <f>IF(T15&gt;Z15, T15, Z15)</f>
        <v>401.3</v>
      </c>
      <c r="V15" s="33">
        <f>U15+Q15</f>
        <v>526.29999999999995</v>
      </c>
      <c r="W15" s="33">
        <f>ROUNDUP(V15*R15,0)</f>
        <v>11</v>
      </c>
      <c r="X15" s="33">
        <f>V15+W15</f>
        <v>537.29999999999995</v>
      </c>
      <c r="Y15" s="34"/>
      <c r="Z15" s="57">
        <v>250</v>
      </c>
      <c r="AA15" s="36">
        <f>ROUNDDOWN(Z15/O15,0)</f>
        <v>0</v>
      </c>
    </row>
    <row r="16" spans="1:27" ht="26.25" x14ac:dyDescent="0.25">
      <c r="A16" s="1"/>
      <c r="B16" s="168" t="s">
        <v>117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60"/>
      <c r="Q16" s="61"/>
      <c r="R16" s="62"/>
      <c r="S16" s="60"/>
      <c r="T16" s="60"/>
      <c r="U16" s="63"/>
      <c r="V16" s="63"/>
      <c r="W16" s="63"/>
      <c r="X16" s="63"/>
      <c r="Y16" s="60"/>
      <c r="Z16" s="60"/>
      <c r="AA16" s="64"/>
    </row>
    <row r="17" spans="1:32" x14ac:dyDescent="0.25">
      <c r="A17" s="1"/>
      <c r="B17" s="4" t="s">
        <v>13</v>
      </c>
      <c r="C17" s="4" t="s">
        <v>7</v>
      </c>
      <c r="D17" s="2" t="s">
        <v>2</v>
      </c>
      <c r="E17" s="4" t="s">
        <v>1</v>
      </c>
      <c r="F17" s="5" t="s">
        <v>20</v>
      </c>
      <c r="G17" s="4" t="s">
        <v>14</v>
      </c>
      <c r="H17" s="4" t="s">
        <v>15</v>
      </c>
      <c r="I17" s="4" t="s">
        <v>17</v>
      </c>
      <c r="J17" s="4" t="s">
        <v>16</v>
      </c>
      <c r="K17" s="4" t="s">
        <v>18</v>
      </c>
      <c r="L17" s="2" t="s">
        <v>24</v>
      </c>
      <c r="M17" s="2" t="s">
        <v>25</v>
      </c>
      <c r="N17" s="111" t="s">
        <v>360</v>
      </c>
      <c r="O17" s="6" t="s">
        <v>19</v>
      </c>
      <c r="P17" s="40"/>
      <c r="Q17" s="42" t="s">
        <v>27</v>
      </c>
      <c r="R17" s="43" t="s">
        <v>38</v>
      </c>
      <c r="S17" s="49" t="s">
        <v>35</v>
      </c>
      <c r="T17" s="114" t="s">
        <v>204</v>
      </c>
      <c r="U17" s="52" t="s">
        <v>34</v>
      </c>
      <c r="V17" s="44" t="s">
        <v>30</v>
      </c>
      <c r="W17" s="53" t="s">
        <v>36</v>
      </c>
      <c r="X17" s="46" t="s">
        <v>37</v>
      </c>
      <c r="Y17" s="21"/>
      <c r="Z17" s="37" t="s">
        <v>32</v>
      </c>
      <c r="AA17" s="37" t="s">
        <v>33</v>
      </c>
    </row>
    <row r="18" spans="1:32" x14ac:dyDescent="0.25">
      <c r="A18" s="1"/>
      <c r="B18" s="14">
        <v>2.5</v>
      </c>
      <c r="C18" s="14">
        <v>11</v>
      </c>
      <c r="D18" s="66" t="s">
        <v>0</v>
      </c>
      <c r="E18" s="16">
        <v>6.5000000000000002E-2</v>
      </c>
      <c r="F18" s="16">
        <f>B18*3.14</f>
        <v>7.8500000000000005</v>
      </c>
      <c r="G18" s="17">
        <f>F18/E18</f>
        <v>120.76923076923077</v>
      </c>
      <c r="H18" s="16">
        <f>C18/10</f>
        <v>1.1000000000000001</v>
      </c>
      <c r="I18" s="16">
        <v>4</v>
      </c>
      <c r="J18" s="19">
        <f>H18*G18/60</f>
        <v>2.2141025641025647</v>
      </c>
      <c r="K18" s="20">
        <f>J18+I18</f>
        <v>6.2141025641025642</v>
      </c>
      <c r="L18" s="68">
        <v>250</v>
      </c>
      <c r="M18" s="69">
        <f>L18/60</f>
        <v>4.166666666666667</v>
      </c>
      <c r="N18" s="69"/>
      <c r="O18" s="18">
        <f>ROUNDUP(K18*M18,1)</f>
        <v>25.900000000000002</v>
      </c>
      <c r="P18" s="56"/>
      <c r="Q18" s="30">
        <v>125</v>
      </c>
      <c r="R18" s="71">
        <v>0.02</v>
      </c>
      <c r="S18" s="32">
        <v>1</v>
      </c>
      <c r="T18" s="35">
        <f>O18*S18</f>
        <v>25.900000000000002</v>
      </c>
      <c r="U18" s="33">
        <f>IF(T18&gt;Z18, T18, Z18)</f>
        <v>250</v>
      </c>
      <c r="V18" s="33">
        <f>U18+Q18</f>
        <v>375</v>
      </c>
      <c r="W18" s="33">
        <f>ROUNDUP(V18*R18,0)</f>
        <v>8</v>
      </c>
      <c r="X18" s="33">
        <f t="shared" ref="X18" si="9">V18+W18</f>
        <v>383</v>
      </c>
      <c r="Y18" s="56"/>
      <c r="Z18" s="58">
        <v>250</v>
      </c>
      <c r="AA18" s="47">
        <f>ROUNDDOWN(Z18/O18,0)</f>
        <v>9</v>
      </c>
    </row>
    <row r="21" spans="1:32" ht="24" thickBot="1" x14ac:dyDescent="0.4">
      <c r="A21" s="171"/>
      <c r="B21" s="172" t="s">
        <v>119</v>
      </c>
      <c r="C21" s="173"/>
      <c r="F21" s="171"/>
      <c r="G21" s="172" t="s">
        <v>149</v>
      </c>
      <c r="H21" s="198"/>
      <c r="I21" s="198"/>
      <c r="J21" s="198"/>
      <c r="K21" s="173"/>
      <c r="Q21" s="581" t="s">
        <v>149</v>
      </c>
      <c r="R21" s="582"/>
      <c r="S21" s="582"/>
      <c r="T21" s="582"/>
      <c r="U21" s="582"/>
      <c r="V21" s="510"/>
      <c r="X21" s="541" t="s">
        <v>348</v>
      </c>
      <c r="Y21" s="541"/>
      <c r="Z21" s="541"/>
      <c r="AA21" s="541"/>
      <c r="AB21" s="1"/>
      <c r="AC21" s="584" t="s">
        <v>362</v>
      </c>
      <c r="AD21" s="584"/>
      <c r="AE21" s="584"/>
      <c r="AF21" s="584"/>
    </row>
    <row r="22" spans="1:32" ht="16.5" thickTop="1" x14ac:dyDescent="0.25">
      <c r="A22" s="174" t="s">
        <v>32</v>
      </c>
      <c r="C22" s="175">
        <v>225</v>
      </c>
      <c r="F22" s="174" t="s">
        <v>150</v>
      </c>
      <c r="K22" s="176"/>
      <c r="Q22" s="511" t="s">
        <v>150</v>
      </c>
      <c r="V22" s="512"/>
      <c r="X22" s="362" t="s">
        <v>207</v>
      </c>
      <c r="Y22" s="363"/>
      <c r="Z22" s="352"/>
      <c r="AA22" s="364">
        <f>O6</f>
        <v>31.3</v>
      </c>
      <c r="AB22" s="1"/>
      <c r="AC22" s="462" t="s">
        <v>207</v>
      </c>
      <c r="AD22" s="463"/>
      <c r="AE22" s="383"/>
      <c r="AF22" s="470">
        <f>O3</f>
        <v>377.5</v>
      </c>
    </row>
    <row r="23" spans="1:32" ht="15.75" x14ac:dyDescent="0.25">
      <c r="A23" s="174" t="s">
        <v>120</v>
      </c>
      <c r="C23" s="175">
        <v>125</v>
      </c>
      <c r="F23" s="174" t="s">
        <v>151</v>
      </c>
      <c r="K23" s="176"/>
      <c r="Q23" s="511" t="s">
        <v>151</v>
      </c>
      <c r="V23" s="512"/>
      <c r="X23" s="365" t="s">
        <v>208</v>
      </c>
      <c r="Y23" s="1"/>
      <c r="AA23" s="366">
        <f>S6</f>
        <v>55</v>
      </c>
      <c r="AB23" s="1"/>
      <c r="AC23" s="464" t="s">
        <v>208</v>
      </c>
      <c r="AD23" s="1"/>
      <c r="AF23" s="471">
        <f>S3</f>
        <v>2</v>
      </c>
    </row>
    <row r="24" spans="1:32" ht="15.75" x14ac:dyDescent="0.25">
      <c r="A24" s="174" t="s">
        <v>36</v>
      </c>
      <c r="C24" s="176" t="s">
        <v>122</v>
      </c>
      <c r="F24" s="174"/>
      <c r="K24" s="176"/>
      <c r="Q24" s="511"/>
      <c r="V24" s="512"/>
      <c r="X24" s="365" t="s">
        <v>209</v>
      </c>
      <c r="Y24" s="1"/>
      <c r="AA24" s="367">
        <f>U6</f>
        <v>1721.5</v>
      </c>
      <c r="AB24" s="1"/>
      <c r="AC24" s="464" t="s">
        <v>209</v>
      </c>
      <c r="AD24" s="1"/>
      <c r="AF24" s="469">
        <f>U3</f>
        <v>755</v>
      </c>
    </row>
    <row r="25" spans="1:32" ht="15.75" x14ac:dyDescent="0.25">
      <c r="A25" s="174" t="s">
        <v>121</v>
      </c>
      <c r="C25" s="176" t="s">
        <v>123</v>
      </c>
      <c r="F25" s="174" t="s">
        <v>152</v>
      </c>
      <c r="K25" s="176"/>
      <c r="Q25" s="511" t="s">
        <v>152</v>
      </c>
      <c r="V25" s="512"/>
      <c r="X25" s="365" t="s">
        <v>210</v>
      </c>
      <c r="Y25" s="1"/>
      <c r="AA25" s="367">
        <f>W6</f>
        <v>37</v>
      </c>
      <c r="AB25" s="1"/>
      <c r="AC25" s="464" t="s">
        <v>210</v>
      </c>
      <c r="AD25" s="1"/>
      <c r="AF25" s="469">
        <f>W3</f>
        <v>16</v>
      </c>
    </row>
    <row r="26" spans="1:32" ht="15.75" x14ac:dyDescent="0.25">
      <c r="A26" s="177" t="s">
        <v>124</v>
      </c>
      <c r="B26" s="178"/>
      <c r="C26" s="179" t="s">
        <v>125</v>
      </c>
      <c r="F26" s="174" t="s">
        <v>153</v>
      </c>
      <c r="K26" s="176"/>
      <c r="Q26" s="511" t="s">
        <v>153</v>
      </c>
      <c r="V26" s="512"/>
      <c r="X26" s="365" t="s">
        <v>216</v>
      </c>
      <c r="AA26" s="368">
        <f>Q6</f>
        <v>125</v>
      </c>
      <c r="AB26" s="1"/>
      <c r="AC26" s="464" t="s">
        <v>216</v>
      </c>
      <c r="AF26" s="465">
        <f>Q3</f>
        <v>0</v>
      </c>
    </row>
    <row r="27" spans="1:32" ht="15.75" x14ac:dyDescent="0.25">
      <c r="F27" s="174"/>
      <c r="K27" s="176"/>
      <c r="Q27" s="511"/>
      <c r="V27" s="512"/>
      <c r="X27" s="365" t="s">
        <v>211</v>
      </c>
      <c r="Y27" s="1"/>
      <c r="AA27" s="367">
        <f>X6</f>
        <v>1883.5</v>
      </c>
      <c r="AB27" s="1"/>
      <c r="AC27" s="464" t="s">
        <v>211</v>
      </c>
      <c r="AD27" s="1"/>
      <c r="AF27" s="469">
        <f>X3</f>
        <v>771</v>
      </c>
    </row>
    <row r="28" spans="1:32" ht="16.5" thickBot="1" x14ac:dyDescent="0.3">
      <c r="F28" s="174" t="s">
        <v>154</v>
      </c>
      <c r="K28" s="176"/>
      <c r="Q28" s="511" t="s">
        <v>154</v>
      </c>
      <c r="V28" s="512"/>
      <c r="X28" s="369" t="s">
        <v>346</v>
      </c>
      <c r="Y28" s="354"/>
      <c r="Z28" s="437"/>
      <c r="AA28" s="438" t="s">
        <v>347</v>
      </c>
      <c r="AB28" s="1"/>
      <c r="AC28" s="466" t="s">
        <v>346</v>
      </c>
      <c r="AD28" s="388"/>
      <c r="AE28" s="467"/>
      <c r="AF28" s="468" t="s">
        <v>347</v>
      </c>
    </row>
    <row r="29" spans="1:32" ht="15.75" thickTop="1" x14ac:dyDescent="0.25">
      <c r="F29" s="177" t="s">
        <v>155</v>
      </c>
      <c r="G29" s="178"/>
      <c r="H29" s="178"/>
      <c r="I29" s="178"/>
      <c r="J29" s="178"/>
      <c r="K29" s="199"/>
      <c r="Q29" s="513" t="s">
        <v>155</v>
      </c>
      <c r="R29" s="508"/>
      <c r="S29" s="508"/>
      <c r="T29" s="508"/>
      <c r="U29" s="508"/>
      <c r="V29" s="514"/>
      <c r="Z29" s="1"/>
      <c r="AA29" s="1"/>
      <c r="AB29" s="1"/>
    </row>
    <row r="30" spans="1:32" ht="23.25" x14ac:dyDescent="0.35">
      <c r="X30" s="583" t="s">
        <v>284</v>
      </c>
      <c r="Y30" s="583"/>
      <c r="Z30" s="583"/>
      <c r="AA30" s="583"/>
      <c r="AB30" s="1"/>
    </row>
    <row r="31" spans="1:32" ht="18.75" customHeight="1" x14ac:dyDescent="0.25">
      <c r="X31" s="499" t="s">
        <v>207</v>
      </c>
      <c r="Y31" s="500"/>
      <c r="Z31" s="501"/>
      <c r="AA31" s="502">
        <f>O9</f>
        <v>38.5</v>
      </c>
      <c r="AB31" s="1"/>
    </row>
    <row r="32" spans="1:32" ht="13.5" customHeight="1" x14ac:dyDescent="0.25">
      <c r="A32" s="95" t="s">
        <v>178</v>
      </c>
      <c r="B32" s="246" t="s">
        <v>176</v>
      </c>
      <c r="C32" s="95" t="s">
        <v>173</v>
      </c>
      <c r="D32" s="95" t="s">
        <v>170</v>
      </c>
      <c r="E32" s="95" t="s">
        <v>171</v>
      </c>
      <c r="F32" s="246" t="s">
        <v>175</v>
      </c>
      <c r="G32" s="95" t="s">
        <v>172</v>
      </c>
      <c r="H32" s="95" t="s">
        <v>174</v>
      </c>
      <c r="I32" s="246" t="s">
        <v>177</v>
      </c>
      <c r="O32" s="250" t="s">
        <v>184</v>
      </c>
      <c r="P32" s="184" t="s">
        <v>185</v>
      </c>
      <c r="Q32" s="184" t="s">
        <v>186</v>
      </c>
      <c r="X32" s="503" t="s">
        <v>208</v>
      </c>
      <c r="Y32" s="1"/>
      <c r="AA32" s="504">
        <f>S9</f>
        <v>22</v>
      </c>
      <c r="AB32" s="1"/>
    </row>
    <row r="33" spans="1:28" ht="15.75" x14ac:dyDescent="0.25">
      <c r="A33" s="232" t="s">
        <v>179</v>
      </c>
      <c r="B33" s="332">
        <v>16.75</v>
      </c>
      <c r="C33" s="333">
        <v>144</v>
      </c>
      <c r="D33" s="251">
        <f>B33/2</f>
        <v>8.375</v>
      </c>
      <c r="E33" s="161">
        <v>3.1415926535900001</v>
      </c>
      <c r="F33" s="161">
        <f>E33*(D33^2)</f>
        <v>220.35327221821109</v>
      </c>
      <c r="G33" s="161">
        <f>F33*C33</f>
        <v>31730.871199422396</v>
      </c>
      <c r="H33" s="161">
        <v>0.28299999999999997</v>
      </c>
      <c r="I33" s="233">
        <f>G33*H33</f>
        <v>8979.8365494365371</v>
      </c>
      <c r="O33" s="95">
        <v>6000</v>
      </c>
      <c r="P33" s="257">
        <v>0.12</v>
      </c>
      <c r="Q33" s="256">
        <f>ROUND(P33*I33, 2)</f>
        <v>1077.58</v>
      </c>
      <c r="X33" s="503" t="s">
        <v>209</v>
      </c>
      <c r="Y33" s="1"/>
      <c r="AA33" s="505">
        <f>U9</f>
        <v>847</v>
      </c>
      <c r="AB33" s="1"/>
    </row>
    <row r="34" spans="1:28" ht="15.75" x14ac:dyDescent="0.25">
      <c r="A34" s="234" t="s">
        <v>180</v>
      </c>
      <c r="B34" s="332">
        <v>6.5</v>
      </c>
      <c r="C34" s="333">
        <v>144</v>
      </c>
      <c r="D34" s="252">
        <f>B34/2</f>
        <v>3.25</v>
      </c>
      <c r="E34" s="235">
        <v>3.1415926535900001</v>
      </c>
      <c r="F34" s="235">
        <f t="shared" ref="F34:F37" si="10">E34*(D34^2)</f>
        <v>33.183072403544372</v>
      </c>
      <c r="G34" s="235">
        <f>F34*C34</f>
        <v>4778.3624261103896</v>
      </c>
      <c r="H34" s="235">
        <v>0.28999999999999998</v>
      </c>
      <c r="I34" s="236">
        <f>G34*H34</f>
        <v>1385.7251035720128</v>
      </c>
      <c r="P34" s="257">
        <v>0.14000000000000001</v>
      </c>
      <c r="Q34" s="256">
        <f>ROUND(P34*I34, 2)</f>
        <v>194</v>
      </c>
      <c r="X34" s="503" t="s">
        <v>210</v>
      </c>
      <c r="Y34" s="1"/>
      <c r="AA34" s="505">
        <f>W9</f>
        <v>20</v>
      </c>
      <c r="AB34" s="1"/>
    </row>
    <row r="35" spans="1:28" ht="15.75" x14ac:dyDescent="0.25">
      <c r="A35" s="237" t="s">
        <v>181</v>
      </c>
      <c r="B35" s="332">
        <v>13</v>
      </c>
      <c r="C35" s="333">
        <v>148</v>
      </c>
      <c r="D35" s="253">
        <f>B35/2</f>
        <v>6.5</v>
      </c>
      <c r="E35" s="238">
        <v>3.1415926535900001</v>
      </c>
      <c r="F35" s="238">
        <f t="shared" si="10"/>
        <v>132.73228961417749</v>
      </c>
      <c r="G35" s="238">
        <f>F35*C35</f>
        <v>19644.378862898269</v>
      </c>
      <c r="H35" s="238">
        <v>0.1</v>
      </c>
      <c r="I35" s="239">
        <f>G35*H35</f>
        <v>1964.437886289827</v>
      </c>
      <c r="P35" s="257">
        <v>0.16</v>
      </c>
      <c r="Q35" s="256">
        <f>ROUND(P35*I35, 2)</f>
        <v>314.31</v>
      </c>
      <c r="X35" s="503" t="s">
        <v>216</v>
      </c>
      <c r="AA35" s="506">
        <f>Q9</f>
        <v>125</v>
      </c>
      <c r="AB35" s="1"/>
    </row>
    <row r="36" spans="1:28" ht="15.75" x14ac:dyDescent="0.25">
      <c r="A36" s="240" t="s">
        <v>182</v>
      </c>
      <c r="B36" s="332">
        <v>13</v>
      </c>
      <c r="C36" s="333">
        <v>148</v>
      </c>
      <c r="D36" s="254">
        <f>B36/2</f>
        <v>6.5</v>
      </c>
      <c r="E36" s="241">
        <v>3.1415926535900001</v>
      </c>
      <c r="F36" s="241">
        <f t="shared" si="10"/>
        <v>132.73228961417749</v>
      </c>
      <c r="G36" s="241">
        <f>F36*C36</f>
        <v>19644.378862898269</v>
      </c>
      <c r="H36" s="241">
        <v>0.16</v>
      </c>
      <c r="I36" s="242">
        <f>G36*H36</f>
        <v>3143.1006180637232</v>
      </c>
      <c r="P36" s="257">
        <v>0.2</v>
      </c>
      <c r="Q36" s="256">
        <f>ROUND(P36*I36, 2)</f>
        <v>628.62</v>
      </c>
      <c r="X36" s="503" t="s">
        <v>211</v>
      </c>
      <c r="Y36" s="1"/>
      <c r="AA36" s="505">
        <f>X9</f>
        <v>992</v>
      </c>
      <c r="AB36" s="1"/>
    </row>
    <row r="37" spans="1:28" ht="15.75" x14ac:dyDescent="0.25">
      <c r="A37" s="243" t="s">
        <v>187</v>
      </c>
      <c r="B37" s="332">
        <v>6</v>
      </c>
      <c r="C37" s="333">
        <v>15</v>
      </c>
      <c r="D37" s="255">
        <f>B37/2</f>
        <v>3</v>
      </c>
      <c r="E37" s="244">
        <v>3.1415926535900001</v>
      </c>
      <c r="F37" s="244">
        <f t="shared" si="10"/>
        <v>28.27433388231</v>
      </c>
      <c r="G37" s="244">
        <f>F37*C37</f>
        <v>424.11500823465002</v>
      </c>
      <c r="H37" s="244">
        <v>0.29649999999999999</v>
      </c>
      <c r="I37" s="245">
        <f>G37*H37</f>
        <v>125.75009994157372</v>
      </c>
      <c r="P37" s="257">
        <v>0.14000000000000001</v>
      </c>
      <c r="Q37" s="256">
        <f>ROUND(P37*I37, 2)</f>
        <v>17.61</v>
      </c>
      <c r="X37" s="507" t="s">
        <v>346</v>
      </c>
      <c r="Y37" s="508"/>
      <c r="Z37" s="508"/>
      <c r="AA37" s="509" t="s">
        <v>347</v>
      </c>
      <c r="AB37" s="1"/>
    </row>
  </sheetData>
  <mergeCells count="4">
    <mergeCell ref="Q21:U21"/>
    <mergeCell ref="X30:AA30"/>
    <mergeCell ref="X21:AA21"/>
    <mergeCell ref="AC21:AF21"/>
  </mergeCells>
  <conditionalFormatting sqref="I33:I37">
    <cfRule type="cellIs" dxfId="11" priority="1" operator="greaterThan">
      <formula>$Q$19</formula>
    </cfRule>
  </conditionalFormatting>
  <conditionalFormatting sqref="I37">
    <cfRule type="cellIs" dxfId="10" priority="7" operator="greaterThan">
      <formula>6296.819819</formula>
    </cfRule>
    <cfRule type="cellIs" dxfId="9" priority="8" operator="greaterThan">
      <formula>$Q$19</formula>
    </cfRule>
  </conditionalFormatting>
  <conditionalFormatting sqref="Q37">
    <cfRule type="cellIs" dxfId="8" priority="2" operator="greaterThan">
      <formula>960</formula>
    </cfRule>
    <cfRule type="cellIs" priority="3" operator="greaterThan">
      <formula>960</formula>
    </cfRule>
    <cfRule type="expression" priority="4">
      <formula>$K$23</formula>
    </cfRule>
    <cfRule type="aboveAverage" priority="5" aboveAverage="0"/>
    <cfRule type="expression" priority="6">
      <formula>"IF K28 IS RED"</formula>
    </cfRule>
  </conditionalFormatting>
  <pageMargins left="0.7" right="0.7" top="0.75" bottom="0.75" header="0.3" footer="0.3"/>
  <drawing r:id="rId1"/>
  <legacy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DA31-42E3-407A-95E7-11BCC0A7DAF1}">
  <sheetPr>
    <tabColor rgb="FF00B0F0"/>
  </sheetPr>
  <dimension ref="A1:AA38"/>
  <sheetViews>
    <sheetView workbookViewId="0">
      <selection activeCell="P13" sqref="P13:X13"/>
    </sheetView>
  </sheetViews>
  <sheetFormatPr defaultColWidth="9.140625" defaultRowHeight="15" x14ac:dyDescent="0.25"/>
  <cols>
    <col min="1" max="1" width="9.140625" style="1"/>
    <col min="2" max="3" width="13.28515625" style="1" customWidth="1"/>
    <col min="4" max="4" width="13.28515625" style="1" hidden="1" customWidth="1"/>
    <col min="5" max="5" width="13.28515625" style="1" customWidth="1"/>
    <col min="6" max="6" width="21" style="1" hidden="1" customWidth="1"/>
    <col min="7" max="7" width="22.7109375" style="1" hidden="1" customWidth="1"/>
    <col min="8" max="8" width="14.85546875" style="1" hidden="1" customWidth="1"/>
    <col min="9" max="9" width="11.5703125" style="1" customWidth="1"/>
    <col min="10" max="10" width="12.42578125" style="1" hidden="1" customWidth="1"/>
    <col min="11" max="13" width="26" style="1" hidden="1" customWidth="1"/>
    <col min="14" max="14" width="18.5703125" style="1" customWidth="1"/>
    <col min="15" max="15" width="16.42578125" style="1" hidden="1" customWidth="1"/>
    <col min="16" max="16" width="13.85546875" style="1" customWidth="1"/>
    <col min="17" max="17" width="11.85546875" style="1" bestFit="1" customWidth="1"/>
    <col min="18" max="18" width="14.7109375" style="1" customWidth="1"/>
    <col min="19" max="19" width="8.7109375" style="1" customWidth="1"/>
    <col min="20" max="20" width="10.5703125" style="1" bestFit="1" customWidth="1"/>
    <col min="21" max="21" width="20.28515625" style="8" bestFit="1" customWidth="1"/>
    <col min="22" max="22" width="13.140625" style="1" customWidth="1"/>
    <col min="23" max="23" width="12.28515625" style="1" bestFit="1" customWidth="1"/>
    <col min="24" max="24" width="10.42578125" style="1" bestFit="1" customWidth="1"/>
    <col min="25" max="16384" width="9.140625" style="1"/>
  </cols>
  <sheetData>
    <row r="1" spans="1:27" ht="36" customHeight="1" x14ac:dyDescent="0.25">
      <c r="A1" s="9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1"/>
      <c r="P1" s="21"/>
      <c r="Q1" s="22"/>
      <c r="R1" s="22"/>
      <c r="S1" s="22"/>
      <c r="T1" s="22"/>
      <c r="U1" s="75"/>
      <c r="V1" s="22"/>
      <c r="W1" s="22"/>
      <c r="X1" s="88"/>
      <c r="Y1" s="22"/>
      <c r="Z1" s="21"/>
      <c r="AA1" s="21"/>
    </row>
    <row r="2" spans="1:27" ht="30" customHeight="1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3" t="s">
        <v>5</v>
      </c>
      <c r="O2" s="34"/>
      <c r="P2" s="38" t="s">
        <v>29</v>
      </c>
      <c r="Q2" s="37" t="s">
        <v>34</v>
      </c>
      <c r="R2" s="37" t="s">
        <v>27</v>
      </c>
      <c r="S2" s="38" t="s">
        <v>39</v>
      </c>
      <c r="T2" s="38" t="s">
        <v>30</v>
      </c>
      <c r="U2" s="74" t="s">
        <v>36</v>
      </c>
      <c r="V2" s="38" t="s">
        <v>31</v>
      </c>
      <c r="W2" s="37" t="s">
        <v>32</v>
      </c>
      <c r="X2" s="41" t="s">
        <v>33</v>
      </c>
      <c r="Y2" s="21"/>
      <c r="Z2" s="21"/>
      <c r="AA2" s="21"/>
    </row>
    <row r="3" spans="1:27" x14ac:dyDescent="0.25">
      <c r="A3" s="65">
        <v>11.68</v>
      </c>
      <c r="B3" s="65">
        <v>26.25</v>
      </c>
      <c r="C3" s="65">
        <v>54</v>
      </c>
      <c r="D3" s="66" t="s">
        <v>0</v>
      </c>
      <c r="E3" s="66">
        <v>0.125</v>
      </c>
      <c r="F3" s="66">
        <f>(A3+B3)*C3</f>
        <v>2048.2199999999998</v>
      </c>
      <c r="G3" s="66">
        <f>(A3+B3)/E3</f>
        <v>303.44</v>
      </c>
      <c r="H3" s="66">
        <f t="shared" ref="H3" si="0">C3/10</f>
        <v>5.4</v>
      </c>
      <c r="I3" s="66">
        <v>1.5</v>
      </c>
      <c r="J3" s="67">
        <f t="shared" ref="J3" si="1">H3*G3/60</f>
        <v>27.3096</v>
      </c>
      <c r="K3" s="67">
        <f>J3+I3</f>
        <v>28.8096</v>
      </c>
      <c r="L3" s="68">
        <v>195</v>
      </c>
      <c r="M3" s="69">
        <f>L3/60</f>
        <v>3.25</v>
      </c>
      <c r="N3" s="70">
        <f>ROUNDUP(K3*M3,1)</f>
        <v>93.699999999999989</v>
      </c>
      <c r="O3" s="23" t="s">
        <v>91</v>
      </c>
      <c r="P3" s="32">
        <v>334</v>
      </c>
      <c r="Q3" s="33">
        <f>N3*P3</f>
        <v>31295.799999999996</v>
      </c>
      <c r="R3" s="30">
        <v>0</v>
      </c>
      <c r="S3" s="79">
        <v>0</v>
      </c>
      <c r="T3" s="33">
        <f>Q3+R3</f>
        <v>31295.799999999996</v>
      </c>
      <c r="U3" s="77">
        <f>ROUNDUP(T3*S3,0)</f>
        <v>0</v>
      </c>
      <c r="V3" s="33">
        <f>T3+U3</f>
        <v>31295.799999999996</v>
      </c>
      <c r="W3" s="57">
        <v>195</v>
      </c>
      <c r="X3" s="78">
        <f>ROUNDDOWN(W3/N3,0)</f>
        <v>2</v>
      </c>
      <c r="Y3" s="21"/>
      <c r="Z3" s="21"/>
      <c r="AA3" s="21"/>
    </row>
    <row r="4" spans="1:27" ht="18.75" x14ac:dyDescent="0.25">
      <c r="O4" s="24"/>
      <c r="P4" s="21"/>
      <c r="Q4" s="27"/>
      <c r="R4" s="28"/>
      <c r="S4" s="72"/>
      <c r="T4" s="27"/>
      <c r="U4" s="76"/>
      <c r="V4" s="27"/>
      <c r="W4" s="25"/>
      <c r="X4" s="26"/>
      <c r="Y4" s="21"/>
      <c r="Z4" s="21"/>
      <c r="AA4" s="21"/>
    </row>
    <row r="5" spans="1:27" ht="21" x14ac:dyDescent="0.25">
      <c r="B5" s="80" t="s">
        <v>12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2"/>
      <c r="P5" s="82"/>
      <c r="Q5" s="83"/>
      <c r="R5" s="84"/>
      <c r="S5" s="85"/>
      <c r="T5" s="83"/>
      <c r="U5" s="86"/>
      <c r="V5" s="83"/>
      <c r="W5" s="82"/>
      <c r="X5" s="87"/>
      <c r="Y5" s="21"/>
      <c r="Z5" s="21"/>
      <c r="AA5" s="21"/>
    </row>
    <row r="6" spans="1:27" ht="30" x14ac:dyDescent="0.25">
      <c r="B6" s="4" t="s">
        <v>13</v>
      </c>
      <c r="C6" s="4" t="s">
        <v>7</v>
      </c>
      <c r="D6" s="2" t="s">
        <v>2</v>
      </c>
      <c r="E6" s="4" t="s">
        <v>1</v>
      </c>
      <c r="F6" s="5" t="s">
        <v>20</v>
      </c>
      <c r="G6" s="4" t="s">
        <v>14</v>
      </c>
      <c r="H6" s="4" t="s">
        <v>15</v>
      </c>
      <c r="I6" s="4" t="s">
        <v>17</v>
      </c>
      <c r="J6" s="4" t="s">
        <v>16</v>
      </c>
      <c r="K6" s="4" t="s">
        <v>18</v>
      </c>
      <c r="L6" s="2" t="s">
        <v>24</v>
      </c>
      <c r="M6" s="2" t="s">
        <v>25</v>
      </c>
      <c r="N6" s="6" t="s">
        <v>19</v>
      </c>
      <c r="O6" s="37"/>
      <c r="P6" s="38" t="s">
        <v>29</v>
      </c>
      <c r="Q6" s="44" t="s">
        <v>34</v>
      </c>
      <c r="R6" s="42" t="s">
        <v>27</v>
      </c>
      <c r="S6" s="73" t="s">
        <v>39</v>
      </c>
      <c r="T6" s="44" t="s">
        <v>30</v>
      </c>
      <c r="U6" s="45" t="s">
        <v>36</v>
      </c>
      <c r="V6" s="44" t="s">
        <v>31</v>
      </c>
      <c r="W6" s="37" t="s">
        <v>32</v>
      </c>
      <c r="X6" s="41" t="s">
        <v>33</v>
      </c>
      <c r="Y6" s="21"/>
      <c r="Z6" s="21"/>
      <c r="AA6" s="21"/>
    </row>
    <row r="7" spans="1:27" x14ac:dyDescent="0.25">
      <c r="B7" s="14">
        <v>4</v>
      </c>
      <c r="C7" s="14">
        <v>48</v>
      </c>
      <c r="D7" s="66" t="s">
        <v>0</v>
      </c>
      <c r="E7" s="16">
        <v>0.125</v>
      </c>
      <c r="F7" s="16">
        <f>B7*3.14</f>
        <v>12.56</v>
      </c>
      <c r="G7" s="17">
        <f>F7/E7</f>
        <v>100.48</v>
      </c>
      <c r="H7" s="16">
        <f>C7/10</f>
        <v>4.8</v>
      </c>
      <c r="I7" s="16">
        <v>3</v>
      </c>
      <c r="J7" s="19">
        <f>H7*G7/60</f>
        <v>8.0383999999999993</v>
      </c>
      <c r="K7" s="20">
        <f>J7+I7</f>
        <v>11.038399999999999</v>
      </c>
      <c r="L7" s="68">
        <v>195</v>
      </c>
      <c r="M7" s="69">
        <f>L7/60</f>
        <v>3.25</v>
      </c>
      <c r="N7" s="18">
        <f>ROUNDUP(K7*M7,1)</f>
        <v>35.9</v>
      </c>
      <c r="O7" s="21" t="s">
        <v>91</v>
      </c>
      <c r="P7" s="32">
        <v>4</v>
      </c>
      <c r="Q7" s="33">
        <f>N7*P7</f>
        <v>143.6</v>
      </c>
      <c r="R7" s="30">
        <v>0</v>
      </c>
      <c r="S7" s="79">
        <v>0</v>
      </c>
      <c r="T7" s="33">
        <f>Q7+R7</f>
        <v>143.6</v>
      </c>
      <c r="U7" s="77">
        <f>ROUNDUP(T7*S7,0)</f>
        <v>0</v>
      </c>
      <c r="V7" s="33">
        <f t="shared" ref="V7" si="2">T7+U7</f>
        <v>143.6</v>
      </c>
      <c r="W7" s="57">
        <v>195</v>
      </c>
      <c r="X7" s="78">
        <f>ROUNDDOWN(W7/N7,0)</f>
        <v>5</v>
      </c>
      <c r="Y7" s="21"/>
      <c r="Z7" s="21"/>
      <c r="AA7" s="21"/>
    </row>
    <row r="8" spans="1:27" x14ac:dyDescent="0.25">
      <c r="O8" s="21"/>
      <c r="P8" s="21"/>
      <c r="Q8" s="21"/>
      <c r="R8" s="21"/>
      <c r="S8" s="21"/>
      <c r="T8" s="21"/>
      <c r="U8" s="26"/>
      <c r="V8" s="21"/>
      <c r="W8" s="21"/>
      <c r="X8" s="21"/>
      <c r="Y8" s="21"/>
      <c r="Z8" s="21"/>
      <c r="AA8" s="21"/>
    </row>
    <row r="9" spans="1:27" x14ac:dyDescent="0.25">
      <c r="O9" s="21"/>
      <c r="P9" s="21"/>
      <c r="Q9" s="21"/>
      <c r="R9" s="21"/>
      <c r="S9" s="21"/>
      <c r="T9" s="21"/>
      <c r="U9" s="26"/>
      <c r="V9" s="21"/>
      <c r="W9" s="21"/>
      <c r="X9" s="21"/>
      <c r="Y9" s="21"/>
      <c r="Z9" s="21"/>
      <c r="AA9" s="21"/>
    </row>
    <row r="10" spans="1:27" x14ac:dyDescent="0.25">
      <c r="O10" s="21"/>
      <c r="P10" s="21"/>
      <c r="Q10" s="21"/>
      <c r="R10" s="21"/>
      <c r="S10" s="21"/>
      <c r="T10" s="21"/>
      <c r="U10" s="26"/>
      <c r="V10" s="21"/>
      <c r="W10" s="21"/>
      <c r="X10" s="21"/>
      <c r="Y10" s="21"/>
      <c r="Z10" s="21"/>
      <c r="AA10" s="21"/>
    </row>
    <row r="11" spans="1:27" ht="30" customHeight="1" x14ac:dyDescent="0.25">
      <c r="O11" s="21"/>
      <c r="P11" s="21"/>
      <c r="Q11" s="21"/>
      <c r="R11" s="21"/>
      <c r="S11" s="21"/>
      <c r="T11" s="21"/>
      <c r="U11" s="26"/>
      <c r="V11" s="21"/>
      <c r="W11" s="21"/>
      <c r="X11" s="21"/>
      <c r="Y11" s="21"/>
      <c r="Z11" s="21"/>
      <c r="AA11" s="21"/>
    </row>
    <row r="12" spans="1:27" ht="30" customHeight="1" x14ac:dyDescent="0.25">
      <c r="O12" s="21"/>
      <c r="P12" s="21"/>
      <c r="Q12" s="21"/>
      <c r="R12" s="21"/>
      <c r="S12" s="21"/>
      <c r="T12" s="21"/>
      <c r="U12" s="26"/>
      <c r="V12" s="21"/>
      <c r="W12" s="21"/>
      <c r="X12" s="21"/>
      <c r="Y12" s="21"/>
      <c r="Z12" s="21"/>
      <c r="AA12" s="21"/>
    </row>
    <row r="13" spans="1:27" ht="21" x14ac:dyDescent="0.35">
      <c r="A13" s="171"/>
      <c r="B13" s="172" t="s">
        <v>119</v>
      </c>
      <c r="C13" s="173"/>
      <c r="I13" s="171"/>
      <c r="J13" s="172" t="s">
        <v>149</v>
      </c>
      <c r="K13" s="198"/>
      <c r="L13" s="198"/>
      <c r="M13" s="198"/>
      <c r="N13" s="172" t="s">
        <v>149</v>
      </c>
      <c r="O13" s="60"/>
      <c r="P13" s="60"/>
      <c r="Q13" s="64"/>
      <c r="R13" s="21"/>
      <c r="S13" s="21"/>
      <c r="T13" s="21"/>
      <c r="U13" s="26"/>
      <c r="V13" s="21"/>
      <c r="W13" s="21"/>
      <c r="X13" s="21"/>
      <c r="Y13" s="21"/>
      <c r="Z13" s="21"/>
      <c r="AA13" s="21"/>
    </row>
    <row r="14" spans="1:27" x14ac:dyDescent="0.25">
      <c r="A14" s="174" t="s">
        <v>32</v>
      </c>
      <c r="B14"/>
      <c r="C14" s="175">
        <v>195</v>
      </c>
      <c r="I14" s="174" t="s">
        <v>150</v>
      </c>
      <c r="J14"/>
      <c r="K14"/>
      <c r="L14"/>
      <c r="M14"/>
      <c r="N14"/>
      <c r="O14" s="21"/>
      <c r="P14" s="21"/>
      <c r="Q14" s="205"/>
      <c r="R14" s="21"/>
      <c r="S14" s="21"/>
      <c r="T14" s="21"/>
      <c r="U14" s="26"/>
      <c r="V14" s="21"/>
      <c r="W14" s="21"/>
      <c r="X14" s="21"/>
      <c r="Y14" s="21"/>
      <c r="Z14" s="21"/>
      <c r="AA14" s="21"/>
    </row>
    <row r="15" spans="1:27" x14ac:dyDescent="0.25">
      <c r="A15" s="174" t="s">
        <v>120</v>
      </c>
      <c r="B15" t="s">
        <v>200</v>
      </c>
      <c r="C15" s="175">
        <v>125</v>
      </c>
      <c r="I15" s="174" t="s">
        <v>151</v>
      </c>
      <c r="J15"/>
      <c r="K15"/>
      <c r="L15"/>
      <c r="M15"/>
      <c r="N15"/>
      <c r="O15" s="21"/>
      <c r="P15" s="21"/>
      <c r="Q15" s="205"/>
      <c r="R15" s="21"/>
      <c r="S15" s="21"/>
      <c r="T15" s="21"/>
      <c r="U15" s="26"/>
      <c r="V15" s="21"/>
      <c r="W15" s="21"/>
      <c r="X15" s="21"/>
      <c r="Y15" s="21"/>
      <c r="Z15" s="21"/>
      <c r="AA15" s="21"/>
    </row>
    <row r="16" spans="1:27" x14ac:dyDescent="0.25">
      <c r="A16" s="174" t="s">
        <v>36</v>
      </c>
      <c r="B16"/>
      <c r="C16" s="200" t="s">
        <v>160</v>
      </c>
      <c r="I16" s="174"/>
      <c r="J16"/>
      <c r="K16"/>
      <c r="L16"/>
      <c r="M16"/>
      <c r="N16"/>
      <c r="O16" s="21"/>
      <c r="P16" s="21"/>
      <c r="Q16" s="205"/>
      <c r="R16" s="21"/>
      <c r="S16" s="21"/>
      <c r="T16" s="21"/>
      <c r="U16" s="26"/>
      <c r="V16" s="21"/>
      <c r="W16" s="21"/>
      <c r="X16" s="21"/>
      <c r="Y16" s="21"/>
      <c r="Z16" s="21"/>
      <c r="AA16" s="21"/>
    </row>
    <row r="17" spans="1:17" x14ac:dyDescent="0.25">
      <c r="A17" s="174" t="s">
        <v>121</v>
      </c>
      <c r="B17"/>
      <c r="C17" s="200" t="s">
        <v>123</v>
      </c>
      <c r="I17" s="174" t="s">
        <v>152</v>
      </c>
      <c r="J17"/>
      <c r="K17"/>
      <c r="L17"/>
      <c r="M17"/>
      <c r="N17"/>
      <c r="Q17" s="206"/>
    </row>
    <row r="18" spans="1:17" x14ac:dyDescent="0.25">
      <c r="A18" s="177" t="s">
        <v>124</v>
      </c>
      <c r="B18" s="178"/>
      <c r="C18" s="201" t="s">
        <v>156</v>
      </c>
      <c r="I18" s="174" t="s">
        <v>153</v>
      </c>
      <c r="J18"/>
      <c r="K18"/>
      <c r="L18"/>
      <c r="M18"/>
      <c r="N18"/>
      <c r="Q18" s="206"/>
    </row>
    <row r="19" spans="1:17" x14ac:dyDescent="0.25">
      <c r="I19" s="174"/>
      <c r="J19"/>
      <c r="K19"/>
      <c r="L19"/>
      <c r="M19"/>
      <c r="N19"/>
      <c r="Q19" s="206"/>
    </row>
    <row r="20" spans="1:17" x14ac:dyDescent="0.25">
      <c r="I20" s="174" t="s">
        <v>154</v>
      </c>
      <c r="J20"/>
      <c r="K20"/>
      <c r="L20"/>
      <c r="M20"/>
      <c r="N20"/>
      <c r="Q20" s="206"/>
    </row>
    <row r="21" spans="1:17" x14ac:dyDescent="0.25">
      <c r="I21" s="177" t="s">
        <v>155</v>
      </c>
      <c r="J21" s="178"/>
      <c r="K21" s="178"/>
      <c r="L21" s="178"/>
      <c r="M21" s="178"/>
      <c r="N21" s="178"/>
      <c r="O21" s="207"/>
      <c r="P21" s="207"/>
      <c r="Q21" s="208"/>
    </row>
    <row r="38" ht="28.5" customHeight="1" x14ac:dyDescent="0.25"/>
  </sheetData>
  <pageMargins left="0.7" right="0.7" top="0.75" bottom="0.75" header="0.3" footer="0.3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132D-D49C-4738-9C3A-8D8270DD1DC9}">
  <sheetPr>
    <tabColor rgb="FF92D050"/>
  </sheetPr>
  <dimension ref="A1:AD37"/>
  <sheetViews>
    <sheetView zoomScale="90" zoomScaleNormal="90" workbookViewId="0">
      <selection activeCell="S1" sqref="S1:S1048576"/>
    </sheetView>
  </sheetViews>
  <sheetFormatPr defaultRowHeight="15" x14ac:dyDescent="0.25"/>
  <cols>
    <col min="4" max="13" width="9.140625" hidden="1" customWidth="1"/>
    <col min="19" max="19" width="15.85546875" hidden="1" customWidth="1"/>
    <col min="20" max="20" width="12" bestFit="1" customWidth="1"/>
    <col min="21" max="21" width="12.28515625" customWidth="1"/>
    <col min="23" max="23" width="11.85546875" customWidth="1"/>
    <col min="25" max="25" width="16.140625" customWidth="1"/>
    <col min="29" max="29" width="11.5703125" customWidth="1"/>
    <col min="30" max="30" width="18" customWidth="1"/>
  </cols>
  <sheetData>
    <row r="1" spans="1:26" ht="26.25" x14ac:dyDescent="0.25">
      <c r="A1" s="134" t="s">
        <v>311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287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3</v>
      </c>
      <c r="B3" s="65">
        <v>45.5</v>
      </c>
      <c r="C3" s="65">
        <v>62.75</v>
      </c>
      <c r="D3" s="66">
        <v>0.125</v>
      </c>
      <c r="E3" s="66">
        <v>0.1</v>
      </c>
      <c r="F3" s="66">
        <f>(A3+B3)*C3</f>
        <v>3043.375</v>
      </c>
      <c r="G3" s="66">
        <f>(A3+B3)/E3</f>
        <v>485</v>
      </c>
      <c r="H3" s="66">
        <f t="shared" ref="H3" si="0">C3/10</f>
        <v>6.2750000000000004</v>
      </c>
      <c r="I3" s="66">
        <v>6</v>
      </c>
      <c r="J3" s="67">
        <f t="shared" ref="J3" si="1">H3*G3/60</f>
        <v>50.72291666666667</v>
      </c>
      <c r="K3" s="67">
        <f>J3+I3</f>
        <v>56.72291666666667</v>
      </c>
      <c r="L3" s="68">
        <v>225</v>
      </c>
      <c r="M3" s="69">
        <f>L3/60</f>
        <v>3.75</v>
      </c>
      <c r="N3" s="70">
        <f>ROUNDUP(K3*M3,1)</f>
        <v>212.79999999999998</v>
      </c>
      <c r="O3" s="56"/>
      <c r="P3" s="30">
        <v>125</v>
      </c>
      <c r="Q3" s="71">
        <v>0.02</v>
      </c>
      <c r="R3" s="32">
        <v>28</v>
      </c>
      <c r="S3" s="35">
        <f>N3*R3</f>
        <v>5958.4</v>
      </c>
      <c r="T3" s="33">
        <f>IF(S3&gt;Y3,S3,Y3)</f>
        <v>5958.4</v>
      </c>
      <c r="U3" s="33">
        <f>T3+P3</f>
        <v>6083.4</v>
      </c>
      <c r="V3" s="33">
        <f>ROUNDUP(U3*Q3,0)</f>
        <v>122</v>
      </c>
      <c r="W3" s="33">
        <f>U3+V3</f>
        <v>6205.4</v>
      </c>
      <c r="X3" s="34"/>
      <c r="Y3" s="57">
        <v>225</v>
      </c>
      <c r="Z3" s="36">
        <f>ROUNDDOWN(Y3/N3,0)</f>
        <v>1</v>
      </c>
    </row>
    <row r="4" spans="1:26" ht="26.25" x14ac:dyDescent="0.25">
      <c r="A4" s="134" t="s">
        <v>312</v>
      </c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82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88"/>
    </row>
    <row r="5" spans="1:26" ht="30" x14ac:dyDescent="0.25">
      <c r="A5" s="111" t="s">
        <v>23</v>
      </c>
      <c r="B5" s="111" t="s">
        <v>8</v>
      </c>
      <c r="C5" s="111" t="s">
        <v>7</v>
      </c>
      <c r="D5" s="111" t="s">
        <v>2</v>
      </c>
      <c r="E5" s="111" t="s">
        <v>1</v>
      </c>
      <c r="F5" s="111" t="s">
        <v>6</v>
      </c>
      <c r="G5" s="111" t="s">
        <v>3</v>
      </c>
      <c r="H5" s="111" t="s">
        <v>21</v>
      </c>
      <c r="I5" s="111" t="s">
        <v>9</v>
      </c>
      <c r="J5" s="111" t="s">
        <v>4</v>
      </c>
      <c r="K5" s="111" t="s">
        <v>10</v>
      </c>
      <c r="L5" s="111" t="s">
        <v>24</v>
      </c>
      <c r="M5" s="111" t="s">
        <v>25</v>
      </c>
      <c r="N5" s="112" t="s">
        <v>5</v>
      </c>
      <c r="O5" s="39"/>
      <c r="P5" s="113" t="s">
        <v>27</v>
      </c>
      <c r="Q5" s="113" t="s">
        <v>38</v>
      </c>
      <c r="R5" s="114" t="s">
        <v>35</v>
      </c>
      <c r="S5" s="114" t="s">
        <v>287</v>
      </c>
      <c r="T5" s="114" t="s">
        <v>34</v>
      </c>
      <c r="U5" s="114" t="s">
        <v>30</v>
      </c>
      <c r="V5" s="113" t="s">
        <v>36</v>
      </c>
      <c r="W5" s="115" t="s">
        <v>31</v>
      </c>
      <c r="X5" s="113"/>
      <c r="Y5" s="113" t="s">
        <v>32</v>
      </c>
      <c r="Z5" s="114" t="s">
        <v>33</v>
      </c>
    </row>
    <row r="6" spans="1:26" x14ac:dyDescent="0.25">
      <c r="A6" s="65">
        <v>3</v>
      </c>
      <c r="B6" s="65">
        <v>45.5</v>
      </c>
      <c r="C6" s="65">
        <v>62.75</v>
      </c>
      <c r="D6" s="66">
        <v>0.125</v>
      </c>
      <c r="E6" s="66">
        <v>6.5000000000000002E-2</v>
      </c>
      <c r="F6" s="66">
        <f>(A6+B6)*C6</f>
        <v>3043.375</v>
      </c>
      <c r="G6" s="66">
        <f>(A6+B6)/E6</f>
        <v>746.15384615384608</v>
      </c>
      <c r="H6" s="66">
        <f t="shared" ref="H6" si="2">C6/10</f>
        <v>6.2750000000000004</v>
      </c>
      <c r="I6" s="66">
        <v>4</v>
      </c>
      <c r="J6" s="67">
        <f t="shared" ref="J6" si="3">H6*G6/60</f>
        <v>78.035256410256409</v>
      </c>
      <c r="K6" s="67">
        <f>J6+I6</f>
        <v>82.035256410256409</v>
      </c>
      <c r="L6" s="68">
        <v>225</v>
      </c>
      <c r="M6" s="69">
        <f>L6/60</f>
        <v>3.75</v>
      </c>
      <c r="N6" s="70">
        <f>ROUNDUP(K6*M6,1)</f>
        <v>307.70000000000005</v>
      </c>
      <c r="O6" s="56"/>
      <c r="P6" s="30">
        <v>125</v>
      </c>
      <c r="Q6" s="71">
        <v>0.02</v>
      </c>
      <c r="R6" s="32">
        <v>14</v>
      </c>
      <c r="S6" s="35">
        <f>N6*R6</f>
        <v>4307.8000000000011</v>
      </c>
      <c r="T6" s="33">
        <f>IF(S6&gt;Y6,S6,Y6)</f>
        <v>4307.8000000000011</v>
      </c>
      <c r="U6" s="33">
        <f>T6+P6</f>
        <v>4432.8000000000011</v>
      </c>
      <c r="V6" s="33">
        <f>ROUNDUP(U6*Q6,0)</f>
        <v>89</v>
      </c>
      <c r="W6" s="33">
        <f>U6+V6</f>
        <v>4521.8000000000011</v>
      </c>
      <c r="X6" s="34"/>
      <c r="Y6" s="57">
        <v>225</v>
      </c>
      <c r="Z6" s="36">
        <f>ROUNDDOWN(Y6/N6,0)</f>
        <v>0</v>
      </c>
    </row>
    <row r="7" spans="1:26" ht="26.25" x14ac:dyDescent="0.25">
      <c r="B7" s="168" t="s">
        <v>349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1"/>
      <c r="Q7" s="62"/>
      <c r="R7" s="60"/>
      <c r="S7" s="60"/>
      <c r="T7" s="63"/>
      <c r="U7" s="63"/>
      <c r="V7" s="63"/>
      <c r="W7" s="63"/>
      <c r="X7" s="60"/>
      <c r="Y7" s="60"/>
      <c r="Z7" s="64"/>
    </row>
    <row r="8" spans="1:26" x14ac:dyDescent="0.25">
      <c r="B8" s="4" t="s">
        <v>13</v>
      </c>
      <c r="C8" s="4" t="s">
        <v>7</v>
      </c>
      <c r="D8" s="2" t="s">
        <v>2</v>
      </c>
      <c r="E8" s="4" t="s">
        <v>1</v>
      </c>
      <c r="F8" s="5" t="s">
        <v>20</v>
      </c>
      <c r="G8" s="4" t="s">
        <v>14</v>
      </c>
      <c r="H8" s="4" t="s">
        <v>15</v>
      </c>
      <c r="I8" s="4" t="s">
        <v>17</v>
      </c>
      <c r="J8" s="4" t="s">
        <v>16</v>
      </c>
      <c r="K8" s="4" t="s">
        <v>18</v>
      </c>
      <c r="L8" s="2" t="s">
        <v>24</v>
      </c>
      <c r="M8" s="2" t="s">
        <v>25</v>
      </c>
      <c r="N8" s="6" t="s">
        <v>19</v>
      </c>
      <c r="O8" s="40"/>
      <c r="P8" s="42" t="s">
        <v>27</v>
      </c>
      <c r="Q8" s="43" t="s">
        <v>38</v>
      </c>
      <c r="R8" s="49" t="s">
        <v>35</v>
      </c>
      <c r="S8" s="114" t="s">
        <v>287</v>
      </c>
      <c r="T8" s="52" t="s">
        <v>34</v>
      </c>
      <c r="U8" s="44" t="s">
        <v>30</v>
      </c>
      <c r="V8" s="53" t="s">
        <v>36</v>
      </c>
      <c r="W8" s="46" t="s">
        <v>37</v>
      </c>
      <c r="X8" s="21"/>
      <c r="Y8" s="37" t="s">
        <v>32</v>
      </c>
      <c r="Z8" s="37" t="s">
        <v>33</v>
      </c>
    </row>
    <row r="9" spans="1:26" x14ac:dyDescent="0.25">
      <c r="B9" s="14">
        <v>5</v>
      </c>
      <c r="C9" s="14">
        <v>1.75</v>
      </c>
      <c r="D9" s="66" t="s">
        <v>0</v>
      </c>
      <c r="E9" s="16">
        <v>4.4999999999999998E-2</v>
      </c>
      <c r="F9" s="16">
        <f>B9*3.14</f>
        <v>15.700000000000001</v>
      </c>
      <c r="G9" s="17">
        <f>F9/E9</f>
        <v>348.88888888888891</v>
      </c>
      <c r="H9" s="16">
        <f>C9/10</f>
        <v>0.17499999999999999</v>
      </c>
      <c r="I9" s="16">
        <v>2</v>
      </c>
      <c r="J9" s="19">
        <f>H9*G9/60</f>
        <v>1.0175925925925926</v>
      </c>
      <c r="K9" s="20">
        <f>J9+I9</f>
        <v>3.0175925925925924</v>
      </c>
      <c r="L9" s="68">
        <v>225</v>
      </c>
      <c r="M9" s="69">
        <f>L9/60</f>
        <v>3.75</v>
      </c>
      <c r="N9" s="18">
        <f>ROUNDUP(K9*M9,1)</f>
        <v>11.4</v>
      </c>
      <c r="O9" s="56"/>
      <c r="P9" s="30">
        <v>125</v>
      </c>
      <c r="Q9" s="71">
        <v>0.02</v>
      </c>
      <c r="R9" s="32">
        <v>200</v>
      </c>
      <c r="S9" s="35">
        <f>N9*R9</f>
        <v>2280</v>
      </c>
      <c r="T9" s="33">
        <f>IF(S9&gt;Y9,S9,Y9)</f>
        <v>2280</v>
      </c>
      <c r="U9" s="33">
        <f>T9+P9</f>
        <v>2405</v>
      </c>
      <c r="V9" s="33">
        <f>ROUNDUP(U9*Q9,0)</f>
        <v>49</v>
      </c>
      <c r="W9" s="33">
        <f t="shared" ref="W9" si="4">U9+V9</f>
        <v>2454</v>
      </c>
      <c r="X9" s="56"/>
      <c r="Y9" s="58">
        <v>225</v>
      </c>
      <c r="Z9" s="47">
        <f>ROUNDDOWN(Y9/N9,0)</f>
        <v>19</v>
      </c>
    </row>
    <row r="10" spans="1:26" ht="18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4"/>
      <c r="P10" s="28"/>
      <c r="Q10" s="29"/>
      <c r="R10" s="21"/>
      <c r="S10" s="21"/>
      <c r="T10" s="27"/>
      <c r="U10" s="27"/>
      <c r="V10" s="27"/>
      <c r="W10" s="27"/>
      <c r="X10" s="25"/>
      <c r="Y10" s="21"/>
      <c r="Z10" s="21"/>
    </row>
    <row r="11" spans="1:26" x14ac:dyDescent="0.25">
      <c r="A11" s="1"/>
    </row>
    <row r="12" spans="1:26" ht="26.25" x14ac:dyDescent="0.25">
      <c r="A12" s="134" t="s">
        <v>147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82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88"/>
    </row>
    <row r="13" spans="1:26" ht="30" x14ac:dyDescent="0.25">
      <c r="A13" s="111" t="s">
        <v>23</v>
      </c>
      <c r="B13" s="111" t="s">
        <v>8</v>
      </c>
      <c r="C13" s="111" t="s">
        <v>7</v>
      </c>
      <c r="D13" s="111" t="s">
        <v>2</v>
      </c>
      <c r="E13" s="111" t="s">
        <v>1</v>
      </c>
      <c r="F13" s="111" t="s">
        <v>6</v>
      </c>
      <c r="G13" s="111" t="s">
        <v>3</v>
      </c>
      <c r="H13" s="111" t="s">
        <v>21</v>
      </c>
      <c r="I13" s="111" t="s">
        <v>9</v>
      </c>
      <c r="J13" s="111" t="s">
        <v>4</v>
      </c>
      <c r="K13" s="111" t="s">
        <v>10</v>
      </c>
      <c r="L13" s="111" t="s">
        <v>24</v>
      </c>
      <c r="M13" s="111" t="s">
        <v>25</v>
      </c>
      <c r="N13" s="112" t="s">
        <v>5</v>
      </c>
      <c r="O13" s="39"/>
      <c r="P13" s="113" t="s">
        <v>27</v>
      </c>
      <c r="Q13" s="113" t="s">
        <v>38</v>
      </c>
      <c r="R13" s="114" t="s">
        <v>35</v>
      </c>
      <c r="S13" s="114" t="s">
        <v>287</v>
      </c>
      <c r="T13" s="114" t="s">
        <v>34</v>
      </c>
      <c r="U13" s="114" t="s">
        <v>30</v>
      </c>
      <c r="V13" s="113" t="s">
        <v>36</v>
      </c>
      <c r="W13" s="115" t="s">
        <v>31</v>
      </c>
      <c r="X13" s="113"/>
      <c r="Y13" s="113" t="s">
        <v>32</v>
      </c>
      <c r="Z13" s="114" t="s">
        <v>33</v>
      </c>
    </row>
    <row r="14" spans="1:26" x14ac:dyDescent="0.25">
      <c r="A14" s="65">
        <v>0.5</v>
      </c>
      <c r="B14" s="65">
        <v>1.5</v>
      </c>
      <c r="C14" s="65">
        <v>1.5</v>
      </c>
      <c r="D14" s="66">
        <v>0.125</v>
      </c>
      <c r="E14" s="66">
        <v>4.4999999999999998E-2</v>
      </c>
      <c r="F14" s="66">
        <f>(A14+B14)*C14</f>
        <v>3</v>
      </c>
      <c r="G14" s="66">
        <f>(A14+B14)/E14</f>
        <v>44.444444444444443</v>
      </c>
      <c r="H14" s="66">
        <f t="shared" ref="H14" si="5">C14/10</f>
        <v>0.15</v>
      </c>
      <c r="I14" s="66">
        <v>3.5</v>
      </c>
      <c r="J14" s="67">
        <f t="shared" ref="J14" si="6">H14*G14/60</f>
        <v>0.1111111111111111</v>
      </c>
      <c r="K14" s="67">
        <f>J14+I14</f>
        <v>3.6111111111111112</v>
      </c>
      <c r="L14" s="68">
        <v>250</v>
      </c>
      <c r="M14" s="69">
        <f>L14/60</f>
        <v>4.166666666666667</v>
      </c>
      <c r="N14" s="70">
        <f>ROUNDUP(K14*M14,1)</f>
        <v>15.1</v>
      </c>
      <c r="O14" s="56"/>
      <c r="P14" s="30">
        <v>125</v>
      </c>
      <c r="Q14" s="71">
        <v>0.02</v>
      </c>
      <c r="R14" s="32">
        <v>50</v>
      </c>
      <c r="S14" s="35">
        <f>N14*R14</f>
        <v>755</v>
      </c>
      <c r="T14" s="33">
        <f>IF(S14&gt;Y14,S14,Y14)</f>
        <v>755</v>
      </c>
      <c r="U14" s="33">
        <f>T14+P14</f>
        <v>880</v>
      </c>
      <c r="V14" s="33">
        <f>ROUNDUP(U14*Q14,0)</f>
        <v>18</v>
      </c>
      <c r="W14" s="33">
        <f>U14+V14</f>
        <v>898</v>
      </c>
      <c r="X14" s="34"/>
      <c r="Y14" s="57">
        <v>250</v>
      </c>
      <c r="Z14" s="36">
        <f>ROUNDDOWN(Y14/N14,0)</f>
        <v>16</v>
      </c>
    </row>
    <row r="15" spans="1:26" ht="26.25" x14ac:dyDescent="0.25">
      <c r="A15" s="1"/>
      <c r="B15" s="168" t="s">
        <v>148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0"/>
      <c r="P15" s="61"/>
      <c r="Q15" s="62"/>
      <c r="R15" s="60"/>
      <c r="S15" s="60"/>
      <c r="T15" s="63"/>
      <c r="U15" s="63"/>
      <c r="V15" s="63"/>
      <c r="W15" s="63"/>
      <c r="X15" s="60"/>
      <c r="Y15" s="60"/>
      <c r="Z15" s="64"/>
    </row>
    <row r="16" spans="1:26" x14ac:dyDescent="0.25">
      <c r="A16" s="1"/>
      <c r="B16" s="4" t="s">
        <v>13</v>
      </c>
      <c r="C16" s="4" t="s">
        <v>7</v>
      </c>
      <c r="D16" s="2" t="s">
        <v>2</v>
      </c>
      <c r="E16" s="4" t="s">
        <v>1</v>
      </c>
      <c r="F16" s="5" t="s">
        <v>20</v>
      </c>
      <c r="G16" s="4" t="s">
        <v>14</v>
      </c>
      <c r="H16" s="4" t="s">
        <v>15</v>
      </c>
      <c r="I16" s="4" t="s">
        <v>17</v>
      </c>
      <c r="J16" s="4" t="s">
        <v>16</v>
      </c>
      <c r="K16" s="4" t="s">
        <v>18</v>
      </c>
      <c r="L16" s="2" t="s">
        <v>24</v>
      </c>
      <c r="M16" s="2" t="s">
        <v>25</v>
      </c>
      <c r="N16" s="6" t="s">
        <v>19</v>
      </c>
      <c r="O16" s="40"/>
      <c r="P16" s="42" t="s">
        <v>27</v>
      </c>
      <c r="Q16" s="43" t="s">
        <v>38</v>
      </c>
      <c r="R16" s="49" t="s">
        <v>35</v>
      </c>
      <c r="S16" s="114" t="s">
        <v>287</v>
      </c>
      <c r="T16" s="52" t="s">
        <v>34</v>
      </c>
      <c r="U16" s="44" t="s">
        <v>30</v>
      </c>
      <c r="V16" s="53" t="s">
        <v>36</v>
      </c>
      <c r="W16" s="46" t="s">
        <v>37</v>
      </c>
      <c r="X16" s="21"/>
      <c r="Y16" s="37" t="s">
        <v>32</v>
      </c>
      <c r="Z16" s="37" t="s">
        <v>33</v>
      </c>
    </row>
    <row r="17" spans="1:30" x14ac:dyDescent="0.25">
      <c r="A17" s="1"/>
      <c r="B17" s="14">
        <v>9.5</v>
      </c>
      <c r="C17" s="14">
        <v>2</v>
      </c>
      <c r="D17" s="66" t="s">
        <v>0</v>
      </c>
      <c r="E17" s="16">
        <v>4.4999999999999998E-2</v>
      </c>
      <c r="F17" s="16">
        <f>B17*3.14</f>
        <v>29.830000000000002</v>
      </c>
      <c r="G17" s="17">
        <f>F17/E17</f>
        <v>662.88888888888891</v>
      </c>
      <c r="H17" s="16">
        <f>C17/10</f>
        <v>0.2</v>
      </c>
      <c r="I17" s="16">
        <v>4</v>
      </c>
      <c r="J17" s="19">
        <f>H17*G17/60</f>
        <v>2.2096296296296298</v>
      </c>
      <c r="K17" s="20">
        <f>J17+I17</f>
        <v>6.2096296296296298</v>
      </c>
      <c r="L17" s="68">
        <v>250</v>
      </c>
      <c r="M17" s="69">
        <f>L17/60</f>
        <v>4.166666666666667</v>
      </c>
      <c r="N17" s="18">
        <f>ROUNDUP(K17*M17,1)</f>
        <v>25.900000000000002</v>
      </c>
      <c r="O17" s="56"/>
      <c r="P17" s="30">
        <v>125</v>
      </c>
      <c r="Q17" s="71">
        <v>0.02</v>
      </c>
      <c r="R17" s="32">
        <v>1</v>
      </c>
      <c r="S17" s="35">
        <f>N17*R17</f>
        <v>25.900000000000002</v>
      </c>
      <c r="T17" s="33">
        <f>IF(S17&gt;Y17,S17,Y17)</f>
        <v>250</v>
      </c>
      <c r="U17" s="33">
        <f>T17+P17</f>
        <v>375</v>
      </c>
      <c r="V17" s="33">
        <f>ROUNDUP(U17*Q17,0)</f>
        <v>8</v>
      </c>
      <c r="W17" s="33">
        <f t="shared" ref="W17" si="7">U17+V17</f>
        <v>383</v>
      </c>
      <c r="X17" s="56"/>
      <c r="Y17" s="58">
        <v>250</v>
      </c>
      <c r="Z17" s="47">
        <f>ROUNDDOWN(Y17/N17,0)</f>
        <v>9</v>
      </c>
    </row>
    <row r="19" spans="1:30" ht="15.75" thickBot="1" x14ac:dyDescent="0.3"/>
    <row r="20" spans="1:30" ht="24.75" thickTop="1" thickBot="1" x14ac:dyDescent="0.4">
      <c r="A20" s="351"/>
      <c r="B20" s="372" t="s">
        <v>119</v>
      </c>
      <c r="C20" s="359"/>
      <c r="I20" s="1"/>
      <c r="J20" s="1"/>
      <c r="K20" s="1"/>
      <c r="L20" s="1"/>
      <c r="M20" s="1"/>
      <c r="N20" s="351"/>
      <c r="O20" s="352"/>
      <c r="P20" s="372" t="s">
        <v>149</v>
      </c>
      <c r="Q20" s="352"/>
      <c r="R20" s="352"/>
      <c r="S20" s="372" t="s">
        <v>149</v>
      </c>
      <c r="T20" s="359"/>
      <c r="V20" s="541" t="s">
        <v>348</v>
      </c>
      <c r="W20" s="541"/>
      <c r="X20" s="541"/>
      <c r="Y20" s="541"/>
      <c r="Z20" s="1"/>
      <c r="AA20" s="541" t="s">
        <v>362</v>
      </c>
      <c r="AB20" s="541"/>
      <c r="AC20" s="541"/>
      <c r="AD20" s="541"/>
    </row>
    <row r="21" spans="1:30" ht="16.5" thickTop="1" x14ac:dyDescent="0.25">
      <c r="A21" s="373" t="s">
        <v>32</v>
      </c>
      <c r="C21" s="376">
        <v>225</v>
      </c>
      <c r="I21" s="1"/>
      <c r="J21" s="1"/>
      <c r="K21" s="1"/>
      <c r="L21" s="1"/>
      <c r="M21" s="1"/>
      <c r="N21" s="373" t="s">
        <v>150</v>
      </c>
      <c r="T21" s="374"/>
      <c r="V21" s="362" t="s">
        <v>207</v>
      </c>
      <c r="W21" s="363"/>
      <c r="X21" s="352"/>
      <c r="Y21" s="364">
        <f>N6</f>
        <v>307.70000000000005</v>
      </c>
      <c r="Z21" s="1"/>
      <c r="AA21" s="362" t="s">
        <v>207</v>
      </c>
      <c r="AB21" s="363"/>
      <c r="AC21" s="352"/>
      <c r="AD21" s="364">
        <f>N3</f>
        <v>212.79999999999998</v>
      </c>
    </row>
    <row r="22" spans="1:30" ht="15.75" x14ac:dyDescent="0.25">
      <c r="A22" s="373" t="s">
        <v>120</v>
      </c>
      <c r="C22" s="376">
        <v>125</v>
      </c>
      <c r="I22" s="1"/>
      <c r="J22" s="1"/>
      <c r="K22" s="1"/>
      <c r="L22" s="1"/>
      <c r="M22" s="1"/>
      <c r="N22" s="373" t="s">
        <v>151</v>
      </c>
      <c r="T22" s="374"/>
      <c r="V22" s="365" t="s">
        <v>208</v>
      </c>
      <c r="W22" s="1"/>
      <c r="Y22" s="366">
        <f>R6</f>
        <v>14</v>
      </c>
      <c r="Z22" s="1"/>
      <c r="AA22" s="365" t="s">
        <v>208</v>
      </c>
      <c r="AB22" s="1"/>
      <c r="AD22" s="366">
        <f>R3</f>
        <v>28</v>
      </c>
    </row>
    <row r="23" spans="1:30" ht="15.75" x14ac:dyDescent="0.25">
      <c r="A23" s="373" t="s">
        <v>36</v>
      </c>
      <c r="C23" s="377" t="s">
        <v>122</v>
      </c>
      <c r="I23" s="1"/>
      <c r="J23" s="1"/>
      <c r="K23" s="1"/>
      <c r="L23" s="1"/>
      <c r="M23" s="1"/>
      <c r="N23" s="373"/>
      <c r="T23" s="374"/>
      <c r="V23" s="365" t="s">
        <v>209</v>
      </c>
      <c r="W23" s="1"/>
      <c r="Y23" s="367">
        <f>T6</f>
        <v>4307.8000000000011</v>
      </c>
      <c r="Z23" s="1"/>
      <c r="AA23" s="365" t="s">
        <v>209</v>
      </c>
      <c r="AB23" s="1"/>
      <c r="AD23" s="367">
        <f>T3</f>
        <v>5958.4</v>
      </c>
    </row>
    <row r="24" spans="1:30" ht="15.75" x14ac:dyDescent="0.25">
      <c r="A24" s="373" t="s">
        <v>121</v>
      </c>
      <c r="C24" s="377" t="s">
        <v>123</v>
      </c>
      <c r="I24" s="1"/>
      <c r="J24" s="1"/>
      <c r="K24" s="1"/>
      <c r="L24" s="1"/>
      <c r="M24" s="1"/>
      <c r="N24" s="373" t="s">
        <v>152</v>
      </c>
      <c r="T24" s="374"/>
      <c r="V24" s="365" t="s">
        <v>210</v>
      </c>
      <c r="W24" s="1"/>
      <c r="Y24" s="367">
        <f>V6</f>
        <v>89</v>
      </c>
      <c r="Z24" s="1"/>
      <c r="AA24" s="365" t="s">
        <v>210</v>
      </c>
      <c r="AB24" s="1"/>
      <c r="AD24" s="367">
        <f>V3</f>
        <v>122</v>
      </c>
    </row>
    <row r="25" spans="1:30" ht="16.5" thickBot="1" x14ac:dyDescent="0.3">
      <c r="A25" s="353" t="s">
        <v>124</v>
      </c>
      <c r="B25" s="354"/>
      <c r="C25" s="378" t="s">
        <v>156</v>
      </c>
      <c r="I25" s="1"/>
      <c r="J25" s="1"/>
      <c r="K25" s="1"/>
      <c r="L25" s="1"/>
      <c r="M25" s="1"/>
      <c r="N25" s="373" t="s">
        <v>153</v>
      </c>
      <c r="T25" s="374"/>
      <c r="V25" s="365" t="s">
        <v>216</v>
      </c>
      <c r="Y25" s="368">
        <f>P6</f>
        <v>125</v>
      </c>
      <c r="Z25" s="1"/>
      <c r="AA25" s="365" t="s">
        <v>216</v>
      </c>
      <c r="AD25" s="368">
        <f>P3</f>
        <v>125</v>
      </c>
    </row>
    <row r="26" spans="1:30" ht="16.5" thickTop="1" x14ac:dyDescent="0.25">
      <c r="I26" s="1"/>
      <c r="J26" s="1"/>
      <c r="K26" s="1"/>
      <c r="L26" s="1"/>
      <c r="M26" s="1"/>
      <c r="N26" s="373"/>
      <c r="T26" s="374"/>
      <c r="V26" s="365" t="s">
        <v>211</v>
      </c>
      <c r="W26" s="1"/>
      <c r="Y26" s="367">
        <f>W6</f>
        <v>4521.8000000000011</v>
      </c>
      <c r="Z26" s="1"/>
      <c r="AA26" s="365" t="s">
        <v>211</v>
      </c>
      <c r="AB26" s="1"/>
      <c r="AD26" s="367">
        <f>W3</f>
        <v>6205.4</v>
      </c>
    </row>
    <row r="27" spans="1:30" ht="16.5" thickBot="1" x14ac:dyDescent="0.3">
      <c r="I27" s="1"/>
      <c r="J27" s="1"/>
      <c r="K27" s="1"/>
      <c r="L27" s="1"/>
      <c r="M27" s="1"/>
      <c r="N27" s="373" t="s">
        <v>154</v>
      </c>
      <c r="T27" s="374"/>
      <c r="V27" s="369" t="s">
        <v>346</v>
      </c>
      <c r="W27" s="354"/>
      <c r="X27" s="539" t="s">
        <v>347</v>
      </c>
      <c r="Y27" s="540"/>
      <c r="Z27" s="1"/>
      <c r="AA27" s="369" t="s">
        <v>346</v>
      </c>
      <c r="AB27" s="354"/>
      <c r="AC27" s="539" t="s">
        <v>347</v>
      </c>
      <c r="AD27" s="540"/>
    </row>
    <row r="28" spans="1:30" ht="16.5" thickTop="1" thickBot="1" x14ac:dyDescent="0.3">
      <c r="I28" s="1"/>
      <c r="J28" s="1"/>
      <c r="K28" s="1"/>
      <c r="L28" s="1"/>
      <c r="M28" s="1"/>
      <c r="N28" s="353" t="s">
        <v>155</v>
      </c>
      <c r="O28" s="354"/>
      <c r="P28" s="354"/>
      <c r="Q28" s="354"/>
      <c r="R28" s="354"/>
      <c r="S28" s="354"/>
      <c r="T28" s="375"/>
      <c r="X28" s="1"/>
      <c r="Y28" s="1"/>
      <c r="Z28" s="1"/>
    </row>
    <row r="29" spans="1:30" ht="24.75" thickTop="1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41" t="s">
        <v>284</v>
      </c>
      <c r="W29" s="541"/>
      <c r="X29" s="541"/>
      <c r="Y29" s="541"/>
      <c r="Z29" s="1"/>
    </row>
    <row r="30" spans="1:30" ht="16.5" thickTop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62" t="s">
        <v>207</v>
      </c>
      <c r="W30" s="363"/>
      <c r="X30" s="352"/>
      <c r="Y30" s="364">
        <f>N9</f>
        <v>11.4</v>
      </c>
      <c r="Z30" s="1"/>
    </row>
    <row r="31" spans="1:30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65" t="s">
        <v>208</v>
      </c>
      <c r="W31" s="1"/>
      <c r="Y31" s="366">
        <f>R9</f>
        <v>200</v>
      </c>
      <c r="Z31" s="1"/>
    </row>
    <row r="32" spans="1:30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65" t="s">
        <v>209</v>
      </c>
      <c r="W32" s="1"/>
      <c r="Y32" s="367">
        <f>T9</f>
        <v>2280</v>
      </c>
      <c r="Z32" s="1"/>
    </row>
    <row r="33" spans="1:26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65" t="s">
        <v>210</v>
      </c>
      <c r="W33" s="1"/>
      <c r="Y33" s="367">
        <f>V9</f>
        <v>49</v>
      </c>
      <c r="Z33" s="1"/>
    </row>
    <row r="34" spans="1:26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65" t="s">
        <v>216</v>
      </c>
      <c r="Y34" s="368">
        <f>P9</f>
        <v>125</v>
      </c>
      <c r="Z34" s="1"/>
    </row>
    <row r="35" spans="1:26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365" t="s">
        <v>211</v>
      </c>
      <c r="W35" s="1"/>
      <c r="Y35" s="367">
        <f>W9</f>
        <v>2454</v>
      </c>
      <c r="Z35" s="1"/>
    </row>
    <row r="36" spans="1:26" ht="16.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69" t="s">
        <v>346</v>
      </c>
      <c r="W36" s="354"/>
      <c r="X36" s="539" t="s">
        <v>347</v>
      </c>
      <c r="Y36" s="540"/>
      <c r="Z36" s="1"/>
    </row>
    <row r="37" spans="1:26" ht="15.75" thickTop="1" x14ac:dyDescent="0.25"/>
  </sheetData>
  <mergeCells count="6">
    <mergeCell ref="V20:Y20"/>
    <mergeCell ref="X27:Y27"/>
    <mergeCell ref="V29:Y29"/>
    <mergeCell ref="X36:Y36"/>
    <mergeCell ref="AA20:AD20"/>
    <mergeCell ref="AC27:AD27"/>
  </mergeCells>
  <pageMargins left="0.7" right="0.7" top="0.75" bottom="0.75" header="0.3" footer="0.3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613D-7553-4CD8-B5A0-AB42FA323D64}">
  <sheetPr>
    <tabColor rgb="FFFF0000"/>
  </sheetPr>
  <dimension ref="A1:AA49"/>
  <sheetViews>
    <sheetView topLeftCell="A2" workbookViewId="0">
      <selection activeCell="Q27" sqref="Q27"/>
    </sheetView>
  </sheetViews>
  <sheetFormatPr defaultRowHeight="15" x14ac:dyDescent="0.25"/>
  <sheetData>
    <row r="1" spans="1:27" ht="21" x14ac:dyDescent="0.25">
      <c r="A1" s="218" t="s">
        <v>164</v>
      </c>
      <c r="B1" s="217"/>
      <c r="C1" s="217"/>
      <c r="D1" s="217"/>
      <c r="E1" s="217"/>
      <c r="F1" s="217"/>
      <c r="G1" s="217"/>
      <c r="H1" s="217"/>
      <c r="I1" s="217"/>
      <c r="J1" s="10"/>
      <c r="K1" s="10"/>
      <c r="L1" s="10"/>
      <c r="M1" s="10"/>
      <c r="N1" s="10"/>
      <c r="O1" s="193"/>
      <c r="P1" s="193"/>
      <c r="Q1" s="21"/>
      <c r="R1" s="21"/>
      <c r="S1" s="21"/>
      <c r="T1" s="22"/>
      <c r="U1" s="22"/>
      <c r="V1" s="22"/>
      <c r="W1" s="22"/>
      <c r="X1" s="75"/>
      <c r="Y1" s="22"/>
      <c r="Z1" s="22"/>
      <c r="AA1" s="22"/>
    </row>
    <row r="2" spans="1:27" ht="60" x14ac:dyDescent="0.25">
      <c r="A2" s="2" t="s">
        <v>23</v>
      </c>
      <c r="B2" s="2" t="s">
        <v>8</v>
      </c>
      <c r="C2" s="2" t="s">
        <v>7</v>
      </c>
      <c r="D2" s="2" t="s">
        <v>2</v>
      </c>
      <c r="E2" s="2" t="s">
        <v>1</v>
      </c>
      <c r="F2" s="2" t="s">
        <v>6</v>
      </c>
      <c r="G2" s="2" t="s">
        <v>3</v>
      </c>
      <c r="H2" s="2" t="s">
        <v>21</v>
      </c>
      <c r="I2" s="2" t="s">
        <v>9</v>
      </c>
      <c r="J2" s="2" t="s">
        <v>4</v>
      </c>
      <c r="K2" s="2" t="s">
        <v>10</v>
      </c>
      <c r="L2" s="2" t="s">
        <v>24</v>
      </c>
      <c r="M2" s="2" t="s">
        <v>25</v>
      </c>
      <c r="N2" s="195" t="s">
        <v>145</v>
      </c>
      <c r="O2" s="326" t="s">
        <v>144</v>
      </c>
      <c r="P2" s="196" t="s">
        <v>146</v>
      </c>
      <c r="Q2" s="194"/>
      <c r="R2" s="38" t="s">
        <v>29</v>
      </c>
      <c r="S2" s="41" t="s">
        <v>204</v>
      </c>
      <c r="T2" s="37" t="s">
        <v>34</v>
      </c>
      <c r="U2" s="37" t="s">
        <v>27</v>
      </c>
      <c r="V2" s="38" t="s">
        <v>39</v>
      </c>
      <c r="W2" s="38" t="s">
        <v>30</v>
      </c>
      <c r="X2" s="74" t="s">
        <v>36</v>
      </c>
      <c r="Y2" s="38" t="s">
        <v>31</v>
      </c>
      <c r="Z2" s="37" t="s">
        <v>32</v>
      </c>
      <c r="AA2" s="41" t="s">
        <v>33</v>
      </c>
    </row>
    <row r="3" spans="1:27" x14ac:dyDescent="0.25">
      <c r="A3" s="65">
        <v>5</v>
      </c>
      <c r="B3" s="65">
        <v>20</v>
      </c>
      <c r="C3" s="65">
        <v>100</v>
      </c>
      <c r="D3" s="66" t="s">
        <v>0</v>
      </c>
      <c r="E3" s="66">
        <v>7.4999999999999997E-2</v>
      </c>
      <c r="F3" s="7">
        <f>(A3+B3)*C3</f>
        <v>2500</v>
      </c>
      <c r="G3" s="7">
        <f>(A3+B3)/E3</f>
        <v>333.33333333333337</v>
      </c>
      <c r="H3" s="7">
        <f t="shared" ref="H3" si="0">C3/10</f>
        <v>10</v>
      </c>
      <c r="I3" s="66">
        <v>5</v>
      </c>
      <c r="J3" s="67">
        <f t="shared" ref="J3" si="1">H3*G3/60</f>
        <v>55.555555555555564</v>
      </c>
      <c r="K3" s="67">
        <f>J3+I3</f>
        <v>60.555555555555564</v>
      </c>
      <c r="L3" s="68">
        <v>225</v>
      </c>
      <c r="M3" s="69">
        <f>L3/60</f>
        <v>3.75</v>
      </c>
      <c r="N3" s="70">
        <f>ROUNDUP(K3*M3,1)</f>
        <v>227.1</v>
      </c>
      <c r="O3" s="327">
        <f>ROUNDUP(G37, 1)</f>
        <v>417.3</v>
      </c>
      <c r="P3" s="216">
        <f>IF(N3&gt;O3, N3, O3)</f>
        <v>417.3</v>
      </c>
      <c r="Q3" s="23" t="s">
        <v>166</v>
      </c>
      <c r="R3" s="32">
        <v>1</v>
      </c>
      <c r="S3" s="325">
        <f>P3*R3</f>
        <v>417.3</v>
      </c>
      <c r="T3" s="33">
        <f>IF(S3&gt;Z3, S3, Z3)</f>
        <v>417.3</v>
      </c>
      <c r="U3" s="30">
        <v>0</v>
      </c>
      <c r="V3" s="79">
        <v>0.02</v>
      </c>
      <c r="W3" s="33">
        <f>T3+U3</f>
        <v>417.3</v>
      </c>
      <c r="X3" s="77">
        <f>ROUNDUP(W3*V3,0)</f>
        <v>9</v>
      </c>
      <c r="Y3" s="33">
        <f>W3+X3</f>
        <v>426.3</v>
      </c>
      <c r="Z3" s="57">
        <v>225</v>
      </c>
      <c r="AA3" s="78">
        <f>ROUNDDOWN(Z3/N3,0)</f>
        <v>0</v>
      </c>
    </row>
    <row r="4" spans="1:27" ht="18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Q4" s="24"/>
      <c r="R4" s="21"/>
      <c r="S4" s="21"/>
      <c r="T4" s="27"/>
      <c r="U4" s="28"/>
      <c r="V4" s="72"/>
      <c r="W4" s="27"/>
      <c r="X4" s="76"/>
      <c r="Y4" s="27"/>
      <c r="Z4" s="25"/>
      <c r="AA4" s="26"/>
    </row>
    <row r="5" spans="1:27" ht="21" x14ac:dyDescent="0.25">
      <c r="A5" s="218" t="s">
        <v>165</v>
      </c>
      <c r="B5" s="217"/>
      <c r="C5" s="219"/>
      <c r="D5" s="217"/>
      <c r="E5" s="217"/>
      <c r="F5" s="217"/>
      <c r="G5" s="217"/>
      <c r="H5" s="217"/>
      <c r="I5" s="217"/>
      <c r="J5" s="10"/>
      <c r="K5" s="10"/>
      <c r="L5" s="10"/>
      <c r="M5" s="10"/>
      <c r="N5" s="10"/>
      <c r="O5" s="193"/>
      <c r="P5" s="193"/>
      <c r="Q5" s="21"/>
      <c r="R5" s="21"/>
      <c r="S5" s="21"/>
      <c r="T5" s="22"/>
      <c r="U5" s="22"/>
      <c r="V5" s="22"/>
      <c r="W5" s="22"/>
      <c r="X5" s="75"/>
      <c r="Y5" s="22"/>
      <c r="Z5" s="22"/>
      <c r="AA5" s="22"/>
    </row>
    <row r="6" spans="1:27" ht="60" x14ac:dyDescent="0.25">
      <c r="A6" s="2" t="s">
        <v>23</v>
      </c>
      <c r="B6" s="2" t="s">
        <v>8</v>
      </c>
      <c r="C6" s="2" t="s">
        <v>7</v>
      </c>
      <c r="D6" s="2" t="s">
        <v>2</v>
      </c>
      <c r="E6" s="2" t="s">
        <v>1</v>
      </c>
      <c r="F6" s="2" t="s">
        <v>6</v>
      </c>
      <c r="G6" s="2" t="s">
        <v>3</v>
      </c>
      <c r="H6" s="2" t="s">
        <v>21</v>
      </c>
      <c r="I6" s="2" t="s">
        <v>9</v>
      </c>
      <c r="J6" s="2" t="s">
        <v>4</v>
      </c>
      <c r="K6" s="2" t="s">
        <v>10</v>
      </c>
      <c r="L6" s="2" t="s">
        <v>24</v>
      </c>
      <c r="M6" s="2" t="s">
        <v>25</v>
      </c>
      <c r="N6" s="195" t="s">
        <v>145</v>
      </c>
      <c r="O6" s="326" t="s">
        <v>144</v>
      </c>
      <c r="P6" s="196" t="s">
        <v>146</v>
      </c>
      <c r="Q6" s="194"/>
      <c r="R6" s="38" t="s">
        <v>29</v>
      </c>
      <c r="S6" s="38" t="s">
        <v>204</v>
      </c>
      <c r="T6" s="37" t="s">
        <v>34</v>
      </c>
      <c r="U6" s="37" t="s">
        <v>27</v>
      </c>
      <c r="V6" s="38" t="s">
        <v>39</v>
      </c>
      <c r="W6" s="38" t="s">
        <v>30</v>
      </c>
      <c r="X6" s="74" t="s">
        <v>36</v>
      </c>
      <c r="Y6" s="38" t="s">
        <v>31</v>
      </c>
      <c r="Z6" s="37" t="s">
        <v>32</v>
      </c>
      <c r="AA6" s="41" t="s">
        <v>33</v>
      </c>
    </row>
    <row r="7" spans="1:27" x14ac:dyDescent="0.25">
      <c r="A7" s="65">
        <v>5</v>
      </c>
      <c r="B7" s="65">
        <v>20</v>
      </c>
      <c r="C7" s="65">
        <v>100</v>
      </c>
      <c r="D7" s="66" t="s">
        <v>0</v>
      </c>
      <c r="E7" s="66">
        <v>5.5E-2</v>
      </c>
      <c r="F7" s="7">
        <f>(A7+B7)*C7</f>
        <v>2500</v>
      </c>
      <c r="G7" s="7">
        <f>(A7+B7)/E7</f>
        <v>454.54545454545456</v>
      </c>
      <c r="H7" s="7">
        <f t="shared" ref="H7" si="2">C7/10</f>
        <v>10</v>
      </c>
      <c r="I7" s="66">
        <v>5</v>
      </c>
      <c r="J7" s="67">
        <f t="shared" ref="J7" si="3">H7*G7/60</f>
        <v>75.757575757575765</v>
      </c>
      <c r="K7" s="67">
        <f>J7+I7</f>
        <v>80.757575757575765</v>
      </c>
      <c r="L7" s="68">
        <v>225</v>
      </c>
      <c r="M7" s="69">
        <f>L7/60</f>
        <v>3.75</v>
      </c>
      <c r="N7" s="70">
        <f>ROUNDUP(K7*M7,1)</f>
        <v>302.90000000000003</v>
      </c>
      <c r="O7" s="327">
        <f>ROUNDUP(G38, 1)</f>
        <v>476.90000000000003</v>
      </c>
      <c r="P7" s="216">
        <f>IF(N7&gt;O7, N7, O7)</f>
        <v>476.90000000000003</v>
      </c>
      <c r="Q7" s="23" t="s">
        <v>167</v>
      </c>
      <c r="R7" s="32">
        <v>2</v>
      </c>
      <c r="S7" s="325">
        <f>P7*R7</f>
        <v>953.80000000000007</v>
      </c>
      <c r="T7" s="33">
        <f>IF(S7&gt;Z7, S7, Z7)</f>
        <v>953.80000000000007</v>
      </c>
      <c r="U7" s="30">
        <v>0</v>
      </c>
      <c r="V7" s="79">
        <v>0.02</v>
      </c>
      <c r="W7" s="33">
        <f>T7+U7</f>
        <v>953.80000000000007</v>
      </c>
      <c r="X7" s="77">
        <f>ROUNDUP(W7*V7,0)</f>
        <v>20</v>
      </c>
      <c r="Y7" s="33">
        <f>W7+X7</f>
        <v>973.80000000000007</v>
      </c>
      <c r="Z7" s="57">
        <v>225</v>
      </c>
      <c r="AA7" s="78">
        <f>ROUNDDOWN(Z7/N7,0)</f>
        <v>0</v>
      </c>
    </row>
    <row r="10" spans="1:27" ht="21" x14ac:dyDescent="0.25">
      <c r="A10" s="292" t="s">
        <v>189</v>
      </c>
      <c r="B10" s="217"/>
      <c r="C10" s="217"/>
      <c r="D10" s="217"/>
      <c r="E10" s="217"/>
      <c r="F10" s="217"/>
      <c r="G10" s="217"/>
      <c r="H10" s="217"/>
      <c r="I10" s="10"/>
      <c r="J10" s="10"/>
      <c r="K10" s="10"/>
      <c r="L10" s="10"/>
      <c r="M10" s="10"/>
      <c r="N10" s="10"/>
      <c r="O10" s="193"/>
      <c r="P10" s="193"/>
      <c r="Q10" s="21"/>
      <c r="R10" s="21"/>
      <c r="S10" s="21"/>
      <c r="T10" s="22"/>
      <c r="U10" s="22"/>
      <c r="V10" s="22"/>
      <c r="W10" s="22"/>
      <c r="X10" s="75"/>
      <c r="Y10" s="22"/>
      <c r="Z10" s="22"/>
      <c r="AA10" s="22"/>
    </row>
    <row r="11" spans="1:27" ht="60" x14ac:dyDescent="0.25">
      <c r="A11" s="2" t="s">
        <v>23</v>
      </c>
      <c r="B11" s="2" t="s">
        <v>8</v>
      </c>
      <c r="C11" s="2" t="s">
        <v>7</v>
      </c>
      <c r="D11" s="2" t="s">
        <v>2</v>
      </c>
      <c r="E11" s="2" t="s">
        <v>1</v>
      </c>
      <c r="F11" s="2" t="s">
        <v>6</v>
      </c>
      <c r="G11" s="2" t="s">
        <v>3</v>
      </c>
      <c r="H11" s="2" t="s">
        <v>21</v>
      </c>
      <c r="I11" s="2" t="s">
        <v>9</v>
      </c>
      <c r="J11" s="2" t="s">
        <v>4</v>
      </c>
      <c r="K11" s="2" t="s">
        <v>10</v>
      </c>
      <c r="L11" s="2" t="s">
        <v>24</v>
      </c>
      <c r="M11" s="2" t="s">
        <v>25</v>
      </c>
      <c r="N11" s="195" t="s">
        <v>145</v>
      </c>
      <c r="O11" s="326" t="s">
        <v>144</v>
      </c>
      <c r="P11" s="196" t="s">
        <v>146</v>
      </c>
      <c r="Q11" s="194"/>
      <c r="R11" s="38" t="s">
        <v>29</v>
      </c>
      <c r="S11" s="38" t="s">
        <v>204</v>
      </c>
      <c r="T11" s="37" t="s">
        <v>34</v>
      </c>
      <c r="U11" s="37" t="s">
        <v>27</v>
      </c>
      <c r="V11" s="38" t="s">
        <v>39</v>
      </c>
      <c r="W11" s="38" t="s">
        <v>30</v>
      </c>
      <c r="X11" s="74" t="s">
        <v>36</v>
      </c>
      <c r="Y11" s="38" t="s">
        <v>31</v>
      </c>
      <c r="Z11" s="37" t="s">
        <v>32</v>
      </c>
      <c r="AA11" s="41" t="s">
        <v>33</v>
      </c>
    </row>
    <row r="12" spans="1:27" x14ac:dyDescent="0.25">
      <c r="A12" s="65">
        <v>5</v>
      </c>
      <c r="B12" s="65">
        <v>20</v>
      </c>
      <c r="C12" s="65">
        <v>100</v>
      </c>
      <c r="D12" s="66" t="s">
        <v>0</v>
      </c>
      <c r="E12" s="66">
        <v>7.4999999999999997E-2</v>
      </c>
      <c r="F12" s="7">
        <f>(A12+B12)*C12</f>
        <v>2500</v>
      </c>
      <c r="G12" s="7">
        <f>(A12+B12)/E12</f>
        <v>333.33333333333337</v>
      </c>
      <c r="H12" s="7">
        <f t="shared" ref="H12" si="4">C12/10</f>
        <v>10</v>
      </c>
      <c r="I12" s="66">
        <v>6</v>
      </c>
      <c r="J12" s="67">
        <f t="shared" ref="J12" si="5">H12*G12/60</f>
        <v>55.555555555555564</v>
      </c>
      <c r="K12" s="67">
        <f>J12+I12</f>
        <v>61.555555555555564</v>
      </c>
      <c r="L12" s="68">
        <v>225</v>
      </c>
      <c r="M12" s="69">
        <f>L12/60</f>
        <v>3.75</v>
      </c>
      <c r="N12" s="70">
        <f>ROUNDUP(K12*M12,1)</f>
        <v>230.9</v>
      </c>
      <c r="O12" s="327">
        <f>ROUNDUP(X37, 1)</f>
        <v>460.20000000000005</v>
      </c>
      <c r="P12" s="216">
        <f>IF(N12&gt;O12, N12, O12)</f>
        <v>460.20000000000005</v>
      </c>
      <c r="Q12" s="23" t="s">
        <v>166</v>
      </c>
      <c r="R12" s="32">
        <v>1</v>
      </c>
      <c r="S12" s="325">
        <f>P12*R12</f>
        <v>460.20000000000005</v>
      </c>
      <c r="T12" s="33">
        <f>IF(S12&gt;Z12, S12, Z12)</f>
        <v>460.20000000000005</v>
      </c>
      <c r="U12" s="30">
        <v>125</v>
      </c>
      <c r="V12" s="79">
        <v>0.02</v>
      </c>
      <c r="W12" s="33">
        <f>T12+U12</f>
        <v>585.20000000000005</v>
      </c>
      <c r="X12" s="77">
        <f>ROUNDUP(W12*V12,0)</f>
        <v>12</v>
      </c>
      <c r="Y12" s="33">
        <f>W12+X12</f>
        <v>597.20000000000005</v>
      </c>
      <c r="Z12" s="57">
        <v>225</v>
      </c>
      <c r="AA12" s="78">
        <f>ROUNDDOWN(Z12/N12,0)</f>
        <v>0</v>
      </c>
    </row>
    <row r="13" spans="1:27" ht="18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Q13" s="24"/>
      <c r="R13" s="21"/>
      <c r="S13" s="21"/>
      <c r="T13" s="27"/>
      <c r="U13" s="28"/>
      <c r="V13" s="72"/>
      <c r="W13" s="27"/>
      <c r="X13" s="76"/>
      <c r="Y13" s="27"/>
      <c r="Z13" s="25"/>
      <c r="AA13" s="26"/>
    </row>
    <row r="14" spans="1:27" ht="21" x14ac:dyDescent="0.25">
      <c r="A14" s="292" t="s">
        <v>190</v>
      </c>
      <c r="B14" s="217"/>
      <c r="C14" s="217"/>
      <c r="D14" s="217"/>
      <c r="E14" s="217"/>
      <c r="F14" s="217"/>
      <c r="G14" s="217"/>
      <c r="H14" s="217"/>
      <c r="I14" s="10"/>
      <c r="J14" s="10"/>
      <c r="K14" s="10"/>
      <c r="L14" s="10"/>
      <c r="M14" s="10"/>
      <c r="N14" s="10"/>
      <c r="O14" s="193"/>
      <c r="P14" s="193"/>
      <c r="Q14" s="21"/>
      <c r="R14" s="21"/>
      <c r="S14" s="21"/>
      <c r="T14" s="22"/>
      <c r="U14" s="22"/>
      <c r="V14" s="22"/>
      <c r="W14" s="22"/>
      <c r="X14" s="75"/>
      <c r="Y14" s="22"/>
      <c r="Z14" s="22"/>
      <c r="AA14" s="22"/>
    </row>
    <row r="15" spans="1:27" ht="60" x14ac:dyDescent="0.25">
      <c r="A15" s="2" t="s">
        <v>23</v>
      </c>
      <c r="B15" s="2" t="s">
        <v>8</v>
      </c>
      <c r="C15" s="2" t="s">
        <v>7</v>
      </c>
      <c r="D15" s="2" t="s">
        <v>2</v>
      </c>
      <c r="E15" s="2" t="s">
        <v>1</v>
      </c>
      <c r="F15" s="2" t="s">
        <v>6</v>
      </c>
      <c r="G15" s="2" t="s">
        <v>3</v>
      </c>
      <c r="H15" s="2" t="s">
        <v>21</v>
      </c>
      <c r="I15" s="2" t="s">
        <v>9</v>
      </c>
      <c r="J15" s="2" t="s">
        <v>4</v>
      </c>
      <c r="K15" s="2" t="s">
        <v>10</v>
      </c>
      <c r="L15" s="2" t="s">
        <v>24</v>
      </c>
      <c r="M15" s="2" t="s">
        <v>25</v>
      </c>
      <c r="N15" s="195" t="s">
        <v>145</v>
      </c>
      <c r="O15" s="326" t="s">
        <v>144</v>
      </c>
      <c r="P15" s="196" t="s">
        <v>146</v>
      </c>
      <c r="Q15" s="194"/>
      <c r="R15" s="38" t="s">
        <v>29</v>
      </c>
      <c r="S15" s="38" t="s">
        <v>204</v>
      </c>
      <c r="T15" s="37" t="s">
        <v>34</v>
      </c>
      <c r="U15" s="37" t="s">
        <v>27</v>
      </c>
      <c r="V15" s="38" t="s">
        <v>39</v>
      </c>
      <c r="W15" s="38" t="s">
        <v>30</v>
      </c>
      <c r="X15" s="74" t="s">
        <v>36</v>
      </c>
      <c r="Y15" s="38" t="s">
        <v>31</v>
      </c>
      <c r="Z15" s="37" t="s">
        <v>32</v>
      </c>
      <c r="AA15" s="41" t="s">
        <v>33</v>
      </c>
    </row>
    <row r="16" spans="1:27" x14ac:dyDescent="0.25">
      <c r="A16" s="65">
        <v>5</v>
      </c>
      <c r="B16" s="65">
        <v>20</v>
      </c>
      <c r="C16" s="65">
        <v>100</v>
      </c>
      <c r="D16" s="66" t="s">
        <v>0</v>
      </c>
      <c r="E16" s="66">
        <v>5.5E-2</v>
      </c>
      <c r="F16" s="7">
        <f>(A16+B16)*C16</f>
        <v>2500</v>
      </c>
      <c r="G16" s="7">
        <f>(A16+B16)/E16</f>
        <v>454.54545454545456</v>
      </c>
      <c r="H16" s="7">
        <f t="shared" ref="H16" si="6">C16/10</f>
        <v>10</v>
      </c>
      <c r="I16" s="66">
        <v>4</v>
      </c>
      <c r="J16" s="67">
        <f t="shared" ref="J16" si="7">H16*G16/60</f>
        <v>75.757575757575765</v>
      </c>
      <c r="K16" s="67">
        <f>J16+I16</f>
        <v>79.757575757575765</v>
      </c>
      <c r="L16" s="68">
        <v>225</v>
      </c>
      <c r="M16" s="69">
        <f>L16/60</f>
        <v>3.75</v>
      </c>
      <c r="N16" s="70">
        <f>ROUNDUP(K16*M16,1)</f>
        <v>299.10000000000002</v>
      </c>
      <c r="O16" s="327">
        <f>ROUNDUP(X38, 1)</f>
        <v>526</v>
      </c>
      <c r="P16" s="216">
        <f>IF(N16&gt;O16, N16, O16)</f>
        <v>526</v>
      </c>
      <c r="Q16" s="23" t="s">
        <v>167</v>
      </c>
      <c r="R16" s="32">
        <v>1</v>
      </c>
      <c r="S16" s="325">
        <f>P16*R16</f>
        <v>526</v>
      </c>
      <c r="T16" s="33">
        <f>IF(S16&gt;Z16, S16, Z16)</f>
        <v>526</v>
      </c>
      <c r="U16" s="30">
        <v>125</v>
      </c>
      <c r="V16" s="79">
        <v>0.02</v>
      </c>
      <c r="W16" s="33">
        <f>T16+U16</f>
        <v>651</v>
      </c>
      <c r="X16" s="77">
        <f>ROUNDUP(W16*V16,0)</f>
        <v>14</v>
      </c>
      <c r="Y16" s="33">
        <f>W16+X16</f>
        <v>665</v>
      </c>
      <c r="Z16" s="57">
        <v>225</v>
      </c>
      <c r="AA16" s="78">
        <f>ROUNDDOWN(Z16/N16,0)</f>
        <v>0</v>
      </c>
    </row>
    <row r="24" spans="1:26" ht="21" x14ac:dyDescent="0.25">
      <c r="A24" s="15" t="s">
        <v>12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0"/>
      <c r="Q24" s="60"/>
      <c r="R24" s="63"/>
      <c r="S24" s="63"/>
      <c r="T24" s="61"/>
      <c r="U24" s="209"/>
      <c r="V24" s="63"/>
      <c r="W24" s="210"/>
      <c r="X24" s="63"/>
      <c r="Y24" s="60"/>
      <c r="Z24" s="211"/>
    </row>
    <row r="25" spans="1:26" ht="45" x14ac:dyDescent="0.25">
      <c r="A25" s="4" t="s">
        <v>13</v>
      </c>
      <c r="B25" s="4" t="s">
        <v>7</v>
      </c>
      <c r="C25" s="2" t="s">
        <v>2</v>
      </c>
      <c r="D25" s="4" t="s">
        <v>1</v>
      </c>
      <c r="E25" s="5" t="s">
        <v>20</v>
      </c>
      <c r="F25" s="4" t="s">
        <v>14</v>
      </c>
      <c r="G25" s="4" t="s">
        <v>15</v>
      </c>
      <c r="H25" s="4" t="s">
        <v>17</v>
      </c>
      <c r="I25" s="4" t="s">
        <v>16</v>
      </c>
      <c r="J25" s="4" t="s">
        <v>18</v>
      </c>
      <c r="K25" s="2" t="s">
        <v>24</v>
      </c>
      <c r="L25" s="2" t="s">
        <v>25</v>
      </c>
      <c r="M25" s="6" t="s">
        <v>19</v>
      </c>
      <c r="N25" s="6"/>
      <c r="O25" s="6"/>
      <c r="P25" s="37"/>
      <c r="Q25" s="38" t="s">
        <v>29</v>
      </c>
      <c r="R25" s="44" t="s">
        <v>34</v>
      </c>
      <c r="S25" s="44"/>
      <c r="T25" s="42" t="s">
        <v>27</v>
      </c>
      <c r="U25" s="73" t="s">
        <v>39</v>
      </c>
      <c r="V25" s="44" t="s">
        <v>30</v>
      </c>
      <c r="W25" s="45" t="s">
        <v>36</v>
      </c>
      <c r="X25" s="44" t="s">
        <v>31</v>
      </c>
      <c r="Y25" s="37" t="s">
        <v>32</v>
      </c>
      <c r="Z25" s="41" t="s">
        <v>33</v>
      </c>
    </row>
    <row r="26" spans="1:26" x14ac:dyDescent="0.25">
      <c r="A26" s="14">
        <v>5</v>
      </c>
      <c r="B26" s="14">
        <v>2.75</v>
      </c>
      <c r="C26" s="66" t="s">
        <v>0</v>
      </c>
      <c r="D26" s="16">
        <v>6.5000000000000002E-2</v>
      </c>
      <c r="E26" s="16">
        <f>A26*3.14</f>
        <v>15.700000000000001</v>
      </c>
      <c r="F26" s="17">
        <f>E26/D26</f>
        <v>241.53846153846155</v>
      </c>
      <c r="G26" s="16">
        <f>B26/10</f>
        <v>0.27500000000000002</v>
      </c>
      <c r="H26" s="16">
        <v>3</v>
      </c>
      <c r="I26" s="19">
        <f>G26*F26/60</f>
        <v>1.1070512820512823</v>
      </c>
      <c r="J26" s="20">
        <f>I26+H26</f>
        <v>4.1070512820512821</v>
      </c>
      <c r="K26" s="68">
        <v>225</v>
      </c>
      <c r="L26" s="69">
        <f>K26/60</f>
        <v>3.75</v>
      </c>
      <c r="M26" s="18">
        <f>ROUNDUP(J26*L26,1)</f>
        <v>15.5</v>
      </c>
      <c r="N26" s="212"/>
      <c r="O26" s="212"/>
      <c r="P26" s="56" t="s">
        <v>143</v>
      </c>
      <c r="Q26" s="32">
        <v>55</v>
      </c>
      <c r="R26" s="33">
        <f>M26*Q26</f>
        <v>852.5</v>
      </c>
      <c r="S26" s="33"/>
      <c r="T26" s="30">
        <v>125</v>
      </c>
      <c r="U26" s="79">
        <v>0.02</v>
      </c>
      <c r="V26" s="33">
        <f>R26+T26</f>
        <v>977.5</v>
      </c>
      <c r="W26" s="77">
        <f>ROUNDUP(V26*U26,0)</f>
        <v>20</v>
      </c>
      <c r="X26" s="33">
        <f t="shared" ref="X26" si="8">V26+W26</f>
        <v>997.5</v>
      </c>
      <c r="Y26" s="57">
        <v>225</v>
      </c>
      <c r="Z26" s="78">
        <f>ROUNDDOWN(Y26/M26,0)</f>
        <v>14</v>
      </c>
    </row>
    <row r="27" spans="1:26" x14ac:dyDescent="0.25">
      <c r="A27" s="171"/>
      <c r="B27" s="198"/>
      <c r="C27" s="198"/>
      <c r="D27" s="198"/>
      <c r="E27" s="198"/>
      <c r="F27" s="198"/>
      <c r="G27" s="173"/>
    </row>
    <row r="28" spans="1:26" x14ac:dyDescent="0.25">
      <c r="A28" s="174"/>
      <c r="G28" s="176"/>
      <c r="Q28" s="171"/>
      <c r="R28" s="198"/>
      <c r="S28" s="198"/>
      <c r="T28" s="198"/>
      <c r="U28" s="198"/>
      <c r="V28" s="198"/>
      <c r="W28" s="198"/>
      <c r="X28" s="173"/>
      <c r="Z28" t="s">
        <v>184</v>
      </c>
    </row>
    <row r="29" spans="1:26" x14ac:dyDescent="0.25">
      <c r="A29" s="174"/>
      <c r="G29" s="176"/>
      <c r="J29" s="171"/>
      <c r="K29" s="198"/>
      <c r="L29" s="215" t="s">
        <v>163</v>
      </c>
      <c r="M29" s="198"/>
      <c r="N29" s="198"/>
      <c r="O29" s="173"/>
      <c r="Q29" s="174"/>
      <c r="X29" s="176"/>
      <c r="Z29" s="260">
        <v>10000</v>
      </c>
    </row>
    <row r="30" spans="1:26" x14ac:dyDescent="0.25">
      <c r="A30" s="174" t="s">
        <v>92</v>
      </c>
      <c r="B30">
        <f>12^3</f>
        <v>1728</v>
      </c>
      <c r="C30" t="s">
        <v>93</v>
      </c>
      <c r="G30" s="176"/>
      <c r="J30" s="174"/>
      <c r="M30" t="s">
        <v>94</v>
      </c>
      <c r="N30">
        <v>62.427959999999999</v>
      </c>
      <c r="O30" s="176"/>
      <c r="Q30" s="174" t="s">
        <v>92</v>
      </c>
      <c r="R30">
        <f>12^3</f>
        <v>1728</v>
      </c>
      <c r="T30" t="s">
        <v>93</v>
      </c>
      <c r="X30" s="176"/>
      <c r="Z30">
        <v>6000</v>
      </c>
    </row>
    <row r="31" spans="1:26" x14ac:dyDescent="0.25">
      <c r="A31" s="174"/>
      <c r="C31" t="s">
        <v>95</v>
      </c>
      <c r="E31" s="161">
        <v>515</v>
      </c>
      <c r="G31" s="176"/>
      <c r="J31" s="174" t="s">
        <v>96</v>
      </c>
      <c r="K31" t="s">
        <v>97</v>
      </c>
      <c r="L31" t="s">
        <v>98</v>
      </c>
      <c r="M31" t="s">
        <v>99</v>
      </c>
      <c r="O31" s="176"/>
      <c r="Q31" s="174"/>
      <c r="T31" t="s">
        <v>95</v>
      </c>
      <c r="V31" s="161">
        <v>568</v>
      </c>
      <c r="X31" s="176"/>
      <c r="Z31">
        <v>4000</v>
      </c>
    </row>
    <row r="32" spans="1:26" x14ac:dyDescent="0.25">
      <c r="A32" s="174"/>
      <c r="C32" t="s">
        <v>161</v>
      </c>
      <c r="E32" s="162">
        <v>0.14000000000000001</v>
      </c>
      <c r="G32" s="176"/>
      <c r="J32" s="174" t="s">
        <v>101</v>
      </c>
      <c r="K32">
        <v>7075</v>
      </c>
      <c r="L32">
        <v>2.81</v>
      </c>
      <c r="M32">
        <f>L32*$N$30</f>
        <v>175.42256760000001</v>
      </c>
      <c r="O32" s="176"/>
      <c r="Q32" s="174"/>
      <c r="T32" t="s">
        <v>161</v>
      </c>
      <c r="V32" s="162">
        <v>0.14000000000000001</v>
      </c>
      <c r="X32" s="176"/>
    </row>
    <row r="33" spans="1:24" x14ac:dyDescent="0.25">
      <c r="A33" s="174"/>
      <c r="C33" t="s">
        <v>162</v>
      </c>
      <c r="E33" s="258">
        <v>0.16</v>
      </c>
      <c r="G33" s="176"/>
      <c r="J33" s="174" t="s">
        <v>101</v>
      </c>
      <c r="K33">
        <v>2219</v>
      </c>
      <c r="L33">
        <v>2.84</v>
      </c>
      <c r="M33">
        <f>L33*$N$30</f>
        <v>177.29540639999999</v>
      </c>
      <c r="O33" s="176"/>
      <c r="Q33" s="174"/>
      <c r="T33" t="s">
        <v>162</v>
      </c>
      <c r="V33" s="259">
        <v>0.16</v>
      </c>
      <c r="X33" s="176"/>
    </row>
    <row r="34" spans="1:24" x14ac:dyDescent="0.25">
      <c r="A34" s="174"/>
      <c r="G34" s="176"/>
      <c r="J34" s="174" t="s">
        <v>101</v>
      </c>
      <c r="K34">
        <v>6061</v>
      </c>
      <c r="L34">
        <v>2.7</v>
      </c>
      <c r="M34">
        <f>L34*$N$30</f>
        <v>168.55549200000002</v>
      </c>
      <c r="O34" s="176"/>
      <c r="Q34" s="174"/>
      <c r="X34" s="176"/>
    </row>
    <row r="35" spans="1:24" x14ac:dyDescent="0.25">
      <c r="A35" s="174"/>
      <c r="G35" s="176"/>
      <c r="J35" s="174" t="s">
        <v>101</v>
      </c>
      <c r="K35">
        <v>7050</v>
      </c>
      <c r="L35">
        <v>2.83</v>
      </c>
      <c r="M35">
        <f>L35*$N$30</f>
        <v>176.6711268</v>
      </c>
      <c r="O35" s="176"/>
      <c r="Q35" s="174"/>
      <c r="X35" s="176"/>
    </row>
    <row r="36" spans="1:24" x14ac:dyDescent="0.25">
      <c r="A36" s="213" t="s">
        <v>102</v>
      </c>
      <c r="B36" s="163" t="s">
        <v>103</v>
      </c>
      <c r="C36" s="163" t="s">
        <v>104</v>
      </c>
      <c r="D36" s="163" t="s">
        <v>105</v>
      </c>
      <c r="E36" s="163" t="s">
        <v>106</v>
      </c>
      <c r="F36" s="163" t="s">
        <v>107</v>
      </c>
      <c r="G36" s="214" t="s">
        <v>108</v>
      </c>
      <c r="H36" s="163"/>
      <c r="I36" s="163"/>
      <c r="J36" s="213" t="s">
        <v>109</v>
      </c>
      <c r="K36" s="163"/>
      <c r="L36" s="163"/>
      <c r="M36" s="163">
        <v>494.21</v>
      </c>
      <c r="N36" s="163" t="s">
        <v>110</v>
      </c>
      <c r="O36" s="214"/>
      <c r="P36" s="163"/>
      <c r="Q36" s="213" t="s">
        <v>102</v>
      </c>
      <c r="R36" s="163" t="s">
        <v>103</v>
      </c>
      <c r="S36" s="163"/>
      <c r="T36" s="163" t="s">
        <v>104</v>
      </c>
      <c r="U36" s="163" t="s">
        <v>105</v>
      </c>
      <c r="V36" s="163" t="s">
        <v>106</v>
      </c>
      <c r="W36" s="163" t="s">
        <v>107</v>
      </c>
      <c r="X36" s="214" t="s">
        <v>108</v>
      </c>
    </row>
    <row r="37" spans="1:24" x14ac:dyDescent="0.25">
      <c r="A37" s="222">
        <f>A3</f>
        <v>5</v>
      </c>
      <c r="B37" s="164">
        <f>B3</f>
        <v>20</v>
      </c>
      <c r="C37" s="164">
        <f>C3</f>
        <v>100</v>
      </c>
      <c r="D37">
        <f>A37*B37*C37</f>
        <v>10000</v>
      </c>
      <c r="E37">
        <f>D37/$B$30</f>
        <v>5.7870370370370372</v>
      </c>
      <c r="F37">
        <f>E37*$E$31</f>
        <v>2980.3240740740744</v>
      </c>
      <c r="G37" s="223">
        <f>F37*$E$32</f>
        <v>417.24537037037044</v>
      </c>
      <c r="J37" s="174" t="s">
        <v>111</v>
      </c>
      <c r="M37">
        <v>283.39</v>
      </c>
      <c r="N37" t="s">
        <v>112</v>
      </c>
      <c r="O37" s="176"/>
      <c r="Q37" s="222">
        <f>A12</f>
        <v>5</v>
      </c>
      <c r="R37" s="164">
        <f>B12</f>
        <v>20</v>
      </c>
      <c r="S37" s="164"/>
      <c r="T37" s="164">
        <f>C12</f>
        <v>100</v>
      </c>
      <c r="U37">
        <f>Q37*R37*T37</f>
        <v>10000</v>
      </c>
      <c r="V37">
        <f>U37/$B$30</f>
        <v>5.7870370370370372</v>
      </c>
      <c r="W37">
        <f>V37*$V$31</f>
        <v>3287.037037037037</v>
      </c>
      <c r="X37" s="223">
        <f>W37*$V$32</f>
        <v>460.18518518518522</v>
      </c>
    </row>
    <row r="38" spans="1:24" x14ac:dyDescent="0.25">
      <c r="A38" s="224">
        <f>+A7</f>
        <v>5</v>
      </c>
      <c r="B38" s="165">
        <f>B7</f>
        <v>20</v>
      </c>
      <c r="C38" s="165">
        <f>C7</f>
        <v>100</v>
      </c>
      <c r="D38">
        <f t="shared" ref="D38:D41" si="9">A38*B38*C38</f>
        <v>10000</v>
      </c>
      <c r="E38">
        <f>D38/$B$30</f>
        <v>5.7870370370370372</v>
      </c>
      <c r="F38">
        <f>E38*$E$31</f>
        <v>2980.3240740740744</v>
      </c>
      <c r="G38" s="225">
        <f>F38*$E$33</f>
        <v>476.8518518518519</v>
      </c>
      <c r="J38" s="174" t="s">
        <v>113</v>
      </c>
      <c r="M38">
        <v>490</v>
      </c>
      <c r="O38" s="176"/>
      <c r="Q38" s="224">
        <f>A16</f>
        <v>5</v>
      </c>
      <c r="R38" s="165">
        <f>B16</f>
        <v>20</v>
      </c>
      <c r="S38" s="165"/>
      <c r="T38" s="165">
        <f>C16</f>
        <v>100</v>
      </c>
      <c r="U38">
        <f t="shared" ref="U38:U41" si="10">Q38*R38*T38</f>
        <v>10000</v>
      </c>
      <c r="V38">
        <f>U38/$B$30</f>
        <v>5.7870370370370372</v>
      </c>
      <c r="W38">
        <f>V38*$V$31</f>
        <v>3287.037037037037</v>
      </c>
      <c r="X38" s="225">
        <f>W38*$V$33</f>
        <v>525.92592592592587</v>
      </c>
    </row>
    <row r="39" spans="1:24" x14ac:dyDescent="0.25">
      <c r="A39" s="226">
        <v>5.625</v>
      </c>
      <c r="B39" s="166">
        <v>5.75</v>
      </c>
      <c r="C39" s="166">
        <v>9</v>
      </c>
      <c r="D39">
        <f t="shared" si="9"/>
        <v>291.09375</v>
      </c>
      <c r="E39">
        <f>D39/$B$30</f>
        <v>0.16845703125</v>
      </c>
      <c r="F39">
        <f>E39*$E$31</f>
        <v>86.75537109375</v>
      </c>
      <c r="G39" s="227">
        <f>F39*$E$32</f>
        <v>12.145751953125002</v>
      </c>
      <c r="J39" s="174" t="s">
        <v>114</v>
      </c>
      <c r="M39">
        <v>1204.4100000000001</v>
      </c>
      <c r="O39" s="176"/>
      <c r="Q39" s="226">
        <v>5.625</v>
      </c>
      <c r="R39" s="166">
        <v>5.75</v>
      </c>
      <c r="S39" s="166"/>
      <c r="T39" s="166">
        <v>9</v>
      </c>
      <c r="U39">
        <f t="shared" si="10"/>
        <v>291.09375</v>
      </c>
      <c r="V39">
        <f>U39/$B$30</f>
        <v>0.16845703125</v>
      </c>
      <c r="W39">
        <f>V39*$E$31</f>
        <v>86.75537109375</v>
      </c>
      <c r="X39" s="227">
        <f>W39*$E$32</f>
        <v>12.145751953125002</v>
      </c>
    </row>
    <row r="40" spans="1:24" x14ac:dyDescent="0.25">
      <c r="A40" s="228">
        <v>11.75</v>
      </c>
      <c r="B40" s="167">
        <v>5.75</v>
      </c>
      <c r="C40" s="167">
        <v>55.875</v>
      </c>
      <c r="D40">
        <f t="shared" si="9"/>
        <v>3775.0546875</v>
      </c>
      <c r="E40">
        <f>D40/$B$30</f>
        <v>2.1846381293402777</v>
      </c>
      <c r="F40">
        <f>E40*$E$31</f>
        <v>1125.0886366102429</v>
      </c>
      <c r="G40" s="229">
        <f>F40*$E$32</f>
        <v>157.51240912543403</v>
      </c>
      <c r="J40" s="174" t="s">
        <v>115</v>
      </c>
      <c r="M40">
        <v>568.5</v>
      </c>
      <c r="O40" s="176"/>
      <c r="Q40" s="228">
        <v>11.75</v>
      </c>
      <c r="R40" s="167">
        <v>5.75</v>
      </c>
      <c r="S40" s="167"/>
      <c r="T40" s="167">
        <v>55.875</v>
      </c>
      <c r="U40">
        <f t="shared" si="10"/>
        <v>3775.0546875</v>
      </c>
      <c r="V40">
        <f>U40/$B$30</f>
        <v>2.1846381293402777</v>
      </c>
      <c r="W40">
        <f>V40*$E$31</f>
        <v>1125.0886366102429</v>
      </c>
      <c r="X40" s="229">
        <f>W40*$E$32</f>
        <v>157.51240912543403</v>
      </c>
    </row>
    <row r="41" spans="1:24" x14ac:dyDescent="0.25">
      <c r="A41" s="230">
        <v>10</v>
      </c>
      <c r="B41" s="231">
        <v>10</v>
      </c>
      <c r="C41" s="231">
        <v>10</v>
      </c>
      <c r="D41" s="178">
        <f t="shared" si="9"/>
        <v>1000</v>
      </c>
      <c r="E41" s="178">
        <f>D41/$B$30</f>
        <v>0.57870370370370372</v>
      </c>
      <c r="F41" s="178">
        <f>E41*$E$31</f>
        <v>298.03240740740739</v>
      </c>
      <c r="G41" s="179">
        <f>F41*$E$32</f>
        <v>41.724537037037038</v>
      </c>
      <c r="J41" s="177"/>
      <c r="K41" s="178"/>
      <c r="L41" s="178"/>
      <c r="M41" s="178"/>
      <c r="N41" s="178"/>
      <c r="O41" s="199"/>
      <c r="Q41" s="230">
        <v>10</v>
      </c>
      <c r="R41" s="231">
        <v>10</v>
      </c>
      <c r="S41" s="231"/>
      <c r="T41" s="231">
        <v>10</v>
      </c>
      <c r="U41" s="178">
        <f t="shared" si="10"/>
        <v>1000</v>
      </c>
      <c r="V41" s="178">
        <f>U41/$B$30</f>
        <v>0.57870370370370372</v>
      </c>
      <c r="W41" s="178">
        <f>V41*$E$31</f>
        <v>298.03240740740739</v>
      </c>
      <c r="X41" s="179">
        <f>W41*$E$32</f>
        <v>41.724537037037038</v>
      </c>
    </row>
    <row r="44" spans="1:24" ht="75" x14ac:dyDescent="0.25">
      <c r="A44" s="95" t="s">
        <v>178</v>
      </c>
      <c r="B44" s="246" t="s">
        <v>176</v>
      </c>
      <c r="C44" s="95" t="s">
        <v>173</v>
      </c>
      <c r="D44" s="95" t="s">
        <v>170</v>
      </c>
      <c r="E44" s="95" t="s">
        <v>171</v>
      </c>
      <c r="F44" s="246" t="s">
        <v>175</v>
      </c>
      <c r="G44" s="95" t="s">
        <v>172</v>
      </c>
      <c r="H44" s="95" t="s">
        <v>174</v>
      </c>
      <c r="I44" s="246" t="s">
        <v>177</v>
      </c>
      <c r="K44" s="184" t="s">
        <v>185</v>
      </c>
      <c r="L44" s="184" t="s">
        <v>186</v>
      </c>
      <c r="O44" s="250" t="s">
        <v>184</v>
      </c>
    </row>
    <row r="45" spans="1:24" x14ac:dyDescent="0.25">
      <c r="A45" s="232" t="s">
        <v>179</v>
      </c>
      <c r="B45" s="251">
        <v>13</v>
      </c>
      <c r="C45" s="161">
        <v>60</v>
      </c>
      <c r="D45" s="251">
        <f>B45/2</f>
        <v>6.5</v>
      </c>
      <c r="E45" s="161">
        <v>3.1415926535900001</v>
      </c>
      <c r="F45" s="161">
        <f>E45*(D45^2)</f>
        <v>132.73228961417749</v>
      </c>
      <c r="G45" s="161">
        <f>F45*C45</f>
        <v>7963.9373768506493</v>
      </c>
      <c r="H45" s="161">
        <v>0.28299999999999997</v>
      </c>
      <c r="I45" s="233">
        <f>G45*H45</f>
        <v>2253.7942776487334</v>
      </c>
      <c r="K45" s="257">
        <v>0.16</v>
      </c>
      <c r="L45" s="256">
        <f>ROUND(K45*I45, 2)</f>
        <v>360.61</v>
      </c>
      <c r="O45" s="95">
        <v>6000</v>
      </c>
    </row>
    <row r="46" spans="1:24" x14ac:dyDescent="0.25">
      <c r="A46" s="234" t="s">
        <v>180</v>
      </c>
      <c r="B46" s="252">
        <v>10.5</v>
      </c>
      <c r="C46" s="235">
        <v>144</v>
      </c>
      <c r="D46" s="252">
        <f>B46/2</f>
        <v>5.25</v>
      </c>
      <c r="E46" s="235">
        <v>3.1415926535900001</v>
      </c>
      <c r="F46" s="235">
        <f t="shared" ref="F46:F49" si="11">E46*(D46^2)</f>
        <v>86.590147514574383</v>
      </c>
      <c r="G46" s="235">
        <f>F46*C46</f>
        <v>12468.981242098711</v>
      </c>
      <c r="H46" s="235">
        <v>0.28999999999999998</v>
      </c>
      <c r="I46" s="236">
        <f>G46*H46</f>
        <v>3616.0045602086261</v>
      </c>
      <c r="K46" s="257">
        <v>0.16</v>
      </c>
      <c r="L46" s="256">
        <f t="shared" ref="L46:L49" si="12">ROUND(K46*I46, 2)</f>
        <v>578.55999999999995</v>
      </c>
    </row>
    <row r="47" spans="1:24" x14ac:dyDescent="0.25">
      <c r="A47" s="237" t="s">
        <v>181</v>
      </c>
      <c r="B47" s="253">
        <v>13</v>
      </c>
      <c r="C47" s="238">
        <v>148</v>
      </c>
      <c r="D47" s="253">
        <f>B47/2</f>
        <v>6.5</v>
      </c>
      <c r="E47" s="238">
        <v>3.1415926535900001</v>
      </c>
      <c r="F47" s="238">
        <f t="shared" si="11"/>
        <v>132.73228961417749</v>
      </c>
      <c r="G47" s="238">
        <f>F47*C47</f>
        <v>19644.378862898269</v>
      </c>
      <c r="H47" s="238">
        <v>0.1</v>
      </c>
      <c r="I47" s="239">
        <f>G47*H47</f>
        <v>1964.437886289827</v>
      </c>
      <c r="K47" s="257">
        <v>0.18</v>
      </c>
      <c r="L47" s="256">
        <f t="shared" si="12"/>
        <v>353.6</v>
      </c>
    </row>
    <row r="48" spans="1:24" x14ac:dyDescent="0.25">
      <c r="A48" s="240" t="s">
        <v>182</v>
      </c>
      <c r="B48" s="254">
        <v>13</v>
      </c>
      <c r="C48" s="241">
        <v>148</v>
      </c>
      <c r="D48" s="254">
        <f>B48/2</f>
        <v>6.5</v>
      </c>
      <c r="E48" s="241">
        <v>3.1415926535900001</v>
      </c>
      <c r="F48" s="241">
        <f t="shared" si="11"/>
        <v>132.73228961417749</v>
      </c>
      <c r="G48" s="241">
        <f>F48*C48</f>
        <v>19644.378862898269</v>
      </c>
      <c r="H48" s="241">
        <v>0.16</v>
      </c>
      <c r="I48" s="242">
        <f>G48*H48</f>
        <v>3143.1006180637232</v>
      </c>
      <c r="K48" s="257">
        <v>0.2</v>
      </c>
      <c r="L48" s="256">
        <f t="shared" si="12"/>
        <v>628.62</v>
      </c>
    </row>
    <row r="49" spans="1:12" x14ac:dyDescent="0.25">
      <c r="A49" s="243" t="s">
        <v>187</v>
      </c>
      <c r="B49" s="255">
        <v>5</v>
      </c>
      <c r="C49" s="244">
        <v>2.75</v>
      </c>
      <c r="D49" s="255">
        <f>B49/2</f>
        <v>2.5</v>
      </c>
      <c r="E49" s="244">
        <v>3.1415926535900001</v>
      </c>
      <c r="F49" s="244">
        <f t="shared" si="11"/>
        <v>19.634954084937501</v>
      </c>
      <c r="G49" s="244">
        <f>F49*C49</f>
        <v>53.996123733578131</v>
      </c>
      <c r="H49" s="244">
        <v>0.29649999999999999</v>
      </c>
      <c r="I49" s="245">
        <f>G49*H49</f>
        <v>16.009850687005915</v>
      </c>
      <c r="K49" s="257">
        <v>0.16</v>
      </c>
      <c r="L49" s="256">
        <f t="shared" si="12"/>
        <v>2.56</v>
      </c>
    </row>
  </sheetData>
  <conditionalFormatting sqref="I45:I49">
    <cfRule type="cellIs" dxfId="7" priority="1" operator="greaterThan">
      <formula>$Q$24</formula>
    </cfRule>
  </conditionalFormatting>
  <conditionalFormatting sqref="I49">
    <cfRule type="cellIs" dxfId="6" priority="7" operator="greaterThan">
      <formula>6296.819819</formula>
    </cfRule>
    <cfRule type="cellIs" dxfId="5" priority="8" operator="greaterThan">
      <formula>$Q$24</formula>
    </cfRule>
  </conditionalFormatting>
  <conditionalFormatting sqref="L49">
    <cfRule type="cellIs" dxfId="4" priority="2" operator="greaterThan">
      <formula>960</formula>
    </cfRule>
    <cfRule type="cellIs" priority="3" operator="greaterThan">
      <formula>960</formula>
    </cfRule>
    <cfRule type="expression" priority="4">
      <formula>$K$28</formula>
    </cfRule>
    <cfRule type="aboveAverage" priority="5" aboveAverage="0"/>
    <cfRule type="expression" priority="6">
      <formula>"IF K28 IS RED"</formula>
    </cfRule>
  </conditionalFormatting>
  <conditionalFormatting sqref="P3">
    <cfRule type="expression" dxfId="3" priority="9">
      <formula>$F$37&gt;$Z$29</formula>
    </cfRule>
    <cfRule type="expression" priority="13">
      <formula>$W$37&gt;$Z$29</formula>
    </cfRule>
  </conditionalFormatting>
  <conditionalFormatting sqref="P7">
    <cfRule type="expression" dxfId="2" priority="10">
      <formula>$F$38&gt;$Z$29</formula>
    </cfRule>
  </conditionalFormatting>
  <conditionalFormatting sqref="P12">
    <cfRule type="expression" dxfId="1" priority="12">
      <formula>$W$37&gt;$Z$29</formula>
    </cfRule>
  </conditionalFormatting>
  <conditionalFormatting sqref="P16">
    <cfRule type="expression" dxfId="0" priority="11">
      <formula>$W$38&gt;$Z$29</formula>
    </cfRule>
  </conditionalFormatting>
  <pageMargins left="0.7" right="0.7" top="0.75" bottom="0.75" header="0.3" footer="0.3"/>
  <drawing r:id="rId1"/>
  <legacy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3706-9A69-4B8B-8EF5-C605D523E6BD}">
  <sheetPr>
    <tabColor rgb="FF92D050"/>
  </sheetPr>
  <dimension ref="A1:Z6"/>
  <sheetViews>
    <sheetView workbookViewId="0">
      <selection activeCell="L7" sqref="L7"/>
    </sheetView>
  </sheetViews>
  <sheetFormatPr defaultRowHeight="15" x14ac:dyDescent="0.25"/>
  <cols>
    <col min="19" max="19" width="9.85546875" bestFit="1" customWidth="1"/>
    <col min="20" max="20" width="17.140625" customWidth="1"/>
    <col min="21" max="21" width="15.28515625" customWidth="1"/>
    <col min="23" max="23" width="12" customWidth="1"/>
  </cols>
  <sheetData>
    <row r="1" spans="1:26" ht="26.25" x14ac:dyDescent="0.25">
      <c r="A1" s="134" t="s">
        <v>11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82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88"/>
    </row>
    <row r="2" spans="1:26" ht="30" x14ac:dyDescent="0.25">
      <c r="A2" s="111" t="s">
        <v>23</v>
      </c>
      <c r="B2" s="111" t="s">
        <v>8</v>
      </c>
      <c r="C2" s="111" t="s">
        <v>7</v>
      </c>
      <c r="D2" s="111" t="s">
        <v>2</v>
      </c>
      <c r="E2" s="111" t="s">
        <v>1</v>
      </c>
      <c r="F2" s="111" t="s">
        <v>6</v>
      </c>
      <c r="G2" s="111" t="s">
        <v>3</v>
      </c>
      <c r="H2" s="111" t="s">
        <v>21</v>
      </c>
      <c r="I2" s="111" t="s">
        <v>9</v>
      </c>
      <c r="J2" s="111" t="s">
        <v>4</v>
      </c>
      <c r="K2" s="111" t="s">
        <v>10</v>
      </c>
      <c r="L2" s="111" t="s">
        <v>24</v>
      </c>
      <c r="M2" s="111" t="s">
        <v>25</v>
      </c>
      <c r="N2" s="112" t="s">
        <v>5</v>
      </c>
      <c r="O2" s="39"/>
      <c r="P2" s="113" t="s">
        <v>27</v>
      </c>
      <c r="Q2" s="113" t="s">
        <v>38</v>
      </c>
      <c r="R2" s="114" t="s">
        <v>35</v>
      </c>
      <c r="S2" s="114" t="s">
        <v>204</v>
      </c>
      <c r="T2" s="114" t="s">
        <v>34</v>
      </c>
      <c r="U2" s="114" t="s">
        <v>30</v>
      </c>
      <c r="V2" s="113" t="s">
        <v>36</v>
      </c>
      <c r="W2" s="115" t="s">
        <v>31</v>
      </c>
      <c r="X2" s="113"/>
      <c r="Y2" s="113" t="s">
        <v>32</v>
      </c>
      <c r="Z2" s="114" t="s">
        <v>33</v>
      </c>
    </row>
    <row r="3" spans="1:26" x14ac:dyDescent="0.25">
      <c r="A3" s="65">
        <v>0.625</v>
      </c>
      <c r="B3" s="65">
        <v>13.5</v>
      </c>
      <c r="C3" s="65">
        <v>14.25</v>
      </c>
      <c r="D3" s="66">
        <v>0.125</v>
      </c>
      <c r="E3" s="66">
        <v>4.4999999999999998E-2</v>
      </c>
      <c r="F3" s="66">
        <f>(A3+B3)*C3</f>
        <v>201.28125</v>
      </c>
      <c r="G3" s="66">
        <f>(A3+B3)/E3</f>
        <v>313.88888888888891</v>
      </c>
      <c r="H3" s="66">
        <f t="shared" ref="H3" si="0">C3/10</f>
        <v>1.425</v>
      </c>
      <c r="I3" s="66">
        <v>2.5</v>
      </c>
      <c r="J3" s="67">
        <f t="shared" ref="J3" si="1">H3*G3/60</f>
        <v>7.4548611111111125</v>
      </c>
      <c r="K3" s="67">
        <f>J3+I3</f>
        <v>9.9548611111111125</v>
      </c>
      <c r="L3" s="68">
        <v>250</v>
      </c>
      <c r="M3" s="69">
        <f>L3/60</f>
        <v>4.166666666666667</v>
      </c>
      <c r="N3" s="70">
        <f>ROUNDUP(K3*M3,1)</f>
        <v>41.5</v>
      </c>
      <c r="O3" s="56"/>
      <c r="P3" s="30">
        <v>0</v>
      </c>
      <c r="Q3" s="71">
        <v>0.02</v>
      </c>
      <c r="R3" s="32">
        <v>1</v>
      </c>
      <c r="S3" s="35">
        <f>N3*R3</f>
        <v>41.5</v>
      </c>
      <c r="T3" s="33">
        <f>IF(S3&gt;Y3,S3, Y3)</f>
        <v>250</v>
      </c>
      <c r="U3" s="33">
        <f>+T3+P3</f>
        <v>250</v>
      </c>
      <c r="V3" s="33">
        <f>ROUNDUP(U3*Q3,0)</f>
        <v>5</v>
      </c>
      <c r="W3" s="33">
        <f>U3+V3</f>
        <v>255</v>
      </c>
      <c r="X3" s="34"/>
      <c r="Y3" s="57">
        <v>250</v>
      </c>
      <c r="Z3" s="36">
        <f>ROUNDDOWN(Y3/N3,0)</f>
        <v>6</v>
      </c>
    </row>
    <row r="4" spans="1:26" ht="26.25" x14ac:dyDescent="0.25">
      <c r="B4" s="168" t="s">
        <v>12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0"/>
      <c r="P4" s="61"/>
      <c r="Q4" s="62"/>
      <c r="R4" s="60"/>
      <c r="S4" s="60"/>
      <c r="T4" s="63"/>
      <c r="U4" s="63"/>
      <c r="V4" s="63"/>
      <c r="W4" s="63"/>
      <c r="X4" s="60"/>
      <c r="Y4" s="60"/>
      <c r="Z4" s="64"/>
    </row>
    <row r="5" spans="1:26" x14ac:dyDescent="0.25">
      <c r="B5" s="4" t="s">
        <v>13</v>
      </c>
      <c r="C5" s="4" t="s">
        <v>7</v>
      </c>
      <c r="D5" s="2" t="s">
        <v>2</v>
      </c>
      <c r="E5" s="4" t="s">
        <v>1</v>
      </c>
      <c r="F5" s="5" t="s">
        <v>20</v>
      </c>
      <c r="G5" s="4" t="s">
        <v>14</v>
      </c>
      <c r="H5" s="4" t="s">
        <v>15</v>
      </c>
      <c r="I5" s="4" t="s">
        <v>17</v>
      </c>
      <c r="J5" s="4" t="s">
        <v>16</v>
      </c>
      <c r="K5" s="4" t="s">
        <v>18</v>
      </c>
      <c r="L5" s="2" t="s">
        <v>24</v>
      </c>
      <c r="M5" s="2" t="s">
        <v>25</v>
      </c>
      <c r="N5" s="6" t="s">
        <v>19</v>
      </c>
      <c r="O5" s="40"/>
      <c r="P5" s="42" t="s">
        <v>27</v>
      </c>
      <c r="Q5" s="43" t="s">
        <v>38</v>
      </c>
      <c r="R5" s="49" t="s">
        <v>35</v>
      </c>
      <c r="S5" s="49" t="s">
        <v>204</v>
      </c>
      <c r="T5" s="52" t="s">
        <v>34</v>
      </c>
      <c r="U5" s="44" t="s">
        <v>30</v>
      </c>
      <c r="V5" s="53" t="s">
        <v>36</v>
      </c>
      <c r="W5" s="46" t="s">
        <v>37</v>
      </c>
      <c r="X5" s="21"/>
      <c r="Y5" s="37" t="s">
        <v>32</v>
      </c>
      <c r="Z5" s="37" t="s">
        <v>33</v>
      </c>
    </row>
    <row r="6" spans="1:26" x14ac:dyDescent="0.25">
      <c r="B6" s="14">
        <v>9.5</v>
      </c>
      <c r="C6" s="14">
        <v>1.9</v>
      </c>
      <c r="D6" s="66" t="s">
        <v>0</v>
      </c>
      <c r="E6" s="16">
        <v>3.5000000000000003E-2</v>
      </c>
      <c r="F6" s="16">
        <f>B6*3.14</f>
        <v>29.830000000000002</v>
      </c>
      <c r="G6" s="17">
        <f>F6/E6</f>
        <v>852.28571428571422</v>
      </c>
      <c r="H6" s="16">
        <f>C6/10</f>
        <v>0.19</v>
      </c>
      <c r="I6" s="16">
        <v>5</v>
      </c>
      <c r="J6" s="19">
        <f>H6*G6/60</f>
        <v>2.6989047619047617</v>
      </c>
      <c r="K6" s="20">
        <f>J6+I6</f>
        <v>7.6989047619047621</v>
      </c>
      <c r="L6" s="68">
        <v>250</v>
      </c>
      <c r="M6" s="69">
        <f>L6/60</f>
        <v>4.166666666666667</v>
      </c>
      <c r="N6" s="18">
        <f>ROUNDUP(K6*M6,1)</f>
        <v>32.1</v>
      </c>
      <c r="O6" s="56"/>
      <c r="P6" s="30">
        <v>0</v>
      </c>
      <c r="Q6" s="71">
        <v>0.02</v>
      </c>
      <c r="R6" s="32">
        <v>8</v>
      </c>
      <c r="S6" s="35">
        <f>N6*R6</f>
        <v>256.8</v>
      </c>
      <c r="T6" s="33">
        <f>IF(S6&gt;Y6,S6, Y6)</f>
        <v>256.8</v>
      </c>
      <c r="U6" s="33">
        <f>+T6+P6</f>
        <v>256.8</v>
      </c>
      <c r="V6" s="33">
        <f>ROUNDUP(U6*Q6,0)</f>
        <v>6</v>
      </c>
      <c r="W6" s="33">
        <f t="shared" ref="W6" si="2">U6+V6</f>
        <v>262.8</v>
      </c>
      <c r="X6" s="56"/>
      <c r="Y6" s="58">
        <v>250</v>
      </c>
      <c r="Z6" s="47">
        <f>ROUNDDOWN(Y6/N6,0)</f>
        <v>7</v>
      </c>
    </row>
  </sheetData>
  <pageMargins left="0.7" right="0.7" top="0.75" bottom="0.75" header="0.3" footer="0.3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5B342-ADE9-4B1D-B66D-96C5AF2790D9}">
  <sheetPr>
    <tabColor rgb="FFFF0000"/>
  </sheetPr>
  <dimension ref="A1"/>
  <sheetViews>
    <sheetView workbookViewId="0">
      <selection activeCell="U47" sqref="U4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90</vt:i4>
      </vt:variant>
      <vt:variant>
        <vt:lpstr>Named Ranges</vt:lpstr>
      </vt:variant>
      <vt:variant>
        <vt:i4>4</vt:i4>
      </vt:variant>
    </vt:vector>
  </HeadingPairs>
  <TitlesOfParts>
    <vt:vector size="94" baseType="lpstr">
      <vt:lpstr>MASTER</vt:lpstr>
      <vt:lpstr>BODYCOTE</vt:lpstr>
      <vt:lpstr>BLUE ORIGIN</vt:lpstr>
      <vt:lpstr>ROUND BAR</vt:lpstr>
      <vt:lpstr>WEIGHT FORMULA</vt:lpstr>
      <vt:lpstr>RING CALCULATOR</vt:lpstr>
      <vt:lpstr>TUBING</vt:lpstr>
      <vt:lpstr>ABC SHEET</vt:lpstr>
      <vt:lpstr>ABSOLUTE TECHNOLOGIES</vt:lpstr>
      <vt:lpstr>ACTION INDUSTRIES</vt:lpstr>
      <vt:lpstr>ACUTEK US</vt:lpstr>
      <vt:lpstr>ADVANCED STRUCTURAL TECH</vt:lpstr>
      <vt:lpstr>AEROFAB CORP</vt:lpstr>
      <vt:lpstr>AERONOVA</vt:lpstr>
      <vt:lpstr>AIRCRAFT EXTRUSION</vt:lpstr>
      <vt:lpstr>ALLOY METALS</vt:lpstr>
      <vt:lpstr>ALTEMP ALLOYS</vt:lpstr>
      <vt:lpstr>AMERICAN HANDFORGE</vt:lpstr>
      <vt:lpstr>AVIATION METALS</vt:lpstr>
      <vt:lpstr>AXIAN TECHNOLOGY</vt:lpstr>
      <vt:lpstr>AXXIS CORP</vt:lpstr>
      <vt:lpstr>BEL-AIR MACHINE</vt:lpstr>
      <vt:lpstr>BLUELINE INDUSTRIES</vt:lpstr>
      <vt:lpstr>BRALCO</vt:lpstr>
      <vt:lpstr>CALIFORNIA AMFORGE</vt:lpstr>
      <vt:lpstr>CALIFORNIA METALS</vt:lpstr>
      <vt:lpstr>CASTLE METALS</vt:lpstr>
      <vt:lpstr>CENTURY PRECISION</vt:lpstr>
      <vt:lpstr>COAST MANUFACTURING</vt:lpstr>
      <vt:lpstr>CONNELLY MACHINE</vt:lpstr>
      <vt:lpstr>CONTINOUS IMPROVEMENT</vt:lpstr>
      <vt:lpstr>COULTER FORGE</vt:lpstr>
      <vt:lpstr>CUTTER INNOVATIONS</vt:lpstr>
      <vt:lpstr>EARLE M. JORGENSON</vt:lpstr>
      <vt:lpstr>FALCON AEROSPACE</vt:lpstr>
      <vt:lpstr>FALCON ENGINEERING</vt:lpstr>
      <vt:lpstr>FLIGHT METALS</vt:lpstr>
      <vt:lpstr>FRY STEEL</vt:lpstr>
      <vt:lpstr>HUB METALS</vt:lpstr>
      <vt:lpstr>HURLEN</vt:lpstr>
      <vt:lpstr>iLAM PRECISION</vt:lpstr>
      <vt:lpstr>INDEPENDENT FORGE</vt:lpstr>
      <vt:lpstr>JACQUET WEST</vt:lpstr>
      <vt:lpstr>JOHNSON PRECISION</vt:lpstr>
      <vt:lpstr>JR MACHINE</vt:lpstr>
      <vt:lpstr>LEADING EDGE</vt:lpstr>
      <vt:lpstr>LNT MACHINE</vt:lpstr>
      <vt:lpstr>LNP MACHINE</vt:lpstr>
      <vt:lpstr>KREMIN</vt:lpstr>
      <vt:lpstr>LEAN MANUFACTURING</vt:lpstr>
      <vt:lpstr>MAGNA TOOL</vt:lpstr>
      <vt:lpstr>MCNEELEY MFG</vt:lpstr>
      <vt:lpstr>MICHLIN METALS</vt:lpstr>
      <vt:lpstr>MILLER CNC</vt:lpstr>
      <vt:lpstr>MINDRUM PRECISION</vt:lpstr>
      <vt:lpstr>NYTRON</vt:lpstr>
      <vt:lpstr>OLYMPIC AVIATION</vt:lpstr>
      <vt:lpstr>PNEUDRALICS</vt:lpstr>
      <vt:lpstr>PRECISION WATERJET</vt:lpstr>
      <vt:lpstr>PRECISION FLUID CONTROL</vt:lpstr>
      <vt:lpstr>PREMCO</vt:lpstr>
      <vt:lpstr>PROGRESSIVE ALLOY</vt:lpstr>
      <vt:lpstr>PROTOTEK</vt:lpstr>
      <vt:lpstr>Q&amp;L METALS</vt:lpstr>
      <vt:lpstr>RAM ALLOYS</vt:lpstr>
      <vt:lpstr>RBC BEARING</vt:lpstr>
      <vt:lpstr>RED LION</vt:lpstr>
      <vt:lpstr>RICKARD SPECIALTY METALS</vt:lpstr>
      <vt:lpstr>ROLLED ALLOYS</vt:lpstr>
      <vt:lpstr>SA AEROSPCE</vt:lpstr>
      <vt:lpstr>SIERRA ALLOYS</vt:lpstr>
      <vt:lpstr>SIGMA AEROSPACE</vt:lpstr>
      <vt:lpstr>SLICE OF STAINLESS</vt:lpstr>
      <vt:lpstr>SPACE-LOK</vt:lpstr>
      <vt:lpstr>SPECIALITY METALS</vt:lpstr>
      <vt:lpstr>SUNSHINE METALS</vt:lpstr>
      <vt:lpstr>SUPERIOR HANDFORGE</vt:lpstr>
      <vt:lpstr>TACKETT MACHINE</vt:lpstr>
      <vt:lpstr>TECTON</vt:lpstr>
      <vt:lpstr>TITANIUM DISTRUBUTION SERVICES</vt:lpstr>
      <vt:lpstr>TOOLCRAFT</vt:lpstr>
      <vt:lpstr>TNT MACHINE</vt:lpstr>
      <vt:lpstr>TRABUCO PRECISION</vt:lpstr>
      <vt:lpstr>TRI-TECH METALS</vt:lpstr>
      <vt:lpstr>TRITON ALLOYS </vt:lpstr>
      <vt:lpstr>TRUE STEEL</vt:lpstr>
      <vt:lpstr>TURBOTECH</vt:lpstr>
      <vt:lpstr>UNIVERSAL METALS</vt:lpstr>
      <vt:lpstr>UREMET CORP</vt:lpstr>
      <vt:lpstr>VELOCITY PRECISION</vt:lpstr>
      <vt:lpstr>PREMCO!_Hlk157170825</vt:lpstr>
      <vt:lpstr>'LEADING EDGE'!_Hlk157662704</vt:lpstr>
      <vt:lpstr>'LEADING EDGE'!_Hlk162361649</vt:lpstr>
      <vt:lpstr>'AMERICAN HANDFORGE'!_Hlk204958969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Ortiz</dc:creator>
  <cp:lastModifiedBy>Jonathan Ortiz</cp:lastModifiedBy>
  <cp:lastPrinted>2025-12-13T17:06:40Z</cp:lastPrinted>
  <dcterms:created xsi:type="dcterms:W3CDTF">2014-03-20T20:37:55Z</dcterms:created>
  <dcterms:modified xsi:type="dcterms:W3CDTF">2026-04-10T17:00:24Z</dcterms:modified>
</cp:coreProperties>
</file>