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commentsmeta11"/>
  <Override ContentType="application/binary" PartName="/xl/commentsmeta33"/>
  <Override ContentType="application/binary" PartName="/xl/commentsmeta12"/>
  <Override ContentType="application/binary" PartName="/xl/commentsmeta34"/>
  <Override ContentType="application/binary" PartName="/xl/commentsmeta13"/>
  <Override ContentType="application/binary" PartName="/xl/commentsmeta35"/>
  <Override ContentType="application/binary" PartName="/xl/commentsmeta14"/>
  <Override ContentType="application/binary" PartName="/xl/commentsmeta30"/>
  <Override ContentType="application/binary" PartName="/xl/commentsmeta31"/>
  <Override ContentType="application/binary" PartName="/xl/commentsmeta10"/>
  <Override ContentType="application/binary" PartName="/xl/commentsmeta32"/>
  <Override ContentType="application/binary" PartName="/xl/commentsmeta19"/>
  <Override ContentType="application/binary" PartName="/xl/commentsmeta15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22"/>
  <Override ContentType="application/binary" PartName="/xl/commentsmeta23"/>
  <Override ContentType="application/binary" PartName="/xl/commentsmeta24"/>
  <Override ContentType="application/binary" PartName="/xl/commentsmeta25"/>
  <Override ContentType="application/binary" PartName="/xl/commentsmeta20"/>
  <Override ContentType="application/binary" PartName="/xl/commentsmeta21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26"/>
  <Override ContentType="application/binary" PartName="/xl/commentsmeta1"/>
  <Override ContentType="application/binary" PartName="/xl/commentsmeta27"/>
  <Override ContentType="application/binary" PartName="/xl/commentsmeta28"/>
  <Override ContentType="application/binary" PartName="/xl/commentsmeta29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ROUND BAR" sheetId="2" r:id="rId5"/>
    <sheet state="visible" name="WEIGHT FORMULA" sheetId="3" r:id="rId6"/>
    <sheet state="visible" name="RING CALCULATOR" sheetId="4" r:id="rId7"/>
    <sheet state="visible" name="TUBING" sheetId="5" r:id="rId8"/>
    <sheet state="visible" name="ABSOLUTE TECHNOLOGIES" sheetId="6" r:id="rId9"/>
    <sheet state="visible" name="ACTION INDUSTRIES" sheetId="7" r:id="rId10"/>
    <sheet state="visible" name="ACUTEK US" sheetId="8" r:id="rId11"/>
    <sheet state="visible" name="AEROFAB CORP" sheetId="9" r:id="rId12"/>
    <sheet state="visible" name="ALLOY METALS" sheetId="10" r:id="rId13"/>
    <sheet state="visible" name="ALTEMP ALLOYS" sheetId="11" r:id="rId14"/>
    <sheet state="visible" name="AVIATION METALS" sheetId="12" r:id="rId15"/>
    <sheet state="visible" name="AXIAN TECHNOLOGY" sheetId="13" r:id="rId16"/>
    <sheet state="visible" name="AXXIS CORP" sheetId="14" r:id="rId17"/>
    <sheet state="visible" name="BEL-AIR MACHINE" sheetId="15" r:id="rId18"/>
    <sheet state="visible" name="BLUELINE INDUSTRIES" sheetId="16" r:id="rId19"/>
    <sheet state="visible" name="BRALCO" sheetId="17" r:id="rId20"/>
    <sheet state="visible" name="CALIFORNIA METALS" sheetId="18" r:id="rId21"/>
    <sheet state="visible" name="CASTLE METALS" sheetId="19" r:id="rId22"/>
    <sheet state="visible" name="COULTER FORGE" sheetId="20" r:id="rId23"/>
    <sheet state="visible" name="FALCON AEROSPACE" sheetId="21" r:id="rId24"/>
    <sheet state="visible" name="FALCON ENGINEERING" sheetId="22" r:id="rId25"/>
    <sheet state="visible" name="FRY STEEL" sheetId="23" r:id="rId26"/>
    <sheet state="visible" name="HUB METALS" sheetId="24" r:id="rId27"/>
    <sheet state="visible" name="INDEPENDENT FORGE" sheetId="25" r:id="rId28"/>
    <sheet state="visible" name="JR MACHINE" sheetId="26" r:id="rId29"/>
    <sheet state="visible" name="LEADING EDGE" sheetId="27" r:id="rId30"/>
    <sheet state="visible" name="LEAN MANUFACTURING" sheetId="28" r:id="rId31"/>
    <sheet state="visible" name="MAGNA TOOL" sheetId="29" r:id="rId32"/>
    <sheet state="visible" name="MCNEELEY MFG" sheetId="30" r:id="rId33"/>
    <sheet state="visible" name="MILLER CNC" sheetId="31" r:id="rId34"/>
    <sheet state="visible" name="OLYMPIC AVIATION" sheetId="32" r:id="rId35"/>
    <sheet state="visible" name="PRECISION WATERJET" sheetId="33" r:id="rId36"/>
    <sheet state="visible" name="PREMCO" sheetId="34" r:id="rId37"/>
    <sheet state="visible" name="TECTON" sheetId="35" r:id="rId38"/>
    <sheet state="visible" name="PROGRESSIVE ALLOY" sheetId="36" r:id="rId39"/>
    <sheet state="visible" name="Q&amp;L METALS" sheetId="37" r:id="rId40"/>
    <sheet state="visible" name="RAM ALLOYS" sheetId="38" r:id="rId41"/>
    <sheet state="visible" name="RED LION" sheetId="39" r:id="rId42"/>
    <sheet state="visible" name="RICKARD SPECIALTY METALS" sheetId="40" r:id="rId43"/>
    <sheet state="visible" name="ROLLED ALLOYS" sheetId="41" r:id="rId44"/>
    <sheet state="visible" name="SA AEROSPCE" sheetId="42" r:id="rId45"/>
    <sheet state="visible" name="SIERRA ALLOYS" sheetId="43" r:id="rId46"/>
    <sheet state="visible" name="STOLL-METALCRAFT" sheetId="44" r:id="rId47"/>
    <sheet state="visible" name="SUNSHINE METALS" sheetId="45" r:id="rId48"/>
    <sheet state="visible" name="SUPERIOR HANDFORGE" sheetId="46" r:id="rId49"/>
    <sheet state="visible" name="TITANIUM DISTRUBUTION SERVICES" sheetId="47" r:id="rId50"/>
    <sheet state="visible" name="TOOLCRAFT" sheetId="48" r:id="rId51"/>
    <sheet state="visible" name="TRITON ALLOYS " sheetId="49" r:id="rId52"/>
    <sheet state="visible" name="TRUE STEEL" sheetId="50" r:id="rId53"/>
    <sheet state="visible" name="UNIVERSAL METALS" sheetId="51" r:id="rId54"/>
    <sheet state="visible" name="UREMET CORP" sheetId="52" r:id="rId55"/>
  </sheets>
  <definedNames>
    <definedName localSheetId="26" name="_Hlk162361649">'LEADING EDGE'!$V$20</definedName>
    <definedName localSheetId="26" name="_Hlk157662704">'LEADING EDGE'!$V$19</definedName>
    <definedName localSheetId="33" name="_Hlk157170825">PREMCO!$X$15</definedName>
  </definedNames>
  <calcPr/>
  <extLst>
    <ext uri="GoogleSheetsCustomDataVersion2">
      <go:sheetsCustomData xmlns:go="http://customooxmlschemas.google.com/" r:id="rId56" roundtripDataChecksum="76zXbwAEYWg8f49skDfXeQu6lxHbBJvslb9ocFU54t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ID#AAABuApmzrQ
Jonathan Ortiz    (2025-11-17 14:24:37)
USE THIS FORMULA FOR FLATE PLATE, RECTANGLE BAR, SQUARE BAR.</t>
      </text>
    </comment>
    <comment authorId="0" ref="B9">
      <text>
        <t xml:space="preserve">======
ID#AAABuApmzo0
Jonathan Ortiz    (2025-11-17 14:24:37)
USE THIS FORMULA FOR ROUND BAR ONLY</t>
      </text>
    </comment>
    <comment authorId="0" ref="N32">
      <text>
        <t xml:space="preserve">======
ID#AAABuApmzkI
Jonathan Ortiz    (2025-11-17 14:24:37)
Quoted Price Per Part.</t>
      </text>
    </comment>
    <comment authorId="0" ref="N10">
      <text>
        <t xml:space="preserve">======
ID#AAABuApmzjo
Jonathan Ortiz    (2025-11-17 14:24:37)
QUOTED PER PIECE PRICE</t>
      </text>
    </comment>
    <comment authorId="0" ref="N2">
      <text>
        <t xml:space="preserve">======
ID#AAABuApmzjA
Jonathan Ortiz    (2025-11-17 14:24:37)
Quoted Price Per Part.</t>
      </text>
    </comment>
    <comment authorId="0" ref="A2">
      <text>
        <t xml:space="preserve">======
ID#AAABuApmzdk
Jonathan Ortiz    (2025-11-17 14:24:37)
Insert Material Thickness Here.</t>
      </text>
    </comment>
    <comment authorId="0" ref="C10">
      <text>
        <t xml:space="preserve">======
ID#AAABuApmzdQ
Jonathan Ortiz    (2025-11-17 14:24:37)
ENTER MATERIAL LENGTH HERE</t>
      </text>
    </comment>
    <comment authorId="0" ref="C2">
      <text>
        <t xml:space="preserve">======
ID#AAABuApmzbU
Jonathan Ortiz    (2025-11-17 14:24:37)
Insert Material Length here.</t>
      </text>
    </comment>
    <comment authorId="0" ref="B10">
      <text>
        <t xml:space="preserve">======
ID#AAABuApmzag
Jonathan Ortiz    (2025-11-17 14:24:37)
ENTER MATERIAL DIAMETER HERE</t>
      </text>
    </comment>
    <comment authorId="0" ref="B2">
      <text>
        <t xml:space="preserve">======
ID#AAABuApmzYU
Jonathan Ortiz    (2025-11-17 14:24:37)
Insert Material Width here.</t>
      </text>
    </comment>
  </commentList>
  <extLst>
    <ext uri="GoogleSheetsCustomDataVersion2">
      <go:sheetsCustomData xmlns:go="http://customooxmlschemas.google.com/" r:id="rId1" roundtripDataSignature="AMtx7mgv5QNF99fxaxxNsCH4wgcXINNv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">
      <text>
        <t xml:space="preserve">======
ID#AAABuApmzsE
Jonathan Ortiz    (2025-11-17 14:24:37)
Quoted Price Per Part.</t>
      </text>
    </comment>
    <comment authorId="0" ref="B2">
      <text>
        <t xml:space="preserve">======
ID#AAABuApmza4
Jonathan Ortiz    (2025-11-17 14:24:37)
Insert Material Width here.</t>
      </text>
    </comment>
    <comment authorId="0" ref="A1">
      <text>
        <t xml:space="preserve">======
ID#AAABuApmzZ4
Jonathan Ortiz    (2025-11-17 14:24:37)
USE THIS FORMULA FOR FLATE PLATE, RECTANGLE BAR, SQUARE BAR.</t>
      </text>
    </comment>
    <comment authorId="0" ref="A2">
      <text>
        <t xml:space="preserve">======
ID#AAABuApmzSw
Jonathan Ortiz    (2025-11-17 14:24:37)
Insert Material Thickness Here.</t>
      </text>
    </comment>
    <comment authorId="0" ref="C2">
      <text>
        <t xml:space="preserve">======
ID#AAABuApmzLo
Jonathan Ortiz    (2025-11-17 14:24:37)
Insert Material Length here.</t>
      </text>
    </comment>
  </commentList>
  <extLst>
    <ext uri="GoogleSheetsCustomDataVersion2">
      <go:sheetsCustomData xmlns:go="http://customooxmlschemas.google.com/" r:id="rId1" roundtripDataSignature="AMtx7mivAdqWJ32qGMru5U0XOiPrBqFyk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ID#AAABuApmzew
Jonathan Ortiz    (2025-11-17 14:24:37)
USE THIS FORMULA FOR ROUND BAR ONLY</t>
      </text>
    </comment>
    <comment authorId="0" ref="B2">
      <text>
        <t xml:space="preserve">======
ID#AAABuApmzbg
Jonathan Ortiz    (2025-11-17 14:24:37)
ENTER MATERIAL LENGTH HERE</t>
      </text>
    </comment>
    <comment authorId="0" ref="M2">
      <text>
        <t xml:space="preserve">======
ID#AAABuApmzV8
Jonathan Ortiz    (2025-11-17 14:24:37)
QUOTED PER PIECE PRICE</t>
      </text>
    </comment>
    <comment authorId="0" ref="A2">
      <text>
        <t xml:space="preserve">======
ID#AAABuApmzSk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hKf+uyDqpj4hE+0LtyMO9XVCXqY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ID#AAABuApmztI
Jonathan Ortiz    (2025-11-17 14:24:37)
USE THIS FORMULA FOR ROUND BAR ONLY</t>
      </text>
    </comment>
    <comment authorId="0" ref="C13">
      <text>
        <t xml:space="preserve">======
ID#AAABuApmzqk
Jonathan Ortiz    (2025-11-17 14:24:37)
ENTER MATERIAL LENGTH HERE</t>
      </text>
    </comment>
    <comment authorId="0" ref="A10">
      <text>
        <t xml:space="preserve">======
ID#AAABuApmzn4
Jonathan Ortiz    (2025-11-17 14:24:37)
Insert Material Thickness Here.</t>
      </text>
    </comment>
    <comment authorId="0" ref="B13">
      <text>
        <t xml:space="preserve">======
ID#AAABuApmzmA
Jonathan Ortiz    (2025-11-17 14:24:37)
ENTER MATERIAL DIAMETER HERE</t>
      </text>
    </comment>
    <comment authorId="0" ref="N13">
      <text>
        <t xml:space="preserve">======
ID#AAABuApmzkw
Jonathan Ortiz    (2025-11-17 14:24:37)
QUOTED PER PIECE PRICE</t>
      </text>
    </comment>
    <comment authorId="0" ref="A1">
      <text>
        <t xml:space="preserve">======
ID#AAABuApmzjI
Jonathan Ortiz    (2025-11-17 14:24:37)
USE THIS FORMULA FOR FLATE PLATE, RECTANGLE BAR, SQUARE BAR.</t>
      </text>
    </comment>
    <comment authorId="0" ref="A2">
      <text>
        <t xml:space="preserve">======
ID#AAABuApmziw
Jonathan Ortiz    (2025-11-17 14:24:37)
Insert Material Thickness Here.</t>
      </text>
    </comment>
    <comment authorId="0" ref="B5">
      <text>
        <t xml:space="preserve">======
ID#AAABuApmzh4
Jonathan Ortiz    (2025-11-17 14:24:37)
ENTER MATERIAL DIAMETER HERE</t>
      </text>
    </comment>
    <comment authorId="0" ref="B10">
      <text>
        <t xml:space="preserve">======
ID#AAABuApmzg4
Jonathan Ortiz    (2025-11-17 14:24:37)
Insert Material Width here.</t>
      </text>
    </comment>
    <comment authorId="0" ref="N2">
      <text>
        <t xml:space="preserve">======
ID#AAABuApmzgU
Jonathan Ortiz    (2025-11-17 14:24:37)
Quoted Price Per Part.</t>
      </text>
    </comment>
    <comment authorId="0" ref="N5">
      <text>
        <t xml:space="preserve">======
ID#AAABuApmzfU
Jonathan Ortiz    (2025-11-17 14:24:37)
QUOTED PER PIECE PRICE</t>
      </text>
    </comment>
    <comment authorId="0" ref="C10">
      <text>
        <t xml:space="preserve">======
ID#AAABuApmzaU
Jonathan Ortiz    (2025-11-17 14:24:37)
Insert Material Length here.</t>
      </text>
    </comment>
    <comment authorId="0" ref="C2">
      <text>
        <t xml:space="preserve">======
ID#AAABuApmzZI
Jonathan Ortiz    (2025-11-17 14:24:37)
Insert Material Length here.</t>
      </text>
    </comment>
    <comment authorId="0" ref="N10">
      <text>
        <t xml:space="preserve">======
ID#AAABuApmzX4
Jonathan Ortiz    (2025-11-17 14:24:37)
Quoted Price Per Part.</t>
      </text>
    </comment>
    <comment authorId="0" ref="B2">
      <text>
        <t xml:space="preserve">======
ID#AAABuApmzVc
Jonathan Ortiz    (2025-11-17 14:24:37)
Insert Material Width here.</t>
      </text>
    </comment>
    <comment authorId="0" ref="A9">
      <text>
        <t xml:space="preserve">======
ID#AAABuApmzSM
Jonathan Ortiz    (2025-11-17 14:24:37)
USE THIS FORMULA FOR FLATE PLATE, RECTANGLE BAR, SQUARE BAR.</t>
      </text>
    </comment>
    <comment authorId="0" ref="B12">
      <text>
        <t xml:space="preserve">======
ID#AAABuApmzLE
Jonathan Ortiz    (2025-11-17 14:24:37)
USE THIS FORMULA FOR ROUND BAR ONLY</t>
      </text>
    </comment>
    <comment authorId="0" ref="C5">
      <text>
        <t xml:space="preserve">======
ID#AAABwLdDBH0
Jonathan Ortiz    (2025-11-17 14:24:37)
ENTER MATERIAL LENGTH HERE</t>
      </text>
    </comment>
  </commentList>
  <extLst>
    <ext uri="GoogleSheetsCustomDataVersion2">
      <go:sheetsCustomData xmlns:go="http://customooxmlschemas.google.com/" r:id="rId1" roundtripDataSignature="AMtx7mgtd+LZZ0T4HgEkypgm7/mMytvgH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======
ID#AAABuApmzpk
Jonathan Ortiz    (2025-11-17 14:24:37)
Quoted Price Per Part.</t>
      </text>
    </comment>
    <comment authorId="0" ref="C13">
      <text>
        <t xml:space="preserve">======
ID#AAABuApmzmQ
Jonathan Ortiz    (2025-11-17 14:24:37)
ENTER MATERIAL LENGTH HERE</t>
      </text>
    </comment>
    <comment authorId="0" ref="C2">
      <text>
        <t xml:space="preserve">======
ID#AAABuApmzlY
Jonathan Ortiz    (2025-11-17 14:24:37)
Insert Material Length here.</t>
      </text>
    </comment>
    <comment authorId="0" ref="A9">
      <text>
        <t xml:space="preserve">======
ID#AAABuApmziI
Jonathan Ortiz    (2025-11-17 14:24:37)
USE THIS FORMULA FOR FLATE PLATE, RECTANGLE BAR, SQUARE BAR.</t>
      </text>
    </comment>
    <comment authorId="0" ref="N13">
      <text>
        <t xml:space="preserve">======
ID#AAABuApmzh0
Jonathan Ortiz    (2025-11-17 14:24:37)
QUOTED PER PIECE PRICE</t>
      </text>
    </comment>
    <comment authorId="0" ref="B2">
      <text>
        <t xml:space="preserve">======
ID#AAABuApmzgM
Jonathan Ortiz    (2025-11-17 14:24:37)
Insert Material Width here.</t>
      </text>
    </comment>
    <comment authorId="0" ref="A10">
      <text>
        <t xml:space="preserve">======
ID#AAABuApmze0
Jonathan Ortiz    (2025-11-17 14:24:37)
Insert Material Thickness Here.</t>
      </text>
    </comment>
    <comment authorId="0" ref="B5">
      <text>
        <t xml:space="preserve">======
ID#AAABuApmzec
Jonathan Ortiz    (2025-11-17 14:24:37)
ENTER MATERIAL DIAMETER HERE</t>
      </text>
    </comment>
    <comment authorId="0" ref="N10">
      <text>
        <t xml:space="preserve">======
ID#AAABuApmzY4
Jonathan Ortiz    (2025-11-17 14:24:37)
Quoted Price Per Part.</t>
      </text>
    </comment>
    <comment authorId="0" ref="B12">
      <text>
        <t xml:space="preserve">======
ID#AAABuApmzXU
Jonathan Ortiz    (2025-11-17 14:24:37)
USE THIS FORMULA FOR ROUND BAR ONLY</t>
      </text>
    </comment>
    <comment authorId="0" ref="B13">
      <text>
        <t xml:space="preserve">======
ID#AAABuApmzWc
Jonathan Ortiz    (2025-11-17 14:24:37)
ENTER MATERIAL DIAMETER HERE</t>
      </text>
    </comment>
    <comment authorId="0" ref="A2">
      <text>
        <t xml:space="preserve">======
ID#AAABuApmzTs
Jonathan Ortiz    (2025-11-17 14:24:37)
Insert Material Thickness Here.</t>
      </text>
    </comment>
    <comment authorId="0" ref="A1">
      <text>
        <t xml:space="preserve">======
ID#AAABuApmzTA
Jonathan Ortiz    (2025-11-17 14:24:37)
USE THIS FORMULA FOR FLATE PLATE, RECTANGLE BAR, SQUARE BAR.</t>
      </text>
    </comment>
    <comment authorId="0" ref="B10">
      <text>
        <t xml:space="preserve">======
ID#AAABuApmzSo
Jonathan Ortiz    (2025-11-17 14:24:37)
Insert Material Width here.</t>
      </text>
    </comment>
    <comment authorId="0" ref="N5">
      <text>
        <t xml:space="preserve">======
ID#AAABuApmzRs
Jonathan Ortiz    (2025-11-17 14:24:37)
QUOTED PER PIECE PRICE</t>
      </text>
    </comment>
    <comment authorId="0" ref="C5">
      <text>
        <t xml:space="preserve">======
ID#AAABuApmzLc
Jonathan Ortiz    (2025-11-17 14:24:37)
ENTER MATERIAL LENGTH HERE</t>
      </text>
    </comment>
    <comment authorId="0" ref="C10">
      <text>
        <t xml:space="preserve">======
ID#AAABuAk8jWM
Jonathan Ortiz    (2025-11-17 14:24:37)
Insert Material Length here.</t>
      </text>
    </comment>
    <comment authorId="0" ref="B4">
      <text>
        <t xml:space="preserve">======
ID#AAABuAk8jV0
Jonathan Ortiz    (2025-11-17 14:24:37)
USE THIS FORMULA FOR ROUND BAR ONLY</t>
      </text>
    </comment>
  </commentList>
  <extLst>
    <ext uri="GoogleSheetsCustomDataVersion2">
      <go:sheetsCustomData xmlns:go="http://customooxmlschemas.google.com/" r:id="rId1" roundtripDataSignature="AMtx7mhnVIQvesY2rSGWJ3CNQcA20pEmM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ID#AAABuApmzso
Jonathan Ortiz    (2025-11-17 14:24:37)
USE THIS FORMULA FOR ROUND BAR ONLY</t>
      </text>
    </comment>
    <comment authorId="0" ref="N2">
      <text>
        <t xml:space="preserve">======
ID#AAABuApmzpo
Jonathan Ortiz    (2025-11-17 14:24:37)
Quoted Price Per Part.</t>
      </text>
    </comment>
    <comment authorId="0" ref="U17">
      <text>
        <t xml:space="preserve">======
ID#AAABuApmzpM
Jonathan Ortiz    (2025-11-17 14:24:37)
Quoted Price Per Part.</t>
      </text>
    </comment>
    <comment authorId="0" ref="N13">
      <text>
        <t xml:space="preserve">======
ID#AAABuApmzpQ
Jonathan Ortiz    (2025-11-17 14:24:37)
QUOTED PER PIECE PRICE</t>
      </text>
    </comment>
    <comment authorId="0" ref="B13">
      <text>
        <t xml:space="preserve">======
ID#AAABuApmzoA
Jonathan Ortiz    (2025-11-17 14:24:37)
ENTER MATERIAL DIAMETER HERE</t>
      </text>
    </comment>
    <comment authorId="0" ref="C13">
      <text>
        <t xml:space="preserve">======
ID#AAABuApmziQ
Jonathan Ortiz    (2025-11-17 14:24:37)
ENTER MATERIAL LENGTH HERE</t>
      </text>
    </comment>
    <comment authorId="0" ref="A9">
      <text>
        <t xml:space="preserve">======
ID#AAABuApmzgo
Jonathan Ortiz    (2025-11-17 14:24:37)
USE THIS FORMULA FOR FLATE PLATE, RECTANGLE BAR, SQUARE BAR.</t>
      </text>
    </comment>
    <comment authorId="0" ref="B2">
      <text>
        <t xml:space="preserve">======
ID#AAABuApmzdc
Jonathan Ortiz    (2025-11-17 14:24:37)
Insert Material Width here.</t>
      </text>
    </comment>
    <comment authorId="0" ref="B10">
      <text>
        <t xml:space="preserve">======
ID#AAABuApmzcA
Jonathan Ortiz    (2025-11-17 14:24:37)
Insert Material Width here.</t>
      </text>
    </comment>
    <comment authorId="0" ref="B4">
      <text>
        <t xml:space="preserve">======
ID#AAABuApmzZQ
Jonathan Ortiz    (2025-11-17 14:24:37)
USE THIS FORMULA FOR ROUND BAR ONLY</t>
      </text>
    </comment>
    <comment authorId="0" ref="C2">
      <text>
        <t xml:space="preserve">======
ID#AAABuApmzZU
Jonathan Ortiz    (2025-11-17 14:24:37)
Insert Material Length here.</t>
      </text>
    </comment>
    <comment authorId="0" ref="N10">
      <text>
        <t xml:space="preserve">======
ID#AAABuApmzYM
Jonathan Ortiz    (2025-11-17 14:24:37)
Quoted Price Per Part.</t>
      </text>
    </comment>
    <comment authorId="0" ref="C5">
      <text>
        <t xml:space="preserve">======
ID#AAABuApmzW0
Jonathan Ortiz    (2025-11-17 14:24:37)
ENTER MATERIAL LENGTH HERE</t>
      </text>
    </comment>
    <comment authorId="0" ref="C10">
      <text>
        <t xml:space="preserve">======
ID#AAABuApmzVI
Jonathan Ortiz    (2025-11-17 14:24:37)
Insert Material Length here.</t>
      </text>
    </comment>
    <comment authorId="0" ref="B5">
      <text>
        <t xml:space="preserve">======
ID#AAABuApmzUI
Jonathan Ortiz    (2025-11-17 14:24:37)
ENTER MATERIAL DIAMETER HERE</t>
      </text>
    </comment>
    <comment authorId="0" ref="A1">
      <text>
        <t xml:space="preserve">======
ID#AAABuApmzTY
Jonathan Ortiz    (2025-11-17 14:24:37)
USE THIS FORMULA FOR FLATE PLATE, RECTANGLE BAR, SQUARE BAR.</t>
      </text>
    </comment>
    <comment authorId="0" ref="A2">
      <text>
        <t xml:space="preserve">======
ID#AAABuApmzRA
Jonathan Ortiz    (2025-11-17 14:24:37)
Insert Material Thickness Here.</t>
      </text>
    </comment>
    <comment authorId="0" ref="N5">
      <text>
        <t xml:space="preserve">======
ID#AAABuApmzLU
Jonathan Ortiz    (2025-11-17 14:24:37)
QUOTED PER PIECE PRICE</t>
      </text>
    </comment>
    <comment authorId="0" ref="A10">
      <text>
        <t xml:space="preserve">======
ID#AAABuAk8jVQ
Jonathan Ortiz    (2025-11-17 14:24:37)
Insert Material Thickness Here.</t>
      </text>
    </comment>
  </commentList>
  <extLst>
    <ext uri="GoogleSheetsCustomDataVersion2">
      <go:sheetsCustomData xmlns:go="http://customooxmlschemas.google.com/" r:id="rId1" roundtripDataSignature="AMtx7miO4XsQms7UtqFBS+8zQRqchacsA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ID#AAABuApmzs8
Jonathan Ortiz    (2025-11-17 14:24:37)
USE THIS FORMULA FOR ROUND BAR ONLY</t>
      </text>
    </comment>
    <comment authorId="0" ref="N6">
      <text>
        <t xml:space="preserve">======
ID#AAABuApmzqQ
Jonathan Ortiz    (2025-11-17 14:24:37)
QUOTED PER PIECE PRICE</t>
      </text>
    </comment>
    <comment authorId="0" ref="N2">
      <text>
        <t xml:space="preserve">======
ID#AAABuApmzmY
Jonathan Ortiz    (2025-11-17 14:24:37)
Quoted Price Per Part.</t>
      </text>
    </comment>
    <comment authorId="0" ref="A1">
      <text>
        <t xml:space="preserve">======
ID#AAABuApmzmE
Jonathan Ortiz    (2025-11-17 14:24:37)
USE THIS FORMULA FOR FLATE PLATE, RECTANGLE BAR, SQUARE BAR.</t>
      </text>
    </comment>
    <comment authorId="0" ref="B6">
      <text>
        <t xml:space="preserve">======
ID#AAABuApmzk4
Jonathan Ortiz    (2025-11-17 14:24:37)
ENTER MATERIAL DIAMETER HERE</t>
      </text>
    </comment>
    <comment authorId="0" ref="B2">
      <text>
        <t xml:space="preserve">======
ID#AAABuApmzkY
Jonathan Ortiz    (2025-11-17 14:24:37)
Insert Material Width here.</t>
      </text>
    </comment>
    <comment authorId="0" ref="C2">
      <text>
        <t xml:space="preserve">======
ID#AAABuApmzXk
Jonathan Ortiz    (2025-11-17 14:24:37)
Insert Material Length here.</t>
      </text>
    </comment>
    <comment authorId="0" ref="A2">
      <text>
        <t xml:space="preserve">======
ID#AAABuApmzTg
Jonathan Ortiz    (2025-11-17 14:24:37)
Insert Material Thickness Here.</t>
      </text>
    </comment>
    <comment authorId="0" ref="C6">
      <text>
        <t xml:space="preserve">======
ID#AAABuApmzK4
Jonathan Ortiz    (2025-11-17 14:24:37)
ENTER MATERIAL LENGTH HERE</t>
      </text>
    </comment>
  </commentList>
  <extLst>
    <ext uri="GoogleSheetsCustomDataVersion2">
      <go:sheetsCustomData xmlns:go="http://customooxmlschemas.google.com/" r:id="rId1" roundtripDataSignature="AMtx7mhRK8tTTaZx6LClpObqIBjGNB6iB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ID#AAABuApmzuc
Jonathan Ortiz    (2025-11-17 14:24:37)
Insert Material Width here.</t>
      </text>
    </comment>
    <comment authorId="0" ref="C16">
      <text>
        <t xml:space="preserve">======
ID#AAABuApmzuI
Jonathan Ortiz    (2025-11-17 14:24:37)
Insert Material Length here.</t>
      </text>
    </comment>
    <comment authorId="0" ref="A12">
      <text>
        <t xml:space="preserve">======
ID#AAABuApmzpY
Jonathan Ortiz    (2025-11-17 14:24:37)
Insert Material Thickness Here.</t>
      </text>
    </comment>
    <comment authorId="0" ref="C7">
      <text>
        <t xml:space="preserve">======
ID#AAABuApmzow
Jonathan Ortiz    (2025-11-17 14:24:37)
Insert Material Length here.</t>
      </text>
    </comment>
    <comment authorId="0" ref="N3">
      <text>
        <t xml:space="preserve">======
ID#AAABuApmzno
Jonathan Ortiz    (2025-11-17 14:24:37)
Quoted Price Per Part.</t>
      </text>
    </comment>
    <comment authorId="0" ref="A16">
      <text>
        <t xml:space="preserve">======
ID#AAABuApmznI
Jonathan Ortiz    (2025-11-17 14:24:37)
Insert Material Thickness Here.</t>
      </text>
    </comment>
    <comment authorId="0" ref="C12">
      <text>
        <t xml:space="preserve">======
ID#AAABuApmzl4
Jonathan Ortiz    (2025-11-17 14:24:37)
Insert Material Length here.</t>
      </text>
    </comment>
    <comment authorId="0" ref="A3">
      <text>
        <t xml:space="preserve">======
ID#AAABuApmzhg
Jonathan Ortiz    (2025-11-17 14:24:37)
Insert Material Thickness Here.</t>
      </text>
    </comment>
    <comment authorId="0" ref="B26">
      <text>
        <t xml:space="preserve">======
ID#AAABuApmzhI
Jonathan Ortiz    (2025-11-17 14:24:37)
ENTER MATERIAL LENGTH HERE</t>
      </text>
    </comment>
    <comment authorId="0" ref="A26">
      <text>
        <t xml:space="preserve">======
ID#AAABuApmzgY
Jonathan Ortiz    (2025-11-17 14:24:37)
ENTER MATERIAL DIAMETER HERE</t>
      </text>
    </comment>
    <comment authorId="0" ref="A25">
      <text>
        <t xml:space="preserve">======
ID#AAABuApmzgc
Jonathan Ortiz    (2025-11-17 14:24:37)
USE THIS FORMULA FOR ROUND BAR ONLY</t>
      </text>
    </comment>
    <comment authorId="0" ref="A7">
      <text>
        <t xml:space="preserve">======
ID#AAABuApmzes
Jonathan Ortiz    (2025-11-17 14:24:37)
Insert Material Thickness Here.</t>
      </text>
    </comment>
    <comment authorId="0" ref="N7">
      <text>
        <t xml:space="preserve">======
ID#AAABuApmzbM
Jonathan Ortiz    (2025-11-17 14:24:37)
Quoted Price Per Part.</t>
      </text>
    </comment>
    <comment authorId="0" ref="A11">
      <text>
        <t xml:space="preserve">======
ID#AAABuApmzaw
Jonathan Ortiz    (2025-11-17 14:24:37)
USE THIS FORMULA FOR FLATE PLATE, RECTANGLE BAR, SQUARE BAR.</t>
      </text>
    </comment>
    <comment authorId="0" ref="B3">
      <text>
        <t xml:space="preserve">======
ID#AAABuApmzaQ
Jonathan Ortiz    (2025-11-17 14:24:37)
Insert Material Width here.</t>
      </text>
    </comment>
    <comment authorId="0" ref="P26">
      <text>
        <t xml:space="preserve">======
ID#AAABuApmzYw
Jonathan Ortiz    (2025-11-17 14:24:37)
QUOTED PER PIECE PRICE</t>
      </text>
    </comment>
    <comment authorId="0" ref="A6">
      <text>
        <t xml:space="preserve">======
ID#AAABuApmzYo
Jonathan Ortiz    (2025-11-17 14:24:37)
USE THIS FORMULA FOR FLATE PLATE, RECTANGLE BAR, SQUARE BAR.</t>
      </text>
    </comment>
    <comment authorId="0" ref="C3">
      <text>
        <t xml:space="preserve">======
ID#AAABuApmzWw
Jonathan Ortiz    (2025-11-17 14:24:37)
Insert Material Length here.</t>
      </text>
    </comment>
    <comment authorId="0" ref="B12">
      <text>
        <t xml:space="preserve">======
ID#AAABuApmzWE
Jonathan Ortiz    (2025-11-17 14:24:37)
Insert Material Width here.</t>
      </text>
    </comment>
    <comment authorId="0" ref="N16">
      <text>
        <t xml:space="preserve">======
ID#AAABuApmzT4
Jonathan Ortiz    (2025-11-17 14:24:37)
Quoted Price Per Part.</t>
      </text>
    </comment>
    <comment authorId="0" ref="A15">
      <text>
        <t xml:space="preserve">======
ID#AAABuApmzTc
Jonathan Ortiz    (2025-11-17 14:24:37)
USE THIS FORMULA FOR FLATE PLATE, RECTANGLE BAR, SQUARE BAR.</t>
      </text>
    </comment>
    <comment authorId="0" ref="A2">
      <text>
        <t xml:space="preserve">======
ID#AAABuApmzS8
Jonathan Ortiz    (2025-11-17 14:24:37)
USE THIS FORMULA FOR FLATE PLATE, RECTANGLE BAR, SQUARE BAR.</t>
      </text>
    </comment>
    <comment authorId="0" ref="B16">
      <text>
        <t xml:space="preserve">======
ID#AAABuAk8jW8
Jonathan Ortiz    (2025-11-17 14:24:37)
Insert Material Width here.</t>
      </text>
    </comment>
    <comment authorId="0" ref="N12">
      <text>
        <t xml:space="preserve">======
ID#AAABuAk8jVc
Jonathan Ortiz    (2025-11-17 14:24:37)
Quoted Price Per Part.</t>
      </text>
    </comment>
  </commentList>
  <extLst>
    <ext uri="GoogleSheetsCustomDataVersion2">
      <go:sheetsCustomData xmlns:go="http://customooxmlschemas.google.com/" r:id="rId1" roundtripDataSignature="AMtx7mgHjv0XVHEzrS1px3sM8BnGlKjqfg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ID#AAABuApmztA
Jonathan Ortiz    (2025-11-17 14:24:37)
Insert Material Length here.</t>
      </text>
    </comment>
    <comment authorId="0" ref="B15">
      <text>
        <t xml:space="preserve">======
ID#AAABuApmzqw
Jonathan Ortiz    (2025-11-17 14:24:37)
Insert Material Width here.</t>
      </text>
    </comment>
    <comment authorId="0" ref="A15">
      <text>
        <t xml:space="preserve">======
ID#AAABuApmzqg
Jonathan Ortiz    (2025-11-17 14:24:37)
Insert Material Thickness Here.</t>
      </text>
    </comment>
    <comment authorId="0" ref="A11">
      <text>
        <t xml:space="preserve">======
ID#AAABuApmzqM
Jonathan Ortiz    (2025-11-17 14:24:37)
Insert Material Thickness Here.</t>
      </text>
    </comment>
    <comment authorId="0" ref="N6">
      <text>
        <t xml:space="preserve">======
ID#AAABuApmzlw
Jonathan Ortiz    (2025-11-17 14:24:37)
Quoted Price Per Part.</t>
      </text>
    </comment>
    <comment authorId="0" ref="N15">
      <text>
        <t xml:space="preserve">======
ID#AAABuApmzlc
Jonathan Ortiz    (2025-11-17 14:24:37)
Quoted Price Per Part.</t>
      </text>
    </comment>
    <comment authorId="0" ref="A14">
      <text>
        <t xml:space="preserve">======
ID#AAABuApmzkc
Jonathan Ortiz    (2025-11-17 14:24:37)
USE THIS FORMULA FOR FLATE PLATE, RECTANGLE BAR, SQUARE BAR.</t>
      </text>
    </comment>
    <comment authorId="0" ref="C2">
      <text>
        <t xml:space="preserve">======
ID#AAABuApmzjw
Jonathan Ortiz    (2025-11-17 14:24:37)
Insert Material Length here.</t>
      </text>
    </comment>
    <comment authorId="0" ref="N2">
      <text>
        <t xml:space="preserve">======
ID#AAABuApmzjY
Jonathan Ortiz    (2025-11-17 14:24:37)
Quoted Price Per Part.</t>
      </text>
    </comment>
    <comment authorId="0" ref="C11">
      <text>
        <t xml:space="preserve">======
ID#AAABuApmzi4
Jonathan Ortiz    (2025-11-17 14:24:37)
Insert Material Length here.</t>
      </text>
    </comment>
    <comment authorId="0" ref="C6">
      <text>
        <t xml:space="preserve">======
ID#AAABuApmziY
Jonathan Ortiz    (2025-11-17 14:24:37)
Insert Material Length here.</t>
      </text>
    </comment>
    <comment authorId="0" ref="A1">
      <text>
        <t xml:space="preserve">======
ID#AAABuApmzdw
Jonathan Ortiz    (2025-11-17 14:24:37)
USE THIS FORMULA FOR FLATE PLATE, RECTANGLE BAR, SQUARE BAR.</t>
      </text>
    </comment>
    <comment authorId="0" ref="N11">
      <text>
        <t xml:space="preserve">======
ID#AAABuApmzcE
Jonathan Ortiz    (2025-11-17 14:24:37)
Quoted Price Per Part.</t>
      </text>
    </comment>
    <comment authorId="0" ref="B25">
      <text>
        <t xml:space="preserve">======
ID#AAABuApmzbo
Jonathan Ortiz    (2025-11-17 14:24:37)
ENTER MATERIAL LENGTH HERE</t>
      </text>
    </comment>
    <comment authorId="0" ref="B11">
      <text>
        <t xml:space="preserve">======
ID#AAABuApmzYI
Jonathan Ortiz    (2025-11-17 14:24:37)
Insert Material Width here.</t>
      </text>
    </comment>
    <comment authorId="0" ref="M25">
      <text>
        <t xml:space="preserve">======
ID#AAABuApmzX0
Jonathan Ortiz    (2025-11-17 14:24:37)
QUOTED PER PIECE PRICE</t>
      </text>
    </comment>
    <comment authorId="0" ref="A6">
      <text>
        <t xml:space="preserve">======
ID#AAABuApmzXg
Jonathan Ortiz    (2025-11-17 14:24:37)
Insert Material Thickness Here.</t>
      </text>
    </comment>
    <comment authorId="0" ref="B6">
      <text>
        <t xml:space="preserve">======
ID#AAABuApmzVE
Jonathan Ortiz    (2025-11-17 14:24:37)
Insert Material Width here.</t>
      </text>
    </comment>
    <comment authorId="0" ref="A10">
      <text>
        <t xml:space="preserve">======
ID#AAABuApmzUQ
Jonathan Ortiz    (2025-11-17 14:24:37)
USE THIS FORMULA FOR FLATE PLATE, RECTANGLE BAR, SQUARE BAR.</t>
      </text>
    </comment>
    <comment authorId="0" ref="A5">
      <text>
        <t xml:space="preserve">======
ID#AAABuApmzLg
Jonathan Ortiz    (2025-11-17 14:24:37)
USE THIS FORMULA FOR FLATE PLATE, RECTANGLE BAR, SQUARE BAR.</t>
      </text>
    </comment>
    <comment authorId="0" ref="A2">
      <text>
        <t xml:space="preserve">======
ID#AAABuAk8jVk
Jonathan Ortiz    (2025-11-17 14:24:37)
Insert Material Thickness Here.</t>
      </text>
    </comment>
    <comment authorId="0" ref="A24">
      <text>
        <t xml:space="preserve">======
ID#AAABwLdDBIc
Jonathan Ortiz    (2025-11-17 14:24:37)
USE THIS FORMULA FOR ROUND BAR ONLY</t>
      </text>
    </comment>
    <comment authorId="0" ref="B2">
      <text>
        <t xml:space="preserve">======
ID#AAABwLdDBIE
Jonathan Ortiz    (2025-11-17 14:24:37)
Insert Material Width here.</t>
      </text>
    </comment>
    <comment authorId="0" ref="A25">
      <text>
        <t xml:space="preserve">======
ID#AAABwLdDBH8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gkL4gUFSAJzfbuQ8hSQCgWai88v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ID#AAABuApmzuE
Jonathan Ortiz    (2025-11-17 14:24:37)
USE THIS FORMULA FOR ROUND BAR ONLY</t>
      </text>
    </comment>
    <comment authorId="0" ref="A2">
      <text>
        <t xml:space="preserve">======
ID#AAABuApmzlo
Jonathan Ortiz    (2025-11-17 14:24:37)
Insert Material Thickness Here.</t>
      </text>
    </comment>
    <comment authorId="0" ref="A1">
      <text>
        <t xml:space="preserve">======
ID#AAABuApmzjc
Jonathan Ortiz    (2025-11-17 14:24:37)
USE THIS FORMULA FOR FLATE PLATE, RECTANGLE BAR, SQUARE BAR.</t>
      </text>
    </comment>
    <comment authorId="0" ref="C2">
      <text>
        <t xml:space="preserve">======
ID#AAABuApmzbY
Jonathan Ortiz    (2025-11-17 14:24:37)
Insert Material Length here.</t>
      </text>
    </comment>
    <comment authorId="0" ref="N6">
      <text>
        <t xml:space="preserve">======
ID#AAABuApmzYg
Jonathan Ortiz    (2025-11-17 14:24:37)
QUOTED PER PIECE PRICE</t>
      </text>
    </comment>
    <comment authorId="0" ref="C6">
      <text>
        <t xml:space="preserve">======
ID#AAABuApmzVs
Jonathan Ortiz    (2025-11-17 14:24:37)
ENTER MATERIAL LENGTH HERE</t>
      </text>
    </comment>
    <comment authorId="0" ref="B2">
      <text>
        <t xml:space="preserve">======
ID#AAABuApmzUA
Jonathan Ortiz    (2025-11-17 14:24:37)
Insert Material Width here.</t>
      </text>
    </comment>
    <comment authorId="0" ref="N2">
      <text>
        <t xml:space="preserve">======
ID#AAABuAk8jWs
Jonathan Ortiz    (2025-11-17 14:24:37)
Quoted Price Per Part.</t>
      </text>
    </comment>
    <comment authorId="0" ref="B6">
      <text>
        <t xml:space="preserve">======
ID#AAABwLdDBII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jN+ODJXwDZejqHC70W0o9o2eBFYQ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5">
      <text>
        <t xml:space="preserve">======
ID#AAABuApmztE
Jonathan Ortiz    (2025-11-17 14:24:37)
QUOTED PER PIECE PRICE</t>
      </text>
    </comment>
    <comment authorId="0" ref="B4">
      <text>
        <t xml:space="preserve">======
ID#AAABuApmzrw
Jonathan Ortiz    (2025-11-17 14:24:37)
USE THIS FORMULA FOR ROUND BAR ONLY</t>
      </text>
    </comment>
    <comment authorId="0" ref="C5">
      <text>
        <t xml:space="preserve">======
ID#AAABuApmzoY
Jonathan Ortiz    (2025-11-17 14:24:37)
ENTER MATERIAL LENGTH HERE</t>
      </text>
    </comment>
    <comment authorId="0" ref="B2">
      <text>
        <t xml:space="preserve">======
ID#AAABuApmzms
Jonathan Ortiz    (2025-11-17 14:24:37)
Insert Material Width here.</t>
      </text>
    </comment>
    <comment authorId="0" ref="A2">
      <text>
        <t xml:space="preserve">======
ID#AAABuApmziU
Jonathan Ortiz    (2025-11-17 14:24:37)
Insert Material Thickness Here.</t>
      </text>
    </comment>
    <comment authorId="0" ref="N13">
      <text>
        <t xml:space="preserve">======
ID#AAABuApmzhE
Jonathan Ortiz    (2025-11-17 14:24:37)
QUOTED PER PIECE PRICE</t>
      </text>
    </comment>
    <comment authorId="0" ref="A1">
      <text>
        <t xml:space="preserve">======
ID#AAABuApmzeA
Jonathan Ortiz    (2025-11-17 14:24:37)
USE THIS FORMULA FOR FLATE PLATE, RECTANGLE BAR, SQUARE BAR.</t>
      </text>
    </comment>
    <comment authorId="0" ref="B13">
      <text>
        <t xml:space="preserve">======
ID#AAABuApmzdg
Jonathan Ortiz    (2025-11-17 14:24:37)
ENTER MATERIAL DIAMETER HERE</t>
      </text>
    </comment>
    <comment authorId="0" ref="N2">
      <text>
        <t xml:space="preserve">======
ID#AAABuApmzcg
Jonathan Ortiz    (2025-11-17 14:24:37)
Quoted Price Per Part.</t>
      </text>
    </comment>
    <comment authorId="0" ref="A10">
      <text>
        <t xml:space="preserve">======
ID#AAABuApmzaY
Jonathan Ortiz    (2025-11-17 14:24:37)
Insert Material Thickness Here.</t>
      </text>
    </comment>
    <comment authorId="0" ref="C10">
      <text>
        <t xml:space="preserve">======
ID#AAABuApmzaE
Jonathan Ortiz    (2025-11-17 14:24:37)
Insert Material Length here.</t>
      </text>
    </comment>
    <comment authorId="0" ref="B5">
      <text>
        <t xml:space="preserve">======
ID#AAABuApmzSg
Jonathan Ortiz    (2025-11-17 14:24:37)
ENTER MATERIAL DIAMETER HERE</t>
      </text>
    </comment>
    <comment authorId="0" ref="B10">
      <text>
        <t xml:space="preserve">======
ID#AAABuApmzSI
Jonathan Ortiz    (2025-11-17 14:24:37)
Insert Material Width here.</t>
      </text>
    </comment>
    <comment authorId="0" ref="C2">
      <text>
        <t xml:space="preserve">======
ID#AAABuApmzRg
Jonathan Ortiz    (2025-11-17 14:24:37)
Insert Material Length here.</t>
      </text>
    </comment>
    <comment authorId="0" ref="C13">
      <text>
        <t xml:space="preserve">======
ID#AAABuApmzLM
Jonathan Ortiz    (2025-11-17 14:24:37)
ENTER MATERIAL LENGTH HERE</t>
      </text>
    </comment>
    <comment authorId="0" ref="N10">
      <text>
        <t xml:space="preserve">======
ID#AAABuApmzKg
Jonathan Ortiz    (2025-11-17 14:24:37)
Quoted Price Per Part.</t>
      </text>
    </comment>
    <comment authorId="0" ref="B12">
      <text>
        <t xml:space="preserve">======
ID#AAABwLdDBIo
Jonathan Ortiz    (2025-11-17 14:24:37)
USE THIS FORMULA FOR ROUND BAR ONLY</t>
      </text>
    </comment>
    <comment authorId="0" ref="A9">
      <text>
        <t xml:space="preserve">======
ID#AAABwLdDBIM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gHM+fLwBB3QBEjtgfz2tjr/0Lrq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ID#AAABuApmzsQ
Jonathan Ortiz    (2025-11-17 14:24:37)
Quoted Price Per Part.</t>
      </text>
    </comment>
    <comment authorId="0" ref="B2">
      <text>
        <t xml:space="preserve">======
ID#AAABuApmzpg
Jonathan Ortiz    (2025-11-17 14:24:37)
Insert Material Width here.</t>
      </text>
    </comment>
    <comment authorId="0" ref="N2">
      <text>
        <t xml:space="preserve">======
ID#AAABuApmzhQ
Jonathan Ortiz    (2025-11-17 14:24:37)
Quoted Price Per Part.</t>
      </text>
    </comment>
    <comment authorId="0" ref="C2">
      <text>
        <t xml:space="preserve">======
ID#AAABuApmzg0
Jonathan Ortiz    (2025-11-17 14:24:37)
Insert Material Length here.</t>
      </text>
    </comment>
    <comment authorId="0" ref="A2">
      <text>
        <t xml:space="preserve">======
ID#AAABuApmzUg
Jonathan Ortiz    (2025-11-17 14:24:37)
Insert Material Thickness Here.</t>
      </text>
    </comment>
    <comment authorId="0" ref="A1">
      <text>
        <t xml:space="preserve">======
ID#AAABuApmzRw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gZ7X4Dn1FMesUQfoyVKkxn0BacC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ID#AAABuApmzqo
Jonathan Ortiz    (2025-11-17 14:24:37)
ENTER MATERIAL DIAMETER HERE</t>
      </text>
    </comment>
    <comment authorId="0" ref="A1">
      <text>
        <t xml:space="preserve">======
ID#AAABuApmzpE
Jonathan Ortiz    (2025-11-17 14:24:37)
USE THIS FORMULA FOR FLATE PLATE, RECTANGLE BAR, SQUARE BAR.</t>
      </text>
    </comment>
    <comment authorId="0" ref="B4">
      <text>
        <t xml:space="preserve">======
ID#AAABuApmzkQ
Jonathan Ortiz    (2025-11-17 14:24:37)
USE THIS FORMULA FOR ROUND BAR ONLY</t>
      </text>
    </comment>
    <comment authorId="0" ref="A10">
      <text>
        <t xml:space="preserve">======
ID#AAABuApmzkU
Jonathan Ortiz    (2025-11-17 14:24:37)
Insert Material Thickness Here.</t>
      </text>
    </comment>
    <comment authorId="0" ref="N2">
      <text>
        <t xml:space="preserve">======
ID#AAABuApmzj8
Jonathan Ortiz    (2025-11-17 14:24:37)
Quoted Price Per Part.</t>
      </text>
    </comment>
    <comment authorId="0" ref="B2">
      <text>
        <t xml:space="preserve">======
ID#AAABuApmzjE
Jonathan Ortiz    (2025-11-17 14:24:37)
Insert Material Width here.</t>
      </text>
    </comment>
    <comment authorId="0" ref="C13">
      <text>
        <t xml:space="preserve">======
ID#AAABuApmzi8
Jonathan Ortiz    (2025-11-17 14:24:37)
ENTER MATERIAL LENGTH HERE</t>
      </text>
    </comment>
    <comment authorId="0" ref="B10">
      <text>
        <t xml:space="preserve">======
ID#AAABuApmziA
Jonathan Ortiz    (2025-11-17 14:24:37)
Insert Material Width here.</t>
      </text>
    </comment>
    <comment authorId="0" ref="A2">
      <text>
        <t xml:space="preserve">======
ID#AAABuApmzhc
Jonathan Ortiz    (2025-11-17 14:24:37)
Insert Material Thickness Here.</t>
      </text>
    </comment>
    <comment authorId="0" ref="B12">
      <text>
        <t xml:space="preserve">======
ID#AAABuApmzc0
Jonathan Ortiz    (2025-11-17 14:24:37)
USE THIS FORMULA FOR ROUND BAR ONLY</t>
      </text>
    </comment>
    <comment authorId="0" ref="C10">
      <text>
        <t xml:space="preserve">======
ID#AAABuApmzcY
Jonathan Ortiz    (2025-11-17 14:24:37)
Insert Material Length here.</t>
      </text>
    </comment>
    <comment authorId="0" ref="C5">
      <text>
        <t xml:space="preserve">======
ID#AAABuApmzbc
Jonathan Ortiz    (2025-11-17 14:24:37)
ENTER MATERIAL LENGTH HERE</t>
      </text>
    </comment>
    <comment authorId="0" ref="N5">
      <text>
        <t xml:space="preserve">======
ID#AAABuApmzXs
Jonathan Ortiz    (2025-11-17 14:24:37)
QUOTED PER PIECE PRICE</t>
      </text>
    </comment>
    <comment authorId="0" ref="N13">
      <text>
        <t xml:space="preserve">======
ID#AAABuApmzUw
Jonathan Ortiz    (2025-11-17 14:24:37)
QUOTED PER PIECE PRICE</t>
      </text>
    </comment>
    <comment authorId="0" ref="A9">
      <text>
        <t xml:space="preserve">======
ID#AAABuApmzUE
Jonathan Ortiz    (2025-11-17 14:24:37)
USE THIS FORMULA FOR FLATE PLATE, RECTANGLE BAR, SQUARE BAR.</t>
      </text>
    </comment>
    <comment authorId="0" ref="N10">
      <text>
        <t xml:space="preserve">======
ID#AAABuApmzRc
Jonathan Ortiz    (2025-11-17 14:24:37)
Quoted Price Per Part.</t>
      </text>
    </comment>
    <comment authorId="0" ref="C2">
      <text>
        <t xml:space="preserve">======
ID#AAABuAk8jWw
Jonathan Ortiz    (2025-11-17 14:24:37)
Insert Material Length here.</t>
      </text>
    </comment>
    <comment authorId="0" ref="B13">
      <text>
        <t xml:space="preserve">======
ID#AAABwLdDBIU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ggNtLjnIY6fx0u+ggM/a97r+emzw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ID#AAABuApmzuk
Jonathan Ortiz    (2025-11-17 14:24:37)
Insert Material Length here.</t>
      </text>
    </comment>
    <comment authorId="0" ref="B10">
      <text>
        <t xml:space="preserve">======
ID#AAABuApmzts
Jonathan Ortiz    (2025-11-17 14:24:37)
Insert Material Width here.</t>
      </text>
    </comment>
    <comment authorId="0" ref="A2">
      <text>
        <t xml:space="preserve">======
ID#AAABuApmzn8
Jonathan Ortiz    (2025-11-17 14:24:37)
Insert Material Thickness Here.</t>
      </text>
    </comment>
    <comment authorId="0" ref="B13">
      <text>
        <t xml:space="preserve">======
ID#AAABuApmznw
Jonathan Ortiz    (2025-11-17 14:24:37)
ENTER MATERIAL DIAMETER HERE</t>
      </text>
    </comment>
    <comment authorId="0" ref="B5">
      <text>
        <t xml:space="preserve">======
ID#AAABuApmzns
Jonathan Ortiz    (2025-11-17 14:24:37)
ENTER MATERIAL DIAMETER HERE</t>
      </text>
    </comment>
    <comment authorId="0" ref="N5">
      <text>
        <t xml:space="preserve">======
ID#AAABuApmznY
Jonathan Ortiz    (2025-11-17 14:24:37)
QUOTED PER PIECE PRICE</t>
      </text>
    </comment>
    <comment authorId="0" ref="B4">
      <text>
        <t xml:space="preserve">======
ID#AAABuApmzj4
Jonathan Ortiz    (2025-11-17 14:24:37)
USE THIS FORMULA FOR ROUND BAR ONLY</t>
      </text>
    </comment>
    <comment authorId="0" ref="C13">
      <text>
        <t xml:space="preserve">======
ID#AAABuApmzhs
Jonathan Ortiz    (2025-11-17 14:24:37)
ENTER MATERIAL LENGTH HERE</t>
      </text>
    </comment>
    <comment authorId="0" ref="A9">
      <text>
        <t xml:space="preserve">======
ID#AAABuApmzgQ
Jonathan Ortiz    (2025-11-17 14:24:37)
USE THIS FORMULA FOR FLATE PLATE, RECTANGLE BAR, SQUARE BAR.</t>
      </text>
    </comment>
    <comment authorId="0" ref="N10">
      <text>
        <t xml:space="preserve">======
ID#AAABuApmzgE
Jonathan Ortiz    (2025-11-17 14:24:37)
Quoted Price Per Part.</t>
      </text>
    </comment>
    <comment authorId="0" ref="A1">
      <text>
        <t xml:space="preserve">======
ID#AAABuApmzfA
Jonathan Ortiz    (2025-11-17 14:24:37)
USE THIS FORMULA FOR FLATE PLATE, RECTANGLE BAR, SQUARE BAR.</t>
      </text>
    </comment>
    <comment authorId="0" ref="N2">
      <text>
        <t xml:space="preserve">======
ID#AAABuApmzfI
Jonathan Ortiz    (2025-11-17 14:24:37)
Quoted Price Per Part.</t>
      </text>
    </comment>
    <comment authorId="0" ref="C5">
      <text>
        <t xml:space="preserve">======
ID#AAABuApmzck
Jonathan Ortiz    (2025-11-17 14:24:37)
ENTER MATERIAL LENGTH HERE</t>
      </text>
    </comment>
    <comment authorId="0" ref="A10">
      <text>
        <t xml:space="preserve">======
ID#AAABuApmzbk
Jonathan Ortiz    (2025-11-17 14:24:37)
Insert Material Thickness Here.</t>
      </text>
    </comment>
    <comment authorId="0" ref="C10">
      <text>
        <t xml:space="preserve">======
ID#AAABuApmzUk
Jonathan Ortiz    (2025-11-17 14:24:37)
Insert Material Length here.</t>
      </text>
    </comment>
    <comment authorId="0" ref="N13">
      <text>
        <t xml:space="preserve">======
ID#AAABuApmzSQ
Jonathan Ortiz    (2025-11-17 14:24:37)
QUOTED PER PIECE PRICE</t>
      </text>
    </comment>
    <comment authorId="0" ref="B2">
      <text>
        <t xml:space="preserve">======
ID#AAABuApmzR4
Jonathan Ortiz    (2025-11-17 14:24:37)
Insert Material Width here.</t>
      </text>
    </comment>
    <comment authorId="0" ref="B12">
      <text>
        <t xml:space="preserve">======
ID#AAABuApmzLk
Jonathan Ortiz    (2025-11-17 14:24:37)
USE THIS FORMULA FOR ROUND BAR ONLY</t>
      </text>
    </comment>
  </commentList>
  <extLst>
    <ext uri="GoogleSheetsCustomDataVersion2">
      <go:sheetsCustomData xmlns:go="http://customooxmlschemas.google.com/" r:id="rId1" roundtripDataSignature="AMtx7miAaJEADgw5EQ0X2Is0ySmCG+kEEQ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ID#AAABuApmzn0
Jonathan Ortiz    (2025-11-17 14:24:37)
USE THIS FORMULA FOR FLATE PLATE, RECTANGLE BAR, SQUARE BAR.</t>
      </text>
    </comment>
    <comment authorId="0" ref="B5">
      <text>
        <t xml:space="preserve">======
ID#AAABuApmznM
Jonathan Ortiz    (2025-11-17 14:24:37)
USE THIS FORMULA FOR ROUND BAR ONLY</t>
      </text>
    </comment>
    <comment authorId="0" ref="B2">
      <text>
        <t xml:space="preserve">======
ID#AAABuApmzig
Jonathan Ortiz    (2025-11-17 14:24:37)
Insert Material Width here.</t>
      </text>
    </comment>
    <comment authorId="0" ref="N2">
      <text>
        <t xml:space="preserve">======
ID#AAABuApmzhM
Jonathan Ortiz    (2025-11-17 14:24:37)
Quoted Price Per Part.</t>
      </text>
    </comment>
    <comment authorId="0" ref="C6">
      <text>
        <t xml:space="preserve">======
ID#AAABuApmzgI
Jonathan Ortiz    (2025-11-17 14:24:37)
ENTER MATERIAL LENGTH HERE</t>
      </text>
    </comment>
    <comment authorId="0" ref="A2">
      <text>
        <t xml:space="preserve">======
ID#AAABuApmzeE
Jonathan Ortiz    (2025-11-17 14:24:37)
Insert Material Thickness Here.</t>
      </text>
    </comment>
    <comment authorId="0" ref="B6">
      <text>
        <t xml:space="preserve">======
ID#AAABuApmzLs
Jonathan Ortiz    (2025-11-17 14:24:37)
ENTER MATERIAL DIAMETER HERE</t>
      </text>
    </comment>
    <comment authorId="0" ref="C2">
      <text>
        <t xml:space="preserve">======
ID#AAABuAk8jWE
Jonathan Ortiz    (2025-11-17 14:24:37)
Insert Material Length here.</t>
      </text>
    </comment>
    <comment authorId="0" ref="N6">
      <text>
        <t xml:space="preserve">======
ID#AAABuAk8jVY
Jonathan Ortiz    (2025-11-17 14:24:37)
QUOTED PER PIECE PRICE</t>
      </text>
    </comment>
  </commentList>
  <extLst>
    <ext uri="GoogleSheetsCustomDataVersion2">
      <go:sheetsCustomData xmlns:go="http://customooxmlschemas.google.com/" r:id="rId1" roundtripDataSignature="AMtx7mj0cnru1SKiCDXxOB/RUjgtynVm1w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======
ID#AAABuApmzuA
Jonathan Ortiz    (2025-11-17 14:24:37)
QUOTED PER PIECE PRICE</t>
      </text>
    </comment>
    <comment authorId="0" ref="G2">
      <text>
        <t xml:space="preserve">======
ID#AAABuApmztk
Jonathan Ortiz    (2025-11-17 14:24:37)
ENTER MATERIAL LENGTH HERE</t>
      </text>
    </comment>
    <comment authorId="0" ref="F1">
      <text>
        <t xml:space="preserve">======
ID#AAABuApmzXI
Jonathan Ortiz    (2025-11-17 14:24:37)
USE THIS FORMULA FOR ROUND BAR ONLY</t>
      </text>
    </comment>
    <comment authorId="0" ref="F2">
      <text>
        <t xml:space="preserve">======
ID#AAABuApmzK8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gENHQTJr622rTuZLtf5/ydetImZg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ID#AAABuApmzt4
Jonathan Ortiz    (2025-11-17 14:24:37)
ENTER MATERIAL DIAMETER HERE</t>
      </text>
    </comment>
    <comment authorId="0" ref="A2">
      <text>
        <t xml:space="preserve">======
ID#AAABuApmzro
Jonathan Ortiz    (2025-11-17 14:24:37)
Insert Material Thickness Here.</t>
      </text>
    </comment>
    <comment authorId="0" ref="B5">
      <text>
        <t xml:space="preserve">======
ID#AAABuApmzrk
Jonathan Ortiz    (2025-11-17 14:24:37)
Insert Material Width here.</t>
      </text>
    </comment>
    <comment authorId="0" ref="B8">
      <text>
        <t xml:space="preserve">======
ID#AAABuApmzpc
Jonathan Ortiz    (2025-11-17 14:24:37)
USE THIS FORMULA FOR ROUND BAR ONLY</t>
      </text>
    </comment>
    <comment authorId="0" ref="A5">
      <text>
        <t xml:space="preserve">======
ID#AAABuApmzoc
Jonathan Ortiz    (2025-11-17 14:24:37)
Insert Material Thickness Here.</t>
      </text>
    </comment>
    <comment authorId="0" ref="C2">
      <text>
        <t xml:space="preserve">======
ID#AAABuApmzoE
Jonathan Ortiz    (2025-11-17 14:24:37)
Insert Material Length here.</t>
      </text>
    </comment>
    <comment authorId="0" ref="B2">
      <text>
        <t xml:space="preserve">======
ID#AAABuApmzoM
Jonathan Ortiz    (2025-11-17 14:24:37)
Insert Material Width here.</t>
      </text>
    </comment>
    <comment authorId="0" ref="N9">
      <text>
        <t xml:space="preserve">======
ID#AAABuApmzm8
Jonathan Ortiz    (2025-11-17 14:24:37)
QUOTED PER PIECE PRICE</t>
      </text>
    </comment>
    <comment authorId="0" ref="N2">
      <text>
        <t xml:space="preserve">======
ID#AAABuApmzkk
Jonathan Ortiz    (2025-11-17 14:24:37)
Quoted Price Per Part.</t>
      </text>
    </comment>
    <comment authorId="0" ref="C9">
      <text>
        <t xml:space="preserve">======
ID#AAABuApmzaI
Jonathan Ortiz    (2025-11-17 14:24:37)
ENTER MATERIAL LENGTH HERE</t>
      </text>
    </comment>
    <comment authorId="0" ref="C5">
      <text>
        <t xml:space="preserve">======
ID#AAABuApmzZM
Jonathan Ortiz    (2025-11-17 14:24:37)
Insert Material Length here.</t>
      </text>
    </comment>
    <comment authorId="0" ref="B11">
      <text>
        <t xml:space="preserve">======
ID#AAABuApmzYQ
Jonathan Ortiz    (2025-11-17 14:24:37)
USE THIS FORMULA FOR ROUND BAR ONLY</t>
      </text>
    </comment>
    <comment authorId="0" ref="N5">
      <text>
        <t xml:space="preserve">======
ID#AAABuApmzU0
Jonathan Ortiz    (2025-11-17 14:24:37)
Quoted Price Per Part.</t>
      </text>
    </comment>
    <comment authorId="0" ref="A1">
      <text>
        <t xml:space="preserve">======
ID#AAABuApmzTo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iQuE/bYR9Iw3AgDVznAvbfP4ZGKw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======
ID#AAABuApmzt8
Jonathan Ortiz    (2025-11-17 14:24:37)
QUOTED PER PIECE PRICE</t>
      </text>
    </comment>
    <comment authorId="0" ref="A9">
      <text>
        <t xml:space="preserve">======
ID#AAABuApmzsk
Jonathan Ortiz    (2025-11-17 14:24:37)
USE THIS FORMULA FOR FLATE PLATE, RECTANGLE BAR, SQUARE BAR.</t>
      </text>
    </comment>
    <comment authorId="0" ref="C13">
      <text>
        <t xml:space="preserve">======
ID#AAABuApmzsY
Jonathan Ortiz    (2025-11-17 14:24:37)
ENTER MATERIAL LENGTH HERE</t>
      </text>
    </comment>
    <comment authorId="0" ref="N5">
      <text>
        <t xml:space="preserve">======
ID#AAABuApmzrU
Jonathan Ortiz    (2025-11-17 14:24:37)
QUOTED PER PIECE PRICE</t>
      </text>
    </comment>
    <comment authorId="0" ref="C5">
      <text>
        <t xml:space="preserve">======
ID#AAABuApmzpI
Jonathan Ortiz    (2025-11-17 14:24:37)
ENTER MATERIAL LENGTH HERE</t>
      </text>
    </comment>
    <comment authorId="0" ref="B4">
      <text>
        <t xml:space="preserve">======
ID#AAABuApmzoI
Jonathan Ortiz    (2025-11-17 14:24:37)
USE THIS FORMULA FOR ROUND BAR ONLY</t>
      </text>
    </comment>
    <comment authorId="0" ref="A2">
      <text>
        <t xml:space="preserve">======
ID#AAABuApmznE
Jonathan Ortiz    (2025-11-17 14:24:37)
Insert Material Thickness Here.</t>
      </text>
    </comment>
    <comment authorId="0" ref="C10">
      <text>
        <t xml:space="preserve">======
ID#AAABuApmzmc
Jonathan Ortiz    (2025-11-17 14:24:37)
Insert Material Length here.</t>
      </text>
    </comment>
    <comment authorId="0" ref="B10">
      <text>
        <t xml:space="preserve">======
ID#AAABuApmzi0
Jonathan Ortiz    (2025-11-17 14:24:37)
Insert Material Width here.</t>
      </text>
    </comment>
    <comment authorId="0" ref="N10">
      <text>
        <t xml:space="preserve">======
ID#AAABuApmzhw
Jonathan Ortiz    (2025-11-17 14:24:37)
Quoted Price Per Part.</t>
      </text>
    </comment>
    <comment authorId="0" ref="B5">
      <text>
        <t xml:space="preserve">======
ID#AAABuApmzbs
Jonathan Ortiz    (2025-11-17 14:24:37)
ENTER MATERIAL DIAMETER HERE</t>
      </text>
    </comment>
    <comment authorId="0" ref="C2">
      <text>
        <t xml:space="preserve">======
ID#AAABuApmzY8
Jonathan Ortiz    (2025-11-17 14:24:37)
Insert Material Length here.</t>
      </text>
    </comment>
    <comment authorId="0" ref="B13">
      <text>
        <t xml:space="preserve">======
ID#AAABuApmzY0
Jonathan Ortiz    (2025-11-17 14:24:37)
ENTER MATERIAL DIAMETER HERE</t>
      </text>
    </comment>
    <comment authorId="0" ref="A10">
      <text>
        <t xml:space="preserve">======
ID#AAABuApmzYs
Jonathan Ortiz    (2025-11-17 14:24:37)
Insert Material Thickness Here.</t>
      </text>
    </comment>
    <comment authorId="0" ref="A1">
      <text>
        <t xml:space="preserve">======
ID#AAABuApmzU4
Jonathan Ortiz    (2025-11-17 14:24:37)
USE THIS FORMULA FOR FLATE PLATE, RECTANGLE BAR, SQUARE BAR.</t>
      </text>
    </comment>
    <comment authorId="0" ref="B2">
      <text>
        <t xml:space="preserve">======
ID#AAABuApmzRk
Jonathan Ortiz    (2025-11-17 14:24:37)
Insert Material Width here.</t>
      </text>
    </comment>
    <comment authorId="0" ref="B12">
      <text>
        <t xml:space="preserve">======
ID#AAABuAk8jWI
Jonathan Ortiz    (2025-11-17 14:24:37)
USE THIS FORMULA FOR ROUND BAR ONLY</t>
      </text>
    </comment>
    <comment authorId="0" ref="N2">
      <text>
        <t xml:space="preserve">======
ID#AAABuAk8jVw
Jonathan Ortiz    (2025-11-17 14:24:37)
Quoted Price Per Part.</t>
      </text>
    </comment>
  </commentList>
  <extLst>
    <ext uri="GoogleSheetsCustomDataVersion2">
      <go:sheetsCustomData xmlns:go="http://customooxmlschemas.google.com/" r:id="rId1" roundtripDataSignature="AMtx7mjSQi1QeYDY1tx2gR0ZXTCVo59B9w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ID#AAABuApmzp8
Jonathan Ortiz    (2025-11-17 14:24:37)
USE THIS FORMULA FOR ROUND BAR ONLY</t>
      </text>
    </comment>
    <comment authorId="0" ref="N5">
      <text>
        <t xml:space="preserve">======
ID#AAABuApmznQ
Jonathan Ortiz    (2025-11-17 14:24:37)
QUOTED PER PIECE PRICE</t>
      </text>
    </comment>
    <comment authorId="0" ref="A2">
      <text>
        <t xml:space="preserve">======
ID#AAABuApmzlE
Jonathan Ortiz    (2025-11-17 14:24:37)
Insert Material Thickness Here.</t>
      </text>
    </comment>
    <comment authorId="0" ref="B13">
      <text>
        <t xml:space="preserve">======
ID#AAABuApmzgA
Jonathan Ortiz    (2025-11-17 14:24:37)
ENTER MATERIAL DIAMETER HERE</t>
      </text>
    </comment>
    <comment authorId="0" ref="C10">
      <text>
        <t xml:space="preserve">======
ID#AAABuApmzd4
Jonathan Ortiz    (2025-11-17 14:24:37)
Insert Material Length here.</t>
      </text>
    </comment>
    <comment authorId="0" ref="B5">
      <text>
        <t xml:space="preserve">======
ID#AAABuApmzdA
Jonathan Ortiz    (2025-11-17 14:24:37)
ENTER MATERIAL DIAMETER HERE</t>
      </text>
    </comment>
    <comment authorId="0" ref="C2">
      <text>
        <t xml:space="preserve">======
ID#AAABuApmzdI
Jonathan Ortiz    (2025-11-17 14:24:37)
Insert Material Length here.</t>
      </text>
    </comment>
    <comment authorId="0" ref="C5">
      <text>
        <t xml:space="preserve">======
ID#AAABuApmzZo
Jonathan Ortiz    (2025-11-17 14:24:37)
ENTER MATERIAL LENGTH HERE</t>
      </text>
    </comment>
    <comment authorId="0" ref="N2">
      <text>
        <t xml:space="preserve">======
ID#AAABuApmzWU
Jonathan Ortiz    (2025-11-17 14:24:37)
Quoted Price Per Part.</t>
      </text>
    </comment>
    <comment authorId="0" ref="C13">
      <text>
        <t xml:space="preserve">======
ID#AAABuApmzVg
Jonathan Ortiz    (2025-11-17 14:24:37)
ENTER MATERIAL LENGTH HERE</t>
      </text>
    </comment>
    <comment authorId="0" ref="B10">
      <text>
        <t xml:space="preserve">======
ID#AAABuApmzUc
Jonathan Ortiz    (2025-11-17 14:24:37)
Insert Material Width here.</t>
      </text>
    </comment>
    <comment authorId="0" ref="A10">
      <text>
        <t xml:space="preserve">======
ID#AAABuApmzUM
Jonathan Ortiz    (2025-11-17 14:24:37)
Insert Material Thickness Here.</t>
      </text>
    </comment>
    <comment authorId="0" ref="A9">
      <text>
        <t xml:space="preserve">======
ID#AAABuApmzSU
Jonathan Ortiz    (2025-11-17 14:24:37)
USE THIS FORMULA FOR FLATE PLATE, RECTANGLE BAR, SQUARE BAR.</t>
      </text>
    </comment>
    <comment authorId="0" ref="B4">
      <text>
        <t xml:space="preserve">======
ID#AAABuApmzR8
Jonathan Ortiz    (2025-11-17 14:24:37)
USE THIS FORMULA FOR ROUND BAR ONLY</t>
      </text>
    </comment>
    <comment authorId="0" ref="A1">
      <text>
        <t xml:space="preserve">======
ID#AAABuApmzQ0
Jonathan Ortiz    (2025-11-17 14:24:37)
USE THIS FORMULA FOR FLATE PLATE, RECTANGLE BAR, SQUARE BAR.</t>
      </text>
    </comment>
    <comment authorId="0" ref="N10">
      <text>
        <t xml:space="preserve">======
ID#AAABuApmzLA
Jonathan Ortiz    (2025-11-17 14:24:37)
Quoted Price Per Part.</t>
      </text>
    </comment>
    <comment authorId="0" ref="N13">
      <text>
        <t xml:space="preserve">======
ID#AAABuAk8jW4
Jonathan Ortiz    (2025-11-17 14:24:37)
QUOTED PER PIECE PRICE</t>
      </text>
    </comment>
    <comment authorId="0" ref="B2">
      <text>
        <t xml:space="preserve">======
ID#AAABwLdDBIY
Jonathan Ortiz    (2025-11-17 14:24:37)
Insert Material Width here.</t>
      </text>
    </comment>
  </commentList>
  <extLst>
    <ext uri="GoogleSheetsCustomDataVersion2">
      <go:sheetsCustomData xmlns:go="http://customooxmlschemas.google.com/" r:id="rId1" roundtripDataSignature="AMtx7mhKjTLOCWP/Ur+Dz1WrAi1dKAO3eQ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ID#AAABuApmzuo
Jonathan Ortiz    (2025-11-17 14:24:37)
Insert Material Thickness Here.</t>
      </text>
    </comment>
    <comment authorId="0" ref="C2">
      <text>
        <t xml:space="preserve">======
ID#AAABuApmzsU
Jonathan Ortiz    (2025-11-17 14:24:37)
Insert Material Length here.</t>
      </text>
    </comment>
    <comment authorId="0" ref="A11">
      <text>
        <t xml:space="preserve">======
ID#AAABuApmzsA
Jonathan Ortiz    (2025-11-17 14:24:37)
Insert Material Thickness Here.</t>
      </text>
    </comment>
    <comment authorId="0" ref="B2">
      <text>
        <t xml:space="preserve">======
ID#AAABuApmzqs
Jonathan Ortiz    (2025-11-17 14:24:37)
Insert Material Width here.</t>
      </text>
    </comment>
    <comment authorId="0" ref="A10">
      <text>
        <t xml:space="preserve">======
ID#AAABuApmzo4
Jonathan Ortiz    (2025-11-17 14:24:37)
USE THIS FORMULA FOR FLATE PLATE, RECTANGLE BAR, SQUARE BAR.</t>
      </text>
    </comment>
    <comment authorId="0" ref="C15">
      <text>
        <t xml:space="preserve">======
ID#AAABuApmzog
Jonathan Ortiz    (2025-11-17 14:24:37)
Insert Material Length here.</t>
      </text>
    </comment>
    <comment authorId="0" ref="N11">
      <text>
        <t xml:space="preserve">======
ID#AAABuApmzmw
Jonathan Ortiz    (2025-11-17 14:24:37)
Quoted Price Per Part.</t>
      </text>
    </comment>
    <comment authorId="0" ref="A14">
      <text>
        <t xml:space="preserve">======
ID#AAABuApmzks
Jonathan Ortiz    (2025-11-17 14:24:37)
USE THIS FORMULA FOR FLATE PLATE, RECTANGLE BAR, SQUARE BAR.</t>
      </text>
    </comment>
    <comment authorId="0" ref="N2">
      <text>
        <t xml:space="preserve">======
ID#AAABuApmzkA
Jonathan Ortiz    (2025-11-17 14:24:37)
Quoted Price Per Part.</t>
      </text>
    </comment>
    <comment authorId="0" ref="B15">
      <text>
        <t xml:space="preserve">======
ID#AAABuApmzjM
Jonathan Ortiz    (2025-11-17 14:24:37)
Insert Material Width here.</t>
      </text>
    </comment>
    <comment authorId="0" ref="N15">
      <text>
        <t xml:space="preserve">======
ID#AAABuApmzik
Jonathan Ortiz    (2025-11-17 14:24:37)
Quoted Price Per Part.</t>
      </text>
    </comment>
    <comment authorId="0" ref="M25">
      <text>
        <t xml:space="preserve">======
ID#AAABuApmzfY
Jonathan Ortiz    (2025-11-17 14:24:37)
QUOTED PER PIECE PRICE</t>
      </text>
    </comment>
    <comment authorId="0" ref="A15">
      <text>
        <t xml:space="preserve">======
ID#AAABuApmzfM
Jonathan Ortiz    (2025-11-17 14:24:37)
Insert Material Thickness Here.</t>
      </text>
    </comment>
    <comment authorId="0" ref="N6">
      <text>
        <t xml:space="preserve">======
ID#AAABuApmzeg
Jonathan Ortiz    (2025-11-17 14:24:37)
Quoted Price Per Part.</t>
      </text>
    </comment>
    <comment authorId="0" ref="B11">
      <text>
        <t xml:space="preserve">======
ID#AAABuApmzdU
Jonathan Ortiz    (2025-11-17 14:24:37)
Insert Material Width here.</t>
      </text>
    </comment>
    <comment authorId="0" ref="A5">
      <text>
        <t xml:space="preserve">======
ID#AAABuApmzbQ
Jonathan Ortiz    (2025-11-17 14:24:37)
USE THIS FORMULA FOR FLATE PLATE, RECTANGLE BAR, SQUARE BAR.</t>
      </text>
    </comment>
    <comment authorId="0" ref="B25">
      <text>
        <t xml:space="preserve">======
ID#AAABuApmza8
Jonathan Ortiz    (2025-11-17 14:24:37)
ENTER MATERIAL LENGTH HERE</t>
      </text>
    </comment>
    <comment authorId="0" ref="A24">
      <text>
        <t xml:space="preserve">======
ID#AAABuApmzaA
Jonathan Ortiz    (2025-11-17 14:24:37)
USE THIS FORMULA FOR ROUND BAR ONLY</t>
      </text>
    </comment>
    <comment authorId="0" ref="C11">
      <text>
        <t xml:space="preserve">======
ID#AAABuApmzYY
Jonathan Ortiz    (2025-11-17 14:24:37)
Insert Material Length here.</t>
      </text>
    </comment>
    <comment authorId="0" ref="A6">
      <text>
        <t xml:space="preserve">======
ID#AAABuApmzXE
Jonathan Ortiz    (2025-11-17 14:24:37)
Insert Material Thickness Here.</t>
      </text>
    </comment>
    <comment authorId="0" ref="A1">
      <text>
        <t xml:space="preserve">======
ID#AAABuApmzWA
Jonathan Ortiz    (2025-11-17 14:24:37)
USE THIS FORMULA FOR FLATE PLATE, RECTANGLE BAR, SQUARE BAR.</t>
      </text>
    </comment>
    <comment authorId="0" ref="A25">
      <text>
        <t xml:space="preserve">======
ID#AAABuApmzQ4
Jonathan Ortiz    (2025-11-17 14:24:37)
ENTER MATERIAL DIAMETER HERE</t>
      </text>
    </comment>
    <comment authorId="0" ref="C6">
      <text>
        <t xml:space="preserve">======
ID#AAABuApmzK0
Jonathan Ortiz    (2025-11-17 14:24:37)
Insert Material Length here.</t>
      </text>
    </comment>
    <comment authorId="0" ref="B6">
      <text>
        <t xml:space="preserve">======
ID#AAABuAk8jWY
Jonathan Ortiz    (2025-11-17 14:24:37)
Insert Material Width here.</t>
      </text>
    </comment>
  </commentList>
  <extLst>
    <ext uri="GoogleSheetsCustomDataVersion2">
      <go:sheetsCustomData xmlns:go="http://customooxmlschemas.google.com/" r:id="rId1" roundtripDataSignature="AMtx7miLoIWHFSkTBGtgEXASxNtCE433Ww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ID#AAABuApmztM
Jonathan Ortiz    (2025-11-17 14:24:37)
Insert Material Width here.</t>
      </text>
    </comment>
    <comment authorId="0" ref="A9">
      <text>
        <t xml:space="preserve">======
ID#AAABuApmzqA
Jonathan Ortiz    (2025-11-17 14:24:37)
USE THIS FORMULA FOR FLATE PLATE, RECTANGLE BAR, SQUARE BAR.</t>
      </text>
    </comment>
    <comment authorId="0" ref="B10">
      <text>
        <t xml:space="preserve">======
ID#AAABuApmzls
Jonathan Ortiz    (2025-11-17 14:24:37)
Insert Material Width here.</t>
      </text>
    </comment>
    <comment authorId="0" ref="C2">
      <text>
        <t xml:space="preserve">======
ID#AAABuApmzjU
Jonathan Ortiz    (2025-11-17 14:24:37)
Insert Material Length here.</t>
      </text>
    </comment>
    <comment authorId="0" ref="N5">
      <text>
        <t xml:space="preserve">======
ID#AAABuApmzhU
Jonathan Ortiz    (2025-11-17 14:24:37)
QUOTED PER PIECE PRICE</t>
      </text>
    </comment>
    <comment authorId="0" ref="B12">
      <text>
        <t xml:space="preserve">======
ID#AAABuApmzf8
Jonathan Ortiz    (2025-11-17 14:24:37)
USE THIS FORMULA FOR ROUND BAR ONLY</t>
      </text>
    </comment>
    <comment authorId="0" ref="C5">
      <text>
        <t xml:space="preserve">======
ID#AAABuApmzek
Jonathan Ortiz    (2025-11-17 14:24:37)
ENTER MATERIAL LENGTH HERE</t>
      </text>
    </comment>
    <comment authorId="0" ref="N2">
      <text>
        <t xml:space="preserve">======
ID#AAABuApmzeU
Jonathan Ortiz    (2025-11-17 14:24:37)
Quoted Price Per Part.</t>
      </text>
    </comment>
    <comment authorId="0" ref="B5">
      <text>
        <t xml:space="preserve">======
ID#AAABuApmzbE
Jonathan Ortiz    (2025-11-17 14:24:37)
ENTER MATERIAL DIAMETER HERE</t>
      </text>
    </comment>
    <comment authorId="0" ref="C13">
      <text>
        <t xml:space="preserve">======
ID#AAABuApmzbA
Jonathan Ortiz    (2025-11-17 14:24:37)
ENTER MATERIAL LENGTH HERE</t>
      </text>
    </comment>
    <comment authorId="0" ref="A1">
      <text>
        <t xml:space="preserve">======
ID#AAABuApmzZ0
Jonathan Ortiz    (2025-11-17 14:24:37)
USE THIS FORMULA FOR FLATE PLATE, RECTANGLE BAR, SQUARE BAR.</t>
      </text>
    </comment>
    <comment authorId="0" ref="C10">
      <text>
        <t xml:space="preserve">======
ID#AAABuApmzZ8
Jonathan Ortiz    (2025-11-17 14:24:37)
Insert Material Length here.</t>
      </text>
    </comment>
    <comment authorId="0" ref="A10">
      <text>
        <t xml:space="preserve">======
ID#AAABuApmzV0
Jonathan Ortiz    (2025-11-17 14:24:37)
Insert Material Thickness Here.</t>
      </text>
    </comment>
    <comment authorId="0" ref="A2">
      <text>
        <t xml:space="preserve">======
ID#AAABuApmzR0
Jonathan Ortiz    (2025-11-17 14:24:37)
Insert Material Thickness Here.</t>
      </text>
    </comment>
    <comment authorId="0" ref="B4">
      <text>
        <t xml:space="preserve">======
ID#AAABuApmzQ8
Jonathan Ortiz    (2025-11-17 14:24:37)
USE THIS FORMULA FOR ROUND BAR ONLY</t>
      </text>
    </comment>
    <comment authorId="0" ref="N10">
      <text>
        <t xml:space="preserve">======
ID#AAABuAk8jWA
Jonathan Ortiz    (2025-11-17 14:24:37)
Quoted Price Per Part.</t>
      </text>
    </comment>
    <comment authorId="0" ref="N13">
      <text>
        <t xml:space="preserve">======
ID#AAABuAk8jVg
Jonathan Ortiz    (2025-11-17 14:24:37)
QUOTED PER PIECE PRICE</t>
      </text>
    </comment>
    <comment authorId="0" ref="B13">
      <text>
        <t xml:space="preserve">======
ID#AAABwLdDBIs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jjfSsjhBpWufBB2Qqh1W0Dhb7uXw=="/>
    </ext>
  </extL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ID#AAABuApmzrY
Jonathan Ortiz    (2025-11-17 14:24:37)
Insert Material Thickness Here.</t>
      </text>
    </comment>
    <comment authorId="0" ref="C2">
      <text>
        <t xml:space="preserve">======
ID#AAABuApmzmM
Jonathan Ortiz    (2025-11-17 14:24:37)
Insert Material Length here.</t>
      </text>
    </comment>
    <comment authorId="0" ref="C6">
      <text>
        <t xml:space="preserve">======
ID#AAABuApmzlQ
Jonathan Ortiz    (2025-11-17 14:24:37)
ENTER MATERIAL LENGTH HERE</t>
      </text>
    </comment>
    <comment authorId="0" ref="B6">
      <text>
        <t xml:space="preserve">======
ID#AAABuApmzZc
Jonathan Ortiz    (2025-11-17 14:24:37)
ENTER MATERIAL DIAMETER HERE</t>
      </text>
    </comment>
    <comment authorId="0" ref="N2">
      <text>
        <t xml:space="preserve">======
ID#AAABuApmzXw
Jonathan Ortiz    (2025-11-17 14:24:37)
Quoted Price Per Part.</t>
      </text>
    </comment>
    <comment authorId="0" ref="B5">
      <text>
        <t xml:space="preserve">======
ID#AAABuApmzWY
Jonathan Ortiz    (2025-11-17 14:24:37)
USE THIS FORMULA FOR ROUND BAR ONLY</t>
      </text>
    </comment>
    <comment authorId="0" ref="A1">
      <text>
        <t xml:space="preserve">======
ID#AAABuApmzS4
Jonathan Ortiz    (2025-11-17 14:24:37)
USE THIS FORMULA FOR FLATE PLATE, RECTANGLE BAR, SQUARE BAR.</t>
      </text>
    </comment>
    <comment authorId="0" ref="B2">
      <text>
        <t xml:space="preserve">======
ID#AAABuApmzLY
Jonathan Ortiz    (2025-11-17 14:24:37)
Insert Material Width here.</t>
      </text>
    </comment>
    <comment authorId="0" ref="N6">
      <text>
        <t xml:space="preserve">======
ID#AAABuAk8jVU
Jonathan Ortiz    (2025-11-17 14:24:37)
QUOTED PER PIECE PRICE</t>
      </text>
    </comment>
  </commentList>
  <extLst>
    <ext uri="GoogleSheetsCustomDataVersion2">
      <go:sheetsCustomData xmlns:go="http://customooxmlschemas.google.com/" r:id="rId1" roundtripDataSignature="AMtx7mgmV+gZhU3TIWJLYSzIs9RRxZN+LA=="/>
    </ext>
  </extL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ID#AAABuApmzrI
Jonathan Ortiz    (2025-11-17 14:24:37)
USE THIS FORMULA FOR ROUND BAR ONLY</t>
      </text>
    </comment>
    <comment authorId="0" ref="A9">
      <text>
        <t xml:space="preserve">======
ID#AAABuApmzq8
Jonathan Ortiz    (2025-11-17 14:24:37)
USE THIS FORMULA FOR FLATE PLATE, RECTANGLE BAR, SQUARE BAR.</t>
      </text>
    </comment>
    <comment authorId="0" ref="B10">
      <text>
        <t xml:space="preserve">======
ID#AAABuApmzq0
Jonathan Ortiz    (2025-11-17 14:24:37)
Insert Material Width here.</t>
      </text>
    </comment>
    <comment authorId="0" ref="B13">
      <text>
        <t xml:space="preserve">======
ID#AAABuApmzm4
Jonathan Ortiz    (2025-11-17 14:24:37)
ENTER MATERIAL DIAMETER HERE</t>
      </text>
    </comment>
    <comment authorId="0" ref="A10">
      <text>
        <t xml:space="preserve">======
ID#AAABuApmzmo
Jonathan Ortiz    (2025-11-17 14:24:37)
Insert Material Thickness Here.</t>
      </text>
    </comment>
    <comment authorId="0" ref="B17">
      <text>
        <t xml:space="preserve">======
ID#AAABuApmzmU
Jonathan Ortiz    (2025-11-17 14:24:37)
Insert Material Width here.</t>
      </text>
    </comment>
    <comment authorId="0" ref="A16">
      <text>
        <t xml:space="preserve">======
ID#AAABuApmzlk
Jonathan Ortiz    (2025-11-17 14:24:37)
USE THIS FORMULA FOR FLATE PLATE, RECTANGLE BAR, SQUARE BAR.</t>
      </text>
    </comment>
    <comment authorId="0" ref="C17">
      <text>
        <t xml:space="preserve">======
ID#AAABuApmzeo
Jonathan Ortiz    (2025-11-17 14:24:37)
Insert Material Length here.</t>
      </text>
    </comment>
    <comment authorId="0" ref="B2">
      <text>
        <t xml:space="preserve">======
ID#AAABuApmzc4
Jonathan Ortiz    (2025-11-17 14:24:37)
Insert Material Width here.</t>
      </text>
    </comment>
    <comment authorId="0" ref="C10">
      <text>
        <t xml:space="preserve">======
ID#AAABuApmzb4
Jonathan Ortiz    (2025-11-17 14:24:37)
Insert Material Length here.</t>
      </text>
    </comment>
    <comment authorId="0" ref="N5">
      <text>
        <t xml:space="preserve">======
ID#AAABuApmza0
Jonathan Ortiz    (2025-11-17 14:24:37)
QUOTED PER PIECE PRICE</t>
      </text>
    </comment>
    <comment authorId="0" ref="N10">
      <text>
        <t xml:space="preserve">======
ID#AAABuApmzYk
Jonathan Ortiz    (2025-11-17 14:24:37)
Quoted Price Per Part.</t>
      </text>
    </comment>
    <comment authorId="0" ref="B5">
      <text>
        <t xml:space="preserve">======
ID#AAABuApmzYE
Jonathan Ortiz    (2025-11-17 14:24:37)
ENTER MATERIAL DIAMETER HERE</t>
      </text>
    </comment>
    <comment authorId="0" ref="A2">
      <text>
        <t xml:space="preserve">======
ID#AAABuApmzXo
Jonathan Ortiz    (2025-11-17 14:24:37)
Insert Material Thickness Here.</t>
      </text>
    </comment>
    <comment authorId="0" ref="A17">
      <text>
        <t xml:space="preserve">======
ID#AAABuApmzXA
Jonathan Ortiz    (2025-11-17 14:24:37)
Insert Material Thickness Here.</t>
      </text>
    </comment>
    <comment authorId="0" ref="N2">
      <text>
        <t xml:space="preserve">======
ID#AAABuApmzVw
Jonathan Ortiz    (2025-11-17 14:24:37)
Quoted Price Per Part.</t>
      </text>
    </comment>
    <comment authorId="0" ref="A1">
      <text>
        <t xml:space="preserve">======
ID#AAABuApmzUU
Jonathan Ortiz    (2025-11-17 14:24:37)
USE THIS FORMULA FOR FLATE PLATE, RECTANGLE BAR, SQUARE BAR.</t>
      </text>
    </comment>
    <comment authorId="0" ref="C13">
      <text>
        <t xml:space="preserve">======
ID#AAABuApmzTw
Jonathan Ortiz    (2025-11-17 14:24:37)
ENTER MATERIAL LENGTH HERE</t>
      </text>
    </comment>
    <comment authorId="0" ref="N13">
      <text>
        <t xml:space="preserve">======
ID#AAABuApmzSs
Jonathan Ortiz    (2025-11-17 14:24:37)
QUOTED PER PIECE PRICE</t>
      </text>
    </comment>
    <comment authorId="0" ref="N17">
      <text>
        <t xml:space="preserve">======
ID#AAABuApmzLw
Jonathan Ortiz    (2025-11-17 14:24:37)
Quoted Price Per Part.</t>
      </text>
    </comment>
    <comment authorId="0" ref="B12">
      <text>
        <t xml:space="preserve">======
ID#AAABuAk8jWc
Jonathan Ortiz    (2025-11-17 14:24:37)
USE THIS FORMULA FOR ROUND BAR ONLY</t>
      </text>
    </comment>
    <comment authorId="0" ref="C2">
      <text>
        <t xml:space="preserve">======
ID#AAABuAk8jV8
Jonathan Ortiz    (2025-11-17 14:24:37)
Insert Material Length here.</t>
      </text>
    </comment>
    <comment authorId="0" ref="C5">
      <text>
        <t xml:space="preserve">======
ID#AAABwLdDBH4
Jonathan Ortiz    (2025-11-17 14:24:37)
ENTER MATERIAL LENGTH HERE</t>
      </text>
    </comment>
  </commentList>
  <extLst>
    <ext uri="GoogleSheetsCustomDataVersion2">
      <go:sheetsCustomData xmlns:go="http://customooxmlschemas.google.com/" r:id="rId1" roundtripDataSignature="AMtx7mhAN7H4hpjpcxGFFUw4+jrwWOS7Fg=="/>
    </ext>
  </extL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ID#AAABuApmztQ
Jonathan Ortiz    (2025-11-17 14:24:37)
ENTER MATERIAL DIAMETER HERE</t>
      </text>
    </comment>
    <comment authorId="0" ref="C6">
      <text>
        <t xml:space="preserve">======
ID#AAABuApmzsc
Jonathan Ortiz    (2025-11-17 14:24:37)
ENTER MATERIAL LENGTH HERE</t>
      </text>
    </comment>
    <comment authorId="0" ref="N6">
      <text>
        <t xml:space="preserve">======
ID#AAABuApmzfg
Jonathan Ortiz    (2025-11-17 14:24:37)
QUOTED PER PIECE PRICE</t>
      </text>
    </comment>
    <comment authorId="0" ref="N2">
      <text>
        <t xml:space="preserve">======
ID#AAABuApmzeI
Jonathan Ortiz    (2025-11-17 14:24:37)
Quoted Price Per Part.</t>
      </text>
    </comment>
    <comment authorId="0" ref="A2">
      <text>
        <t xml:space="preserve">======
ID#AAABuApmzZg
Jonathan Ortiz    (2025-11-17 14:24:37)
Insert Material Thickness Here.</t>
      </text>
    </comment>
    <comment authorId="0" ref="A1">
      <text>
        <t xml:space="preserve">======
ID#AAABuApmzYc
Jonathan Ortiz    (2025-11-17 14:24:37)
USE THIS FORMULA FOR FLATE PLATE, RECTANGLE BAR, SQUARE BAR.</t>
      </text>
    </comment>
    <comment authorId="0" ref="B5">
      <text>
        <t xml:space="preserve">======
ID#AAABuApmzVA
Jonathan Ortiz    (2025-11-17 14:24:37)
USE THIS FORMULA FOR ROUND BAR ONLY</t>
      </text>
    </comment>
    <comment authorId="0" ref="C2">
      <text>
        <t xml:space="preserve">======
ID#AAABuApmzU8
Jonathan Ortiz    (2025-11-17 14:24:37)
Insert Material Length here.</t>
      </text>
    </comment>
    <comment authorId="0" ref="B2">
      <text>
        <t xml:space="preserve">======
ID#AAABuApmzLI
Jonathan Ortiz    (2025-11-17 14:24:37)
Insert Material Width here.</t>
      </text>
    </comment>
  </commentList>
  <extLst>
    <ext uri="GoogleSheetsCustomDataVersion2">
      <go:sheetsCustomData xmlns:go="http://customooxmlschemas.google.com/" r:id="rId1" roundtripDataSignature="AMtx7mhaON1Km3YZmHGo4PYhF678DGkfBA=="/>
    </ext>
  </extL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ID#AAABuApmztU
Jonathan Ortiz    (2025-11-17 14:24:37)
Insert Material Thickness Here.</t>
      </text>
    </comment>
    <comment authorId="0" ref="N6">
      <text>
        <t xml:space="preserve">======
ID#AAABuApmzps
Jonathan Ortiz    (2025-11-17 14:24:37)
QUOTED PER PIECE PRICE</t>
      </text>
    </comment>
    <comment authorId="0" ref="A1">
      <text>
        <t xml:space="preserve">======
ID#AAABuApmzfE
Jonathan Ortiz    (2025-11-17 14:24:37)
USE THIS FORMULA FOR FLATE PLATE, RECTANGLE BAR, SQUARE BAR.</t>
      </text>
    </comment>
    <comment authorId="0" ref="B5">
      <text>
        <t xml:space="preserve">======
ID#AAABuApmzeY
Jonathan Ortiz    (2025-11-17 14:24:37)
USE THIS FORMULA FOR ROUND BAR ONLY</t>
      </text>
    </comment>
    <comment authorId="0" ref="B2">
      <text>
        <t xml:space="preserve">======
ID#AAABuApmzeM
Jonathan Ortiz    (2025-11-17 14:24:37)
Insert Material Width here.</t>
      </text>
    </comment>
    <comment authorId="0" ref="C6">
      <text>
        <t xml:space="preserve">======
ID#AAABuApmzbw
Jonathan Ortiz    (2025-11-17 14:24:37)
ENTER MATERIAL LENGTH HERE</t>
      </text>
    </comment>
    <comment authorId="0" ref="C2">
      <text>
        <t xml:space="preserve">======
ID#AAABuApmzao
Jonathan Ortiz    (2025-11-17 14:24:37)
Insert Material Length here.</t>
      </text>
    </comment>
    <comment authorId="0" ref="B6">
      <text>
        <t xml:space="preserve">======
ID#AAABuApmzYA
Jonathan Ortiz    (2025-11-17 14:24:37)
ENTER MATERIAL DIAMETER HERE</t>
      </text>
    </comment>
    <comment authorId="0" ref="N2">
      <text>
        <t xml:space="preserve">======
ID#AAABuApmzSc
Jonathan Ortiz    (2025-11-17 14:24:37)
Quoted Price Per Part.</t>
      </text>
    </comment>
  </commentList>
  <extLst>
    <ext uri="GoogleSheetsCustomDataVersion2">
      <go:sheetsCustomData xmlns:go="http://customooxmlschemas.google.com/" r:id="rId1" roundtripDataSignature="AMtx7mhF+gZGHaYe4OUrUnN1yU4CFaBiKg=="/>
    </ext>
  </extL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ID#AAABuApmzuQ
Jonathan Ortiz    (2025-11-17 14:24:37)
USE THIS FORMULA FOR FLATE PLATE, RECTANGLE BAR, SQUARE BAR.</t>
      </text>
    </comment>
    <comment authorId="0" ref="C10">
      <text>
        <t xml:space="preserve">======
ID#AAABuApmztc
Jonathan Ortiz    (2025-11-17 14:24:37)
Insert Material Length here.</t>
      </text>
    </comment>
    <comment authorId="0" ref="B4">
      <text>
        <t xml:space="preserve">======
ID#AAABuApmzrg
Jonathan Ortiz    (2025-11-17 14:24:37)
USE THIS FORMULA FOR ROUND BAR ONLY</t>
      </text>
    </comment>
    <comment authorId="0" ref="C2">
      <text>
        <t xml:space="preserve">======
ID#AAABuApmzrc
Jonathan Ortiz    (2025-11-17 14:24:37)
Insert Material Length here.</t>
      </text>
    </comment>
    <comment authorId="0" ref="N2">
      <text>
        <t xml:space="preserve">======
ID#AAABuApmzq4
Jonathan Ortiz    (2025-11-17 14:24:37)
Quoted Price Per Part.</t>
      </text>
    </comment>
    <comment authorId="0" ref="B13">
      <text>
        <t xml:space="preserve">======
ID#AAABuApmzpU
Jonathan Ortiz    (2025-11-17 14:24:37)
ENTER MATERIAL DIAMETER HERE</t>
      </text>
    </comment>
    <comment authorId="0" ref="C13">
      <text>
        <t xml:space="preserve">======
ID#AAABuApmzpA
Jonathan Ortiz    (2025-11-17 14:24:37)
ENTER MATERIAL LENGTH HERE</t>
      </text>
    </comment>
    <comment authorId="0" ref="A9">
      <text>
        <t xml:space="preserve">======
ID#AAABuApmzoo
Jonathan Ortiz    (2025-11-17 14:24:37)
USE THIS FORMULA FOR FLATE PLATE, RECTANGLE BAR, SQUARE BAR.</t>
      </text>
    </comment>
    <comment authorId="0" ref="B12">
      <text>
        <t xml:space="preserve">======
ID#AAABuApmzoQ
Jonathan Ortiz    (2025-11-17 14:24:37)
USE THIS FORMULA FOR ROUND BAR ONLY</t>
      </text>
    </comment>
    <comment authorId="0" ref="B2">
      <text>
        <t xml:space="preserve">======
ID#AAABuApmznk
Jonathan Ortiz    (2025-11-17 14:24:37)
Insert Material Width here.</t>
      </text>
    </comment>
    <comment authorId="0" ref="A2">
      <text>
        <t xml:space="preserve">======
ID#AAABuApmzj0
Jonathan Ortiz    (2025-11-17 14:24:37)
Insert Material Thickness Here.</t>
      </text>
    </comment>
    <comment authorId="0" ref="N5">
      <text>
        <t xml:space="preserve">======
ID#AAABuApmzh8
Jonathan Ortiz    (2025-11-17 14:24:37)
QUOTED PER PIECE PRICE</t>
      </text>
    </comment>
    <comment authorId="0" ref="N13">
      <text>
        <t xml:space="preserve">======
ID#AAABuApmzgk
Jonathan Ortiz    (2025-11-17 14:24:37)
QUOTED PER PIECE PRICE</t>
      </text>
    </comment>
    <comment authorId="0" ref="B10">
      <text>
        <t xml:space="preserve">======
ID#AAABuApmzfc
Jonathan Ortiz    (2025-11-17 14:24:37)
Insert Material Width here.</t>
      </text>
    </comment>
    <comment authorId="0" ref="N10">
      <text>
        <t xml:space="preserve">======
ID#AAABuApmzds
Jonathan Ortiz    (2025-11-17 14:24:37)
Quoted Price Per Part.</t>
      </text>
    </comment>
    <comment authorId="0" ref="A10">
      <text>
        <t xml:space="preserve">======
ID#AAABuApmzW4
Jonathan Ortiz    (2025-11-17 14:24:37)
Insert Material Thickness Here.</t>
      </text>
    </comment>
    <comment authorId="0" ref="C5">
      <text>
        <t xml:space="preserve">======
ID#AAABuApmzWo
Jonathan Ortiz    (2025-11-17 14:24:37)
ENTER MATERIAL LENGTH HERE</t>
      </text>
    </comment>
    <comment authorId="0" ref="B5">
      <text>
        <t xml:space="preserve">======
ID#AAABuApmzRU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iz0KE5GAf+c3nAgTdC6mXt7FONiA=="/>
    </ext>
  </extL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======
ID#AAABuApmzuM
Jonathan Ortiz    (2025-11-17 14:24:37)
Quoted Price Per Part.</t>
      </text>
    </comment>
    <comment authorId="0" ref="B2">
      <text>
        <t xml:space="preserve">======
ID#AAABuApmzrs
Jonathan Ortiz    (2025-11-17 14:24:37)
Insert Material Width here.</t>
      </text>
    </comment>
    <comment authorId="0" ref="B13">
      <text>
        <t xml:space="preserve">======
ID#AAABuApmzqI
Jonathan Ortiz    (2025-11-17 14:24:37)
ENTER MATERIAL DIAMETER HERE</t>
      </text>
    </comment>
    <comment authorId="0" ref="B5">
      <text>
        <t xml:space="preserve">======
ID#AAABuApmzp4
Jonathan Ortiz    (2025-11-17 14:24:37)
ENTER MATERIAL DIAMETER HERE</t>
      </text>
    </comment>
    <comment authorId="0" ref="A2">
      <text>
        <t xml:space="preserve">======
ID#AAABuApmzlM
Jonathan Ortiz    (2025-11-17 14:24:37)
Insert Material Thickness Here.</t>
      </text>
    </comment>
    <comment authorId="0" ref="B12">
      <text>
        <t xml:space="preserve">======
ID#AAABuApmzk8
Jonathan Ortiz    (2025-11-17 14:24:37)
USE THIS FORMULA FOR ROUND BAR ONLY</t>
      </text>
    </comment>
    <comment authorId="0" ref="C2">
      <text>
        <t xml:space="preserve">======
ID#AAABuApmzjk
Jonathan Ortiz    (2025-11-17 14:24:37)
Insert Material Length here.</t>
      </text>
    </comment>
    <comment authorId="0" ref="C10">
      <text>
        <t xml:space="preserve">======
ID#AAABuApmzhY
Jonathan Ortiz    (2025-11-17 14:24:37)
Insert Material Length here.</t>
      </text>
    </comment>
    <comment authorId="0" ref="N10">
      <text>
        <t xml:space="preserve">======
ID#AAABuApmzfo
Jonathan Ortiz    (2025-11-17 14:24:37)
Quoted Price Per Part.</t>
      </text>
    </comment>
    <comment authorId="0" ref="C13">
      <text>
        <t xml:space="preserve">======
ID#AAABuApmzco
Jonathan Ortiz    (2025-11-17 14:24:37)
ENTER MATERIAL LENGTH HERE</t>
      </text>
    </comment>
    <comment authorId="0" ref="N5">
      <text>
        <t xml:space="preserve">======
ID#AAABuApmzak
Jonathan Ortiz    (2025-11-17 14:24:37)
QUOTED PER PIECE PRICE</t>
      </text>
    </comment>
    <comment authorId="0" ref="B4">
      <text>
        <t xml:space="preserve">======
ID#AAABuApmzZw
Jonathan Ortiz    (2025-11-17 14:24:37)
USE THIS FORMULA FOR ROUND BAR ONLY</t>
      </text>
    </comment>
    <comment authorId="0" ref="C5">
      <text>
        <t xml:space="preserve">======
ID#AAABuApmzZs
Jonathan Ortiz    (2025-11-17 14:24:37)
ENTER MATERIAL LENGTH HERE</t>
      </text>
    </comment>
    <comment authorId="0" ref="A1">
      <text>
        <t xml:space="preserve">======
ID#AAABuApmzXY
Jonathan Ortiz    (2025-11-17 14:24:37)
USE THIS FORMULA FOR FLATE PLATE, RECTANGLE BAR, SQUARE BAR.</t>
      </text>
    </comment>
    <comment authorId="0" ref="N13">
      <text>
        <t xml:space="preserve">======
ID#AAABuApmzLQ
Jonathan Ortiz    (2025-11-17 14:24:37)
QUOTED PER PIECE PRICE</t>
      </text>
    </comment>
    <comment authorId="0" ref="B10">
      <text>
        <t xml:space="preserve">======
ID#AAABuApmzKo
Jonathan Ortiz    (2025-11-17 14:24:37)
Insert Material Width here.</t>
      </text>
    </comment>
    <comment authorId="0" ref="A10">
      <text>
        <t xml:space="preserve">======
ID#AAABuAk8jWk
Jonathan Ortiz    (2025-11-17 14:24:37)
Insert Material Thickness Here.</t>
      </text>
    </comment>
    <comment authorId="0" ref="A9">
      <text>
        <t xml:space="preserve">======
ID#AAABuAk8jWg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gdGBeoRF8Ij0VYdAmS/fI7tMeviA=="/>
    </ext>
  </extL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5">
      <text>
        <t xml:space="preserve">======
ID#AAABuApmzs0
Jonathan Ortiz    (2025-11-17 14:24:37)
QUOTED PER PIECE PRICE</t>
      </text>
    </comment>
    <comment authorId="0" ref="B10">
      <text>
        <t xml:space="preserve">======
ID#AAABuApmzs4
Jonathan Ortiz    (2025-11-17 14:24:37)
Insert Material Width here.</t>
      </text>
    </comment>
    <comment authorId="0" ref="A1">
      <text>
        <t xml:space="preserve">======
ID#AAABuApmzp0
Jonathan Ortiz    (2025-11-17 14:24:37)
USE THIS FORMULA FOR FLATE PLATE, RECTANGLE BAR, SQUARE BAR.</t>
      </text>
    </comment>
    <comment authorId="0" ref="C10">
      <text>
        <t xml:space="preserve">======
ID#AAABuApmznc
Jonathan Ortiz    (2025-11-17 14:24:37)
Insert Material Length here.</t>
      </text>
    </comment>
    <comment authorId="0" ref="A2">
      <text>
        <t xml:space="preserve">======
ID#AAABuApmzng
Jonathan Ortiz    (2025-11-17 14:24:37)
Insert Material Thickness Here.</t>
      </text>
    </comment>
    <comment authorId="0" ref="C5">
      <text>
        <t xml:space="preserve">======
ID#AAABuApmzmg
Jonathan Ortiz    (2025-11-17 14:24:37)
ENTER MATERIAL LENGTH HERE</t>
      </text>
    </comment>
    <comment authorId="0" ref="A9">
      <text>
        <t xml:space="preserve">======
ID#AAABuApmzhA
Jonathan Ortiz    (2025-11-17 14:24:37)
USE THIS FORMULA FOR FLATE PLATE, RECTANGLE BAR, SQUARE BAR.</t>
      </text>
    </comment>
    <comment authorId="0" ref="B13">
      <text>
        <t xml:space="preserve">======
ID#AAABuApmzfs
Jonathan Ortiz    (2025-11-17 14:24:37)
ENTER MATERIAL DIAMETER HERE</t>
      </text>
    </comment>
    <comment authorId="0" ref="A10">
      <text>
        <t xml:space="preserve">======
ID#AAABuApmzac
Jonathan Ortiz    (2025-11-17 14:24:37)
Insert Material Thickness Here.</t>
      </text>
    </comment>
    <comment authorId="0" ref="B12">
      <text>
        <t xml:space="preserve">======
ID#AAABuApmzZk
Jonathan Ortiz    (2025-11-17 14:24:37)
USE THIS FORMULA FOR ROUND BAR ONLY</t>
      </text>
    </comment>
    <comment authorId="0" ref="B5">
      <text>
        <t xml:space="preserve">======
ID#AAABuApmzXM
Jonathan Ortiz    (2025-11-17 14:24:37)
ENTER MATERIAL DIAMETER HERE</t>
      </text>
    </comment>
    <comment authorId="0" ref="N13">
      <text>
        <t xml:space="preserve">======
ID#AAABuApmzVk
Jonathan Ortiz    (2025-11-17 14:24:37)
QUOTED PER PIECE PRICE</t>
      </text>
    </comment>
    <comment authorId="0" ref="N2">
      <text>
        <t xml:space="preserve">======
ID#AAABuApmzVU
Jonathan Ortiz    (2025-11-17 14:24:37)
Quoted Price Per Part.</t>
      </text>
    </comment>
    <comment authorId="0" ref="B4">
      <text>
        <t xml:space="preserve">======
ID#AAABuApmzTI
Jonathan Ortiz    (2025-11-17 14:24:37)
USE THIS FORMULA FOR ROUND BAR ONLY</t>
      </text>
    </comment>
    <comment authorId="0" ref="B2">
      <text>
        <t xml:space="preserve">======
ID#AAABuApmzTQ
Jonathan Ortiz    (2025-11-17 14:24:37)
Insert Material Width here.</t>
      </text>
    </comment>
    <comment authorId="0" ref="C2">
      <text>
        <t xml:space="preserve">======
ID#AAABuApmzTE
Jonathan Ortiz    (2025-11-17 14:24:37)
Insert Material Length here.</t>
      </text>
    </comment>
    <comment authorId="0" ref="N10">
      <text>
        <t xml:space="preserve">======
ID#AAABuApmzSE
Jonathan Ortiz    (2025-11-17 14:24:37)
Quoted Price Per Part.</t>
      </text>
    </comment>
    <comment authorId="0" ref="C13">
      <text>
        <t xml:space="preserve">======
ID#AAABuAk8jVo
Jonathan Ortiz    (2025-11-17 14:24:37)
ENTER MATERIAL LENGTH HERE</t>
      </text>
    </comment>
  </commentList>
  <extLst>
    <ext uri="GoogleSheetsCustomDataVersion2">
      <go:sheetsCustomData xmlns:go="http://customooxmlschemas.google.com/" r:id="rId1" roundtripDataSignature="AMtx7mjS8UKHbxVHd3lHPiO6PE11eg41Xg=="/>
    </ext>
  </extL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6">
      <text>
        <t xml:space="preserve">======
ID#AAABuApmzuY
Jonathan Ortiz    (2025-11-17 14:24:37)
QUOTED PER PIECE PRICE</t>
      </text>
    </comment>
    <comment authorId="0" ref="N12">
      <text>
        <t xml:space="preserve">======
ID#AAABuApmztY
Jonathan Ortiz    (2025-11-17 14:24:37)
Quoted Price Per Part.</t>
      </text>
    </comment>
    <comment authorId="0" ref="C7">
      <text>
        <t xml:space="preserve">======
ID#AAABuApmzr8
Jonathan Ortiz    (2025-11-17 14:24:37)
Insert Material Length here.</t>
      </text>
    </comment>
    <comment authorId="0" ref="N7">
      <text>
        <t xml:space="preserve">======
ID#AAABuApmzsI
Jonathan Ortiz    (2025-11-17 14:24:37)
Quoted Price Per Part.</t>
      </text>
    </comment>
    <comment authorId="0" ref="A11">
      <text>
        <t xml:space="preserve">======
ID#AAABuApmzrA
Jonathan Ortiz    (2025-11-17 14:24:37)
USE THIS FORMULA FOR FLATE PLATE, RECTANGLE BAR, SQUARE BAR.</t>
      </text>
    </comment>
    <comment authorId="0" ref="C16">
      <text>
        <t xml:space="preserve">======
ID#AAABuApmzqU
Jonathan Ortiz    (2025-11-17 14:24:37)
Insert Material Length here.</t>
      </text>
    </comment>
    <comment authorId="0" ref="B26">
      <text>
        <t xml:space="preserve">======
ID#AAABuApmzmI
Jonathan Ortiz    (2025-11-17 14:24:37)
ENTER MATERIAL LENGTH HERE</t>
      </text>
    </comment>
    <comment authorId="0" ref="B16">
      <text>
        <t xml:space="preserve">======
ID#AAABuApmzlg
Jonathan Ortiz    (2025-11-17 14:24:37)
Insert Material Width here.</t>
      </text>
    </comment>
    <comment authorId="0" ref="B12">
      <text>
        <t xml:space="preserve">======
ID#AAABuApmzlA
Jonathan Ortiz    (2025-11-17 14:24:37)
Insert Material Width here.</t>
      </text>
    </comment>
    <comment authorId="0" ref="A25">
      <text>
        <t xml:space="preserve">======
ID#AAABuApmzkE
Jonathan Ortiz    (2025-11-17 14:24:37)
USE THIS FORMULA FOR ROUND BAR ONLY</t>
      </text>
    </comment>
    <comment authorId="0" ref="A3">
      <text>
        <t xml:space="preserve">======
ID#AAABuApmzjs
Jonathan Ortiz    (2025-11-17 14:24:37)
Insert Material Thickness Here.</t>
      </text>
    </comment>
    <comment authorId="0" ref="B3">
      <text>
        <t xml:space="preserve">======
ID#AAABuApmzjg
Jonathan Ortiz    (2025-11-17 14:24:37)
Insert Material Width here.</t>
      </text>
    </comment>
    <comment authorId="0" ref="A6">
      <text>
        <t xml:space="preserve">======
ID#AAABuApmzho
Jonathan Ortiz    (2025-11-17 14:24:37)
USE THIS FORMULA FOR FLATE PLATE, RECTANGLE BAR, SQUARE BAR.</t>
      </text>
    </comment>
    <comment authorId="0" ref="C12">
      <text>
        <t xml:space="preserve">======
ID#AAABuApmzg8
Jonathan Ortiz    (2025-11-17 14:24:37)
Insert Material Length here.</t>
      </text>
    </comment>
    <comment authorId="0" ref="N3">
      <text>
        <t xml:space="preserve">======
ID#AAABuApmzfw
Jonathan Ortiz    (2025-11-17 14:24:37)
Quoted Price Per Part.</t>
      </text>
    </comment>
    <comment authorId="0" ref="A26">
      <text>
        <t xml:space="preserve">======
ID#AAABuApmzcI
Jonathan Ortiz    (2025-11-17 14:24:37)
ENTER MATERIAL DIAMETER HERE</t>
      </text>
    </comment>
    <comment authorId="0" ref="C3">
      <text>
        <t xml:space="preserve">======
ID#AAABuApmzZA
Jonathan Ortiz    (2025-11-17 14:24:37)
Insert Material Length here.</t>
      </text>
    </comment>
    <comment authorId="0" ref="B7">
      <text>
        <t xml:space="preserve">======
ID#AAABuApmzWk
Jonathan Ortiz    (2025-11-17 14:24:37)
Insert Material Width here.</t>
      </text>
    </comment>
    <comment authorId="0" ref="A2">
      <text>
        <t xml:space="preserve">======
ID#AAABuApmzRo
Jonathan Ortiz    (2025-11-17 14:24:37)
USE THIS FORMULA FOR FLATE PLATE, RECTANGLE BAR, SQUARE BAR.</t>
      </text>
    </comment>
    <comment authorId="0" ref="A12">
      <text>
        <t xml:space="preserve">======
ID#AAABuApmzKk
Jonathan Ortiz    (2025-11-17 14:24:37)
Insert Material Thickness Here.</t>
      </text>
    </comment>
    <comment authorId="0" ref="N16">
      <text>
        <t xml:space="preserve">======
ID#AAABuApmzKs
Jonathan Ortiz    (2025-11-17 14:24:37)
Quoted Price Per Part.</t>
      </text>
    </comment>
    <comment authorId="0" ref="A16">
      <text>
        <t xml:space="preserve">======
ID#AAABuAk8jW0
Jonathan Ortiz    (2025-11-17 14:24:37)
Insert Material Thickness Here.</t>
      </text>
    </comment>
    <comment authorId="0" ref="A7">
      <text>
        <t xml:space="preserve">======
ID#AAABwLdDBIg
Jonathan Ortiz    (2025-11-17 14:24:37)
Insert Material Thickness Here.</t>
      </text>
    </comment>
    <comment authorId="0" ref="A15">
      <text>
        <t xml:space="preserve">======
ID#AAABwLdDBIk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galeDyJvALKBaNrHCI60cw5sd24w=="/>
    </ext>
  </extL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ID#AAABuApmzus
Jonathan Ortiz    (2025-11-17 14:24:37)
USE THIS FORMULA FOR FLATE PLATE, RECTANGLE BAR, SQUARE BAR.</t>
      </text>
    </comment>
    <comment authorId="0" ref="A10">
      <text>
        <t xml:space="preserve">======
ID#AAABuApmztw
Jonathan Ortiz    (2025-11-17 14:24:37)
Insert Material Thickness Here.</t>
      </text>
    </comment>
    <comment authorId="0" ref="B4">
      <text>
        <t xml:space="preserve">======
ID#AAABuApmzr0
Jonathan Ortiz    (2025-11-17 14:24:37)
USE THIS FORMULA FOR ROUND BAR ONLY</t>
      </text>
    </comment>
    <comment authorId="0" ref="C2">
      <text>
        <t xml:space="preserve">======
ID#AAABuApmzqE
Jonathan Ortiz    (2025-11-17 14:24:37)
Insert Material Length here.</t>
      </text>
    </comment>
    <comment authorId="0" ref="N2">
      <text>
        <t xml:space="preserve">======
ID#AAABuApmzko
Jonathan Ortiz    (2025-11-17 14:24:37)
Quoted Price Per Part.</t>
      </text>
    </comment>
    <comment authorId="0" ref="A2">
      <text>
        <t xml:space="preserve">======
ID#AAABuApmzjQ
Jonathan Ortiz    (2025-11-17 14:24:37)
Insert Material Thickness Here.</t>
      </text>
    </comment>
    <comment authorId="0" ref="N5">
      <text>
        <t xml:space="preserve">======
ID#AAABuApmzfQ
Jonathan Ortiz    (2025-11-17 14:24:37)
QUOTED PER PIECE PRICE</t>
      </text>
    </comment>
    <comment authorId="0" ref="B10">
      <text>
        <t xml:space="preserve">======
ID#AAABuApmzcc
Jonathan Ortiz    (2025-11-17 14:24:37)
Insert Material Width here.</t>
      </text>
    </comment>
    <comment authorId="0" ref="A9">
      <text>
        <t xml:space="preserve">======
ID#AAABuApmzZY
Jonathan Ortiz    (2025-11-17 14:24:37)
USE THIS FORMULA FOR FLATE PLATE, RECTANGLE BAR, SQUARE BAR.</t>
      </text>
    </comment>
    <comment authorId="0" ref="B2">
      <text>
        <t xml:space="preserve">======
ID#AAABuApmzXQ
Jonathan Ortiz    (2025-11-17 14:24:37)
Insert Material Width here.</t>
      </text>
    </comment>
    <comment authorId="0" ref="C5">
      <text>
        <t xml:space="preserve">======
ID#AAABuApmzWQ
Jonathan Ortiz    (2025-11-17 14:24:37)
ENTER MATERIAL LENGTH HERE</t>
      </text>
    </comment>
    <comment authorId="0" ref="B13">
      <text>
        <t xml:space="preserve">======
ID#AAABuApmzWI
Jonathan Ortiz    (2025-11-17 14:24:37)
ENTER MATERIAL DIAMETER HERE</t>
      </text>
    </comment>
    <comment authorId="0" ref="C13">
      <text>
        <t xml:space="preserve">======
ID#AAABuApmzVQ
Jonathan Ortiz    (2025-11-17 14:24:37)
ENTER MATERIAL LENGTH HERE</t>
      </text>
    </comment>
    <comment authorId="0" ref="B12">
      <text>
        <t xml:space="preserve">======
ID#AAABuApmzVY
Jonathan Ortiz    (2025-11-17 14:24:37)
USE THIS FORMULA FOR ROUND BAR ONLY</t>
      </text>
    </comment>
    <comment authorId="0" ref="B5">
      <text>
        <t xml:space="preserve">======
ID#AAABuApmzTk
Jonathan Ortiz    (2025-11-17 14:24:37)
ENTER MATERIAL DIAMETER HERE</t>
      </text>
    </comment>
    <comment authorId="0" ref="N13">
      <text>
        <t xml:space="preserve">======
ID#AAABuApmzTU
Jonathan Ortiz    (2025-11-17 14:24:37)
QUOTED PER PIECE PRICE</t>
      </text>
    </comment>
    <comment authorId="0" ref="C10">
      <text>
        <t xml:space="preserve">======
ID#AAABuApmzRI
Jonathan Ortiz    (2025-11-17 14:24:37)
Insert Material Length here.</t>
      </text>
    </comment>
    <comment authorId="0" ref="N10">
      <text>
        <t xml:space="preserve">======
ID#AAABuApmzRY
Jonathan Ortiz    (2025-11-17 14:24:37)
Quoted Price Per Part.</t>
      </text>
    </comment>
  </commentList>
  <extLst>
    <ext uri="GoogleSheetsCustomDataVersion2">
      <go:sheetsCustomData xmlns:go="http://customooxmlschemas.google.com/" r:id="rId1" roundtripDataSignature="AMtx7mhIBmBcNNxOWRQLmRqr/G10ikRDPA=="/>
    </ext>
  </extL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======
ID#AAABuApmzug
Jonathan Ortiz    (2025-11-17 14:24:37)
Insert Material Thickness Here.</t>
      </text>
    </comment>
    <comment authorId="0" ref="A24">
      <text>
        <t xml:space="preserve">======
ID#AAABuApmztg
Jonathan Ortiz    (2025-11-17 14:24:37)
USE THIS FORMULA FOR ROUND BAR ONLY</t>
      </text>
    </comment>
    <comment authorId="0" ref="A5">
      <text>
        <t xml:space="preserve">======
ID#AAABuApmzsM
Jonathan Ortiz    (2025-11-17 14:24:37)
USE THIS FORMULA FOR FLATE PLATE, RECTANGLE BAR, SQUARE BAR.</t>
      </text>
    </comment>
    <comment authorId="0" ref="B2">
      <text>
        <t xml:space="preserve">======
ID#AAABuApmzrE
Jonathan Ortiz    (2025-11-17 14:24:37)
Insert Material Width here.</t>
      </text>
    </comment>
    <comment authorId="0" ref="N6">
      <text>
        <t xml:space="preserve">======
ID#AAABuApmzo8
Jonathan Ortiz    (2025-11-17 14:24:37)
Quoted Price Per Part.</t>
      </text>
    </comment>
    <comment authorId="0" ref="N11">
      <text>
        <t xml:space="preserve">======
ID#AAABuApmzos
Jonathan Ortiz    (2025-11-17 14:24:37)
Quoted Price Per Part.</t>
      </text>
    </comment>
    <comment authorId="0" ref="C11">
      <text>
        <t xml:space="preserve">======
ID#AAABuApmzm0
Jonathan Ortiz    (2025-11-17 14:24:37)
Insert Material Length here.</t>
      </text>
    </comment>
    <comment authorId="0" ref="A14">
      <text>
        <t xml:space="preserve">======
ID#AAABuApmzl0
Jonathan Ortiz    (2025-11-17 14:24:37)
USE THIS FORMULA FOR FLATE PLATE, RECTANGLE BAR, SQUARE BAR.</t>
      </text>
    </comment>
    <comment authorId="0" ref="C2">
      <text>
        <t xml:space="preserve">======
ID#AAABuApmzic
Jonathan Ortiz    (2025-11-17 14:24:37)
Insert Material Length here.</t>
      </text>
    </comment>
    <comment authorId="0" ref="M25">
      <text>
        <t xml:space="preserve">======
ID#AAABuApmzio
Jonathan Ortiz    (2025-11-17 14:24:37)
QUOTED PER PIECE PRICE</t>
      </text>
    </comment>
    <comment authorId="0" ref="A6">
      <text>
        <t xml:space="preserve">======
ID#AAABuApmziE
Jonathan Ortiz    (2025-11-17 14:24:37)
Insert Material Thickness Here.</t>
      </text>
    </comment>
    <comment authorId="0" ref="A25">
      <text>
        <t xml:space="preserve">======
ID#AAABuApmzhk
Jonathan Ortiz    (2025-11-17 14:24:37)
ENTER MATERIAL DIAMETER HERE</t>
      </text>
    </comment>
    <comment authorId="0" ref="B15">
      <text>
        <t xml:space="preserve">======
ID#AAABuApmzcQ
Jonathan Ortiz    (2025-11-17 14:24:37)
Insert Material Width here.</t>
      </text>
    </comment>
    <comment authorId="0" ref="A11">
      <text>
        <t xml:space="preserve">======
ID#AAABuApmzcM
Jonathan Ortiz    (2025-11-17 14:24:37)
Insert Material Thickness Here.</t>
      </text>
    </comment>
    <comment authorId="0" ref="C6">
      <text>
        <t xml:space="preserve">======
ID#AAABuApmzb8
Jonathan Ortiz    (2025-11-17 14:24:37)
Insert Material Length here.</t>
      </text>
    </comment>
    <comment authorId="0" ref="B6">
      <text>
        <t xml:space="preserve">======
ID#AAABuApmzaM
Jonathan Ortiz    (2025-11-17 14:24:37)
Insert Material Width here.</t>
      </text>
    </comment>
    <comment authorId="0" ref="N2">
      <text>
        <t xml:space="preserve">======
ID#AAABuApmzXc
Jonathan Ortiz    (2025-11-17 14:24:37)
Quoted Price Per Part.</t>
      </text>
    </comment>
    <comment authorId="0" ref="A1">
      <text>
        <t xml:space="preserve">======
ID#AAABuApmzVo
Jonathan Ortiz    (2025-11-17 14:24:37)
USE THIS FORMULA FOR FLATE PLATE, RECTANGLE BAR, SQUARE BAR.</t>
      </text>
    </comment>
    <comment authorId="0" ref="C15">
      <text>
        <t xml:space="preserve">======
ID#AAABuApmzVM
Jonathan Ortiz    (2025-11-17 14:24:37)
Insert Material Length here.</t>
      </text>
    </comment>
    <comment authorId="0" ref="A2">
      <text>
        <t xml:space="preserve">======
ID#AAABuApmzSY
Jonathan Ortiz    (2025-11-17 14:24:37)
Insert Material Thickness Here.</t>
      </text>
    </comment>
    <comment authorId="0" ref="N15">
      <text>
        <t xml:space="preserve">======
ID#AAABuApmzSA
Jonathan Ortiz    (2025-11-17 14:24:37)
Quoted Price Per Part.</t>
      </text>
    </comment>
    <comment authorId="0" ref="B25">
      <text>
        <t xml:space="preserve">======
ID#AAABuApmzKw
Jonathan Ortiz    (2025-11-17 14:24:37)
ENTER MATERIAL LENGTH HERE</t>
      </text>
    </comment>
    <comment authorId="0" ref="B11">
      <text>
        <t xml:space="preserve">======
ID#AAABuAk8jWo
Jonathan Ortiz    (2025-11-17 14:24:37)
Insert Material Width here.</t>
      </text>
    </comment>
    <comment authorId="0" ref="A10">
      <text>
        <t xml:space="preserve">======
ID#AAABuAk8jV4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ih+HsvQxPIwaESlE/RDgMIefENqQ=="/>
    </ext>
  </extL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0">
      <text>
        <t xml:space="preserve">======
ID#AAABuApmzt0
Jonathan Ortiz    (2025-11-17 14:24:37)
Quoted Price Per Part.</t>
      </text>
    </comment>
    <comment authorId="0" ref="B6">
      <text>
        <t xml:space="preserve">======
ID#AAABuApmzqc
Jonathan Ortiz    (2025-11-17 14:24:37)
ENTER MATERIAL DIAMETER HERE</t>
      </text>
    </comment>
    <comment authorId="0" ref="C10">
      <text>
        <t xml:space="preserve">======
ID#AAABuApmzqY
Jonathan Ortiz    (2025-11-17 14:24:37)
Insert Material Length here.</t>
      </text>
    </comment>
    <comment authorId="0" ref="A2">
      <text>
        <t xml:space="preserve">======
ID#AAABuApmziM
Jonathan Ortiz    (2025-11-17 14:24:37)
Insert Material Thickness Here.</t>
      </text>
    </comment>
    <comment authorId="0" ref="C6">
      <text>
        <t xml:space="preserve">======
ID#AAABuApmzgw
Jonathan Ortiz    (2025-11-17 14:24:37)
ENTER MATERIAL LENGTH HERE</t>
      </text>
    </comment>
    <comment authorId="0" ref="A10">
      <text>
        <t xml:space="preserve">======
ID#AAABuApmze4
Jonathan Ortiz    (2025-11-17 14:24:37)
Insert Material Thickness Here.</t>
      </text>
    </comment>
    <comment authorId="0" ref="N6">
      <text>
        <t xml:space="preserve">======
ID#AAABuApmzdY
Jonathan Ortiz    (2025-11-17 14:24:37)
QUOTED PER PIECE PRICE</t>
      </text>
    </comment>
    <comment authorId="0" ref="B5">
      <text>
        <t xml:space="preserve">======
ID#AAABuApmzcs
Jonathan Ortiz    (2025-11-17 14:24:37)
USE THIS FORMULA FOR ROUND BAR ONLY</t>
      </text>
    </comment>
    <comment authorId="0" ref="A9">
      <text>
        <t xml:space="preserve">======
ID#AAABuApmzbI
Jonathan Ortiz    (2025-11-17 14:24:37)
USE THIS FORMULA FOR FLATE PLATE, RECTANGLE BAR, SQUARE BAR.</t>
      </text>
    </comment>
    <comment authorId="0" ref="B2">
      <text>
        <t xml:space="preserve">======
ID#AAABuApmzW8
Jonathan Ortiz    (2025-11-17 14:24:37)
Insert Material Width here.</t>
      </text>
    </comment>
    <comment authorId="0" ref="C2">
      <text>
        <t xml:space="preserve">======
ID#AAABuApmzV4
Jonathan Ortiz    (2025-11-17 14:24:37)
Insert Material Length here.</t>
      </text>
    </comment>
    <comment authorId="0" ref="A1">
      <text>
        <t xml:space="preserve">======
ID#AAABuApmzS0
Jonathan Ortiz    (2025-11-17 14:24:37)
USE THIS FORMULA FOR FLATE PLATE, RECTANGLE BAR, SQUARE BAR.</t>
      </text>
    </comment>
    <comment authorId="0" ref="N2">
      <text>
        <t xml:space="preserve">======
ID#AAABuApmzRM
Jonathan Ortiz    (2025-11-17 14:24:37)
Quoted Price Per Part.</t>
      </text>
    </comment>
    <comment authorId="0" ref="B10">
      <text>
        <t xml:space="preserve">======
ID#AAABwLdDBIQ
Jonathan Ortiz    (2025-11-17 14:24:37)
Insert Material Width here.</t>
      </text>
    </comment>
  </commentList>
  <extLst>
    <ext uri="GoogleSheetsCustomDataVersion2">
      <go:sheetsCustomData xmlns:go="http://customooxmlschemas.google.com/" r:id="rId1" roundtripDataSignature="AMtx7mivTKM14L9jdtbruNZEltmET6MmCg=="/>
    </ext>
  </extL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======
ID#AAABuApmznU
Jonathan Ortiz    (2025-11-17 14:24:37)
ENTER MATERIAL LENGTH HERE</t>
      </text>
    </comment>
    <comment authorId="0" ref="N2">
      <text>
        <t xml:space="preserve">======
ID#AAABuApmzl8
Jonathan Ortiz    (2025-11-17 14:24:37)
Quoted Price Per Part.</t>
      </text>
    </comment>
    <comment authorId="0" ref="N10">
      <text>
        <t xml:space="preserve">======
ID#AAABuApmzk0
Jonathan Ortiz    (2025-11-17 14:24:37)
Quoted Price Per Part.</t>
      </text>
    </comment>
    <comment authorId="0" ref="B5">
      <text>
        <t xml:space="preserve">======
ID#AAABuApmzkg
Jonathan Ortiz    (2025-11-17 14:24:37)
ENTER MATERIAL DIAMETER HERE</t>
      </text>
    </comment>
    <comment authorId="0" ref="A9">
      <text>
        <t xml:space="preserve">======
ID#AAABuApmzis
Jonathan Ortiz    (2025-11-17 14:24:37)
USE THIS FORMULA FOR FLATE PLATE, RECTANGLE BAR, SQUARE BAR.</t>
      </text>
    </comment>
    <comment authorId="0" ref="B2">
      <text>
        <t xml:space="preserve">======
ID#AAABuApmzgs
Jonathan Ortiz    (2025-11-17 14:24:37)
Insert Material Width here.</t>
      </text>
    </comment>
    <comment authorId="0" ref="A1">
      <text>
        <t xml:space="preserve">======
ID#AAABuApmzdo
Jonathan Ortiz    (2025-11-17 14:24:37)
USE THIS FORMULA FOR FLATE PLATE, RECTANGLE BAR, SQUARE BAR.</t>
      </text>
    </comment>
    <comment authorId="0" ref="B12">
      <text>
        <t xml:space="preserve">======
ID#AAABuApmzc8
Jonathan Ortiz    (2025-11-17 14:24:37)
USE THIS FORMULA FOR ROUND BAR ONLY</t>
      </text>
    </comment>
    <comment authorId="0" ref="N13">
      <text>
        <t xml:space="preserve">======
ID#AAABuApmzb0
Jonathan Ortiz    (2025-11-17 14:24:37)
QUOTED PER PIECE PRICE</t>
      </text>
    </comment>
    <comment authorId="0" ref="C13">
      <text>
        <t xml:space="preserve">======
ID#AAABuApmzas
Jonathan Ortiz    (2025-11-17 14:24:37)
ENTER MATERIAL LENGTH HERE</t>
      </text>
    </comment>
    <comment authorId="0" ref="B13">
      <text>
        <t xml:space="preserve">======
ID#AAABuApmzZE
Jonathan Ortiz    (2025-11-17 14:24:37)
ENTER MATERIAL DIAMETER HERE</t>
      </text>
    </comment>
    <comment authorId="0" ref="A10">
      <text>
        <t xml:space="preserve">======
ID#AAABuApmzWg
Jonathan Ortiz    (2025-11-17 14:24:37)
Insert Material Thickness Here.</t>
      </text>
    </comment>
    <comment authorId="0" ref="N5">
      <text>
        <t xml:space="preserve">======
ID#AAABuApmzWs
Jonathan Ortiz    (2025-11-17 14:24:37)
QUOTED PER PIECE PRICE</t>
      </text>
    </comment>
    <comment authorId="0" ref="B10">
      <text>
        <t xml:space="preserve">======
ID#AAABuApmzTM
Jonathan Ortiz    (2025-11-17 14:24:37)
Insert Material Width here.</t>
      </text>
    </comment>
    <comment authorId="0" ref="B4">
      <text>
        <t xml:space="preserve">======
ID#AAABuApmzRQ
Jonathan Ortiz    (2025-11-17 14:24:37)
USE THIS FORMULA FOR ROUND BAR ONLY</t>
      </text>
    </comment>
    <comment authorId="0" ref="C2">
      <text>
        <t xml:space="preserve">======
ID#AAABuApmzRE
Jonathan Ortiz    (2025-11-17 14:24:37)
Insert Material Length here.</t>
      </text>
    </comment>
    <comment authorId="0" ref="A2">
      <text>
        <t xml:space="preserve">======
ID#AAABuAk8jVs
Jonathan Ortiz    (2025-11-17 14:24:37)
Insert Material Thickness Here.</t>
      </text>
    </comment>
    <comment authorId="0" ref="C10">
      <text>
        <t xml:space="preserve">======
ID#AAABwLdDBIA
Jonathan Ortiz    (2025-11-17 14:24:37)
Insert Material Length here.</t>
      </text>
    </comment>
  </commentList>
  <extLst>
    <ext uri="GoogleSheetsCustomDataVersion2">
      <go:sheetsCustomData xmlns:go="http://customooxmlschemas.google.com/" r:id="rId1" roundtripDataSignature="AMtx7mjR2DkT11Hpv3AxYkKM7GTAMzSw9Q=="/>
    </ext>
  </extL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ID#AAABuApmzuU
Jonathan Ortiz    (2025-11-17 14:24:37)
Insert Material Width here.</t>
      </text>
    </comment>
    <comment authorId="0" ref="A1">
      <text>
        <t xml:space="preserve">======
ID#AAABuApmzto
Jonathan Ortiz    (2025-11-17 14:24:37)
USE THIS FORMULA FOR FLATE PLATE, RECTANGLE BAR, SQUARE BAR.</t>
      </text>
    </comment>
    <comment authorId="0" ref="A10">
      <text>
        <t xml:space="preserve">======
ID#AAABuApmzss
Jonathan Ortiz    (2025-11-17 14:24:37)
Insert Material Thickness Here.</t>
      </text>
    </comment>
    <comment authorId="0" ref="A2">
      <text>
        <t xml:space="preserve">======
ID#AAABuApmzsg
Jonathan Ortiz    (2025-11-17 14:24:37)
Insert Material Thickness Here.</t>
      </text>
    </comment>
    <comment authorId="0" ref="N13">
      <text>
        <t xml:space="preserve">======
ID#AAABuApmzpw
Jonathan Ortiz    (2025-11-17 14:24:37)
QUOTED PER PIECE PRICE</t>
      </text>
    </comment>
    <comment authorId="0" ref="N2">
      <text>
        <t xml:space="preserve">======
ID#AAABuApmzoU
Jonathan Ortiz    (2025-11-17 14:24:37)
Quoted Price Per Part.</t>
      </text>
    </comment>
    <comment authorId="0" ref="C5">
      <text>
        <t xml:space="preserve">======
ID#AAABuApmznA
Jonathan Ortiz    (2025-11-17 14:24:37)
ENTER MATERIAL LENGTH HERE</t>
      </text>
    </comment>
    <comment authorId="0" ref="C2">
      <text>
        <t xml:space="preserve">======
ID#AAABuApmzf4
Jonathan Ortiz    (2025-11-17 14:24:37)
Insert Material Length here.</t>
      </text>
    </comment>
    <comment authorId="0" ref="B12">
      <text>
        <t xml:space="preserve">======
ID#AAABuApmzf0
Jonathan Ortiz    (2025-11-17 14:24:37)
USE THIS FORMULA FOR ROUND BAR ONLY</t>
      </text>
    </comment>
    <comment authorId="0" ref="N10">
      <text>
        <t xml:space="preserve">======
ID#AAABuApmzfk
Jonathan Ortiz    (2025-11-17 14:24:37)
Quoted Price Per Part.</t>
      </text>
    </comment>
    <comment authorId="0" ref="C10">
      <text>
        <t xml:space="preserve">======
ID#AAABuApmzeQ
Jonathan Ortiz    (2025-11-17 14:24:37)
Insert Material Length here.</t>
      </text>
    </comment>
    <comment authorId="0" ref="C13">
      <text>
        <t xml:space="preserve">======
ID#AAABuApmzd8
Jonathan Ortiz    (2025-11-17 14:24:37)
ENTER MATERIAL LENGTH HERE</t>
      </text>
    </comment>
    <comment authorId="0" ref="B10">
      <text>
        <t xml:space="preserve">======
ID#AAABuApmzdM
Jonathan Ortiz    (2025-11-17 14:24:37)
Insert Material Width here.</t>
      </text>
    </comment>
    <comment authorId="0" ref="B5">
      <text>
        <t xml:space="preserve">======
ID#AAABuApmzcU
Jonathan Ortiz    (2025-11-17 14:24:37)
ENTER MATERIAL DIAMETER HERE</t>
      </text>
    </comment>
    <comment authorId="0" ref="N5">
      <text>
        <t xml:space="preserve">======
ID#AAABuApmzX8
Jonathan Ortiz    (2025-11-17 14:24:37)
QUOTED PER PIECE PRICE</t>
      </text>
    </comment>
    <comment authorId="0" ref="A9">
      <text>
        <t xml:space="preserve">======
ID#AAABuApmzUY
Jonathan Ortiz    (2025-11-17 14:24:37)
USE THIS FORMULA FOR FLATE PLATE, RECTANGLE BAR, SQUARE BAR.</t>
      </text>
    </comment>
    <comment authorId="0" ref="B4">
      <text>
        <t xml:space="preserve">======
ID#AAABuApmzUo
Jonathan Ortiz    (2025-11-17 14:24:37)
USE THIS FORMULA FOR ROUND BAR ONLY</t>
      </text>
    </comment>
    <comment authorId="0" ref="B13">
      <text>
        <t xml:space="preserve">======
ID#AAABuApmzT8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jNcVkePaRpwBlGyyoCqWn0qQylxw=="/>
    </ext>
  </extL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ID#AAABuApmzrM
Jonathan Ortiz    (2025-11-17 14:24:37)
Insert Material Length here.</t>
      </text>
    </comment>
    <comment authorId="0" ref="N6">
      <text>
        <t xml:space="preserve">======
ID#AAABuApmzmk
Jonathan Ortiz    (2025-11-17 14:24:37)
QUOTED PER PIECE PRICE</t>
      </text>
    </comment>
    <comment authorId="0" ref="A2">
      <text>
        <t xml:space="preserve">======
ID#AAABuApmzgg
Jonathan Ortiz    (2025-11-17 14:24:37)
Insert Material Thickness Here.</t>
      </text>
    </comment>
    <comment authorId="0" ref="A1">
      <text>
        <t xml:space="preserve">======
ID#AAABuApmzd0
Jonathan Ortiz    (2025-11-17 14:24:37)
USE THIS FORMULA FOR FLATE PLATE, RECTANGLE BAR, SQUARE BAR.</t>
      </text>
    </comment>
    <comment authorId="0" ref="N2">
      <text>
        <t xml:space="preserve">======
ID#AAABuApmzdE
Jonathan Ortiz    (2025-11-17 14:24:37)
Quoted Price Per Part.</t>
      </text>
    </comment>
    <comment authorId="0" ref="B5">
      <text>
        <t xml:space="preserve">======
ID#AAABuApmzcw
Jonathan Ortiz    (2025-11-17 14:24:37)
USE THIS FORMULA FOR ROUND BAR ONLY</t>
      </text>
    </comment>
    <comment authorId="0" ref="B2">
      <text>
        <t xml:space="preserve">======
ID#AAABuApmzWM
Jonathan Ortiz    (2025-11-17 14:24:37)
Insert Material Width here.</t>
      </text>
    </comment>
    <comment authorId="0" ref="C6">
      <text>
        <t xml:space="preserve">======
ID#AAABuAk8jWU
Jonathan Ortiz    (2025-11-17 14:24:37)
ENTER MATERIAL LENGTH HERE</t>
      </text>
    </comment>
    <comment authorId="0" ref="B6">
      <text>
        <t xml:space="preserve">======
ID#AAABuAk8jWQ
Jonathan Ortiz    (2025-11-17 14:24:37)
ENTER MATERIAL DIAMETER HERE</t>
      </text>
    </comment>
  </commentList>
  <extLst>
    <ext uri="GoogleSheetsCustomDataVersion2">
      <go:sheetsCustomData xmlns:go="http://customooxmlschemas.google.com/" r:id="rId1" roundtripDataSignature="AMtx7mi8qa9PBkEa8nAhW/yI196gtpjCUw=="/>
    </ext>
  </extL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ID#AAABuApmzsw
Jonathan Ortiz    (2025-11-17 14:24:37)
USE THIS FORMULA FOR ROUND BAR ONLY</t>
      </text>
    </comment>
    <comment authorId="0" ref="C2">
      <text>
        <t xml:space="preserve">======
ID#AAABuApmzr4
Jonathan Ortiz    (2025-11-17 14:24:37)
Insert Material Length here.</t>
      </text>
    </comment>
    <comment authorId="0" ref="N5">
      <text>
        <t xml:space="preserve">======
ID#AAABuApmzok
Jonathan Ortiz    (2025-11-17 14:24:37)
QUOTED PER PIECE PRICE</t>
      </text>
    </comment>
    <comment authorId="0" ref="B5">
      <text>
        <t xml:space="preserve">======
ID#AAABuApmzlU
Jonathan Ortiz    (2025-11-17 14:24:37)
ENTER MATERIAL DIAMETER HERE</t>
      </text>
    </comment>
    <comment authorId="0" ref="B2">
      <text>
        <t xml:space="preserve">======
ID#AAABuApmzlI
Jonathan Ortiz    (2025-11-17 14:24:37)
Insert Material Width here.</t>
      </text>
    </comment>
    <comment authorId="0" ref="A2">
      <text>
        <t xml:space="preserve">======
ID#AAABuApmzkM
Jonathan Ortiz    (2025-11-17 14:24:37)
Insert Material Thickness Here.</t>
      </text>
    </comment>
    <comment authorId="0" ref="C5">
      <text>
        <t xml:space="preserve">======
ID#AAABuApmze8
Jonathan Ortiz    (2025-11-17 14:24:37)
ENTER MATERIAL LENGTH HERE</t>
      </text>
    </comment>
    <comment authorId="0" ref="N2">
      <text>
        <t xml:space="preserve">======
ID#AAABuApmzUs
Jonathan Ortiz    (2025-11-17 14:24:37)
Quoted Price Per Part.</t>
      </text>
    </comment>
    <comment authorId="0" ref="A1">
      <text>
        <t xml:space="preserve">======
ID#AAABuApmzT0
Jonathan Ortiz    (2025-11-17 14:24:37)
USE THIS FORMULA FOR FLATE PLATE, RECTANGLE BAR, SQUARE BAR.</t>
      </text>
    </comment>
  </commentList>
  <extLst>
    <ext uri="GoogleSheetsCustomDataVersion2">
      <go:sheetsCustomData xmlns:go="http://customooxmlschemas.google.com/" r:id="rId1" roundtripDataSignature="AMtx7mi138ZwhGBUMt1MnL9S+lRpHdrIoA=="/>
    </ext>
  </extLst>
</comments>
</file>

<file path=xl/sharedStrings.xml><?xml version="1.0" encoding="utf-8"?>
<sst xmlns="http://schemas.openxmlformats.org/spreadsheetml/2006/main" count="4067" uniqueCount="320">
  <si>
    <t>Flat Bar and Plate Price Calculator</t>
  </si>
  <si>
    <t>Thick/in</t>
  </si>
  <si>
    <t>Width/in</t>
  </si>
  <si>
    <t>Length/in</t>
  </si>
  <si>
    <t>Resolution</t>
  </si>
  <si>
    <t>Index</t>
  </si>
  <si>
    <t>Area/in</t>
  </si>
  <si>
    <t xml:space="preserve">Number of indexes </t>
  </si>
  <si>
    <t>Sec/scanline</t>
  </si>
  <si>
    <t>Load time</t>
  </si>
  <si>
    <t>Time/ min</t>
  </si>
  <si>
    <t>Total time</t>
  </si>
  <si>
    <t>Hrly Rate</t>
  </si>
  <si>
    <t>Minute Rate</t>
  </si>
  <si>
    <t>Price per part</t>
  </si>
  <si>
    <t>QUANTITY OF PARTS</t>
  </si>
  <si>
    <t>LOT CHARGE</t>
  </si>
  <si>
    <t>TECHNIQUE FEE</t>
  </si>
  <si>
    <t>ENV. FEE RATE</t>
  </si>
  <si>
    <t>SUB TOTAL</t>
  </si>
  <si>
    <t>ENV. FEE</t>
  </si>
  <si>
    <t>GRAND TOTAL</t>
  </si>
  <si>
    <t>MIN CHARGE</t>
  </si>
  <si>
    <t>MIN LOT QTY</t>
  </si>
  <si>
    <t>.250"</t>
  </si>
  <si>
    <t>PREMCO PRICING</t>
  </si>
  <si>
    <t>LARGE PLATE</t>
  </si>
  <si>
    <t>HIGH RESOLUTION SCANNING</t>
  </si>
  <si>
    <t>Round Bar  Price Calculator</t>
  </si>
  <si>
    <t>Diameter</t>
  </si>
  <si>
    <t>Circumference</t>
  </si>
  <si>
    <t>No. Indexes</t>
  </si>
  <si>
    <t>Sec per scanline</t>
  </si>
  <si>
    <t>Load Time</t>
  </si>
  <si>
    <t>Time / min</t>
  </si>
  <si>
    <t>Total Time</t>
  </si>
  <si>
    <t>Price per bar</t>
  </si>
  <si>
    <t>UNIT Pricing</t>
  </si>
  <si>
    <t>Diameter (in.)</t>
  </si>
  <si>
    <t>Length (in. R/L)</t>
  </si>
  <si>
    <t>Index Rate</t>
  </si>
  <si>
    <t>Scan Speed</t>
  </si>
  <si>
    <t>Rate / Minute</t>
  </si>
  <si>
    <t>Cycle Time in Minutes</t>
  </si>
  <si>
    <t>Rate / Hour</t>
  </si>
  <si>
    <t>Qty of Bars</t>
  </si>
  <si>
    <t>Price / Bar</t>
  </si>
  <si>
    <t>Env Fee</t>
  </si>
  <si>
    <t>Env Fee / Part</t>
  </si>
  <si>
    <t>Total Unit Price</t>
  </si>
  <si>
    <t>How many bars until Unit Price</t>
  </si>
  <si>
    <t>PO Price</t>
  </si>
  <si>
    <t xml:space="preserve">Min Lot Charge </t>
  </si>
  <si>
    <t>LOAD TIME</t>
  </si>
  <si>
    <t>Quoted by &amp; Date</t>
  </si>
  <si>
    <t>Price/bar</t>
  </si>
  <si>
    <t>JO 9/9/2025</t>
  </si>
  <si>
    <t>JO 7/11/2025</t>
  </si>
  <si>
    <t xml:space="preserve"> </t>
  </si>
  <si>
    <t>Cubic inches</t>
  </si>
  <si>
    <t>in a cubic foot</t>
  </si>
  <si>
    <t>Water</t>
  </si>
  <si>
    <t>Product weight per cu/ft:</t>
  </si>
  <si>
    <t>Material</t>
  </si>
  <si>
    <t>Specification</t>
  </si>
  <si>
    <t>Specific Gravity</t>
  </si>
  <si>
    <t>Weight</t>
  </si>
  <si>
    <t>DENSITY</t>
  </si>
  <si>
    <t>Testing rate per pound:</t>
  </si>
  <si>
    <t>Al</t>
  </si>
  <si>
    <t>Width</t>
  </si>
  <si>
    <t>Thick</t>
  </si>
  <si>
    <t>Length</t>
  </si>
  <si>
    <t>Cubic Inches</t>
  </si>
  <si>
    <t>Cubic Feet</t>
  </si>
  <si>
    <t>Pounds</t>
  </si>
  <si>
    <t>Revenue</t>
  </si>
  <si>
    <t>SS</t>
  </si>
  <si>
    <t>s/b 488 or 490</t>
  </si>
  <si>
    <t>Ti</t>
  </si>
  <si>
    <t>/   307.5</t>
  </si>
  <si>
    <t>Mild Steel</t>
  </si>
  <si>
    <t>Tungsten</t>
  </si>
  <si>
    <t>Nickel</t>
  </si>
  <si>
    <t>.</t>
  </si>
  <si>
    <t>ALLOY</t>
  </si>
  <si>
    <t>ROUND BAR DIAMETER (INCHES)</t>
  </si>
  <si>
    <t>LENGTH</t>
  </si>
  <si>
    <t>RADIUS</t>
  </si>
  <si>
    <t>PI</t>
  </si>
  <si>
    <t>AREA (CUBIC INCHES)</t>
  </si>
  <si>
    <t>VOLUME</t>
  </si>
  <si>
    <t>WEIGHT (LBS)</t>
  </si>
  <si>
    <t>PER POUND PRICE</t>
  </si>
  <si>
    <t>PER BAR PRICE</t>
  </si>
  <si>
    <t>CAPACITY</t>
  </si>
  <si>
    <t>MILD STEEL</t>
  </si>
  <si>
    <t>STAINLESS STEEL</t>
  </si>
  <si>
    <t>ALUMINUM</t>
  </si>
  <si>
    <t>TITANIUM</t>
  </si>
  <si>
    <t>NICKEL ALLOYS</t>
  </si>
  <si>
    <t>RING Price Calculator</t>
  </si>
  <si>
    <t>OD</t>
  </si>
  <si>
    <t>ID</t>
  </si>
  <si>
    <t>Wall Thickness</t>
  </si>
  <si>
    <t>Pi</t>
  </si>
  <si>
    <t>Area/in/OD</t>
  </si>
  <si>
    <t>Area/in/FACE</t>
  </si>
  <si>
    <t>Number of indexes OD</t>
  </si>
  <si>
    <t>Number of Indexes FACE</t>
  </si>
  <si>
    <t>Sec/scanline OD</t>
  </si>
  <si>
    <t>Sec/Scanline FACE</t>
  </si>
  <si>
    <t>Time/ Min OD</t>
  </si>
  <si>
    <t>Time/ Min FACE</t>
  </si>
  <si>
    <t>Price per RING</t>
  </si>
  <si>
    <t>RING</t>
  </si>
  <si>
    <t>Price Calculator for TUBING</t>
  </si>
  <si>
    <t>Price per SCAN</t>
  </si>
  <si>
    <t>NUMBER OF SCANS</t>
  </si>
  <si>
    <t>PER PIECE PRICE</t>
  </si>
  <si>
    <t>TUBES</t>
  </si>
  <si>
    <t>ENV FEE</t>
  </si>
  <si>
    <t>QUANTITY</t>
  </si>
  <si>
    <t>TOTAL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</si>
  <si>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</si>
  <si>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</si>
  <si>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NOTES</t>
  </si>
  <si>
    <t>CAPACITIES</t>
  </si>
  <si>
    <t xml:space="preserve">PLATE SIZE: 68.5" WIDE X 240" LONG </t>
  </si>
  <si>
    <t>TECH. FEE</t>
  </si>
  <si>
    <t>PLATE WEIGHT: 10K</t>
  </si>
  <si>
    <t>YES</t>
  </si>
  <si>
    <t>LEAD TIME</t>
  </si>
  <si>
    <t>4-5 DAYS</t>
  </si>
  <si>
    <t>ROUND BAR CONVENIONAL SIZE: 36.00" DIA. X 15' LONG</t>
  </si>
  <si>
    <t>DELIVERY FEE</t>
  </si>
  <si>
    <t>N/A</t>
  </si>
  <si>
    <t>ROUND BAR CONVENIONAL WEIGHT: 6K</t>
  </si>
  <si>
    <t>ROUND BAR C-SCAN SIZE: 24.00" DIA. X 15' LONG</t>
  </si>
  <si>
    <t>ROUND BAR C-SCAN WEIGHT: 4K</t>
  </si>
  <si>
    <t>EXT PRICE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</si>
  <si>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</si>
  <si>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</si>
  <si>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NO</t>
  </si>
  <si>
    <t>EXTENDED PRICE</t>
  </si>
  <si>
    <t>C- SCAN Flat Bar and Plate Price Calculator</t>
  </si>
  <si>
    <t>EXTEDNDED PRICE</t>
  </si>
  <si>
    <t>C-SCAN Round Bar  Price Calculator</t>
  </si>
  <si>
    <t>Price Per Bar</t>
  </si>
  <si>
    <t>ext$</t>
  </si>
  <si>
    <t>min$</t>
  </si>
  <si>
    <t>QUANTITY=</t>
  </si>
  <si>
    <t>LOT CHARGE=</t>
  </si>
  <si>
    <t>OLYMPIC AVIATION</t>
  </si>
  <si>
    <t>STAINLESS STEEL CLASS A Flat Bar and Plate Price Calculator</t>
  </si>
  <si>
    <t>Price per part in Time</t>
  </si>
  <si>
    <t>Price per part in Weight</t>
  </si>
  <si>
    <t>Price per Part</t>
  </si>
  <si>
    <t>CLASS A</t>
  </si>
  <si>
    <t>STAINLESS STEEL CLASS AA Flat Bar and Plate Price Calculator</t>
  </si>
  <si>
    <t>CLASS AA</t>
  </si>
  <si>
    <t>TITANIUM CLASS A Flat Bar and Plate Price Calculator</t>
  </si>
  <si>
    <t>TITANIUM CLASS AA Flat Bar and Plate Price Calculator</t>
  </si>
  <si>
    <t>MATERIAL SPECIFICATIONS</t>
  </si>
  <si>
    <t>Testing rate per pound CLASS A:</t>
  </si>
  <si>
    <t>Testing rate per pound CLASS AA:</t>
  </si>
  <si>
    <t>Depth</t>
  </si>
  <si>
    <t>NICKEL ALLOY CLASS A Flat Bar and Plate Price Calculator</t>
  </si>
  <si>
    <t>NICKEL ALLOY CLASS AA Flat Bar and Plate Price Calculator</t>
  </si>
  <si>
    <t>ALLOY METALS</t>
  </si>
  <si>
    <t>AVIATION METALS</t>
  </si>
  <si>
    <t>LOCATION DEPENDANT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</si>
  <si>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</si>
  <si>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</si>
  <si>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ROUND BAR PRICING</t>
  </si>
  <si>
    <t>Under .250</t>
  </si>
  <si>
    <t>.250 - .374</t>
  </si>
  <si>
    <t>EXT$</t>
  </si>
  <si>
    <t>MIN$</t>
  </si>
  <si>
    <t>.375 - .499</t>
  </si>
  <si>
    <t>.500 - .624</t>
  </si>
  <si>
    <t>.625 - .749</t>
  </si>
  <si>
    <t>.750 - .999</t>
  </si>
  <si>
    <t>1.00 - 1.24</t>
  </si>
  <si>
    <t>1.25 - 1.49</t>
  </si>
  <si>
    <t>1.50 - 1.74</t>
  </si>
  <si>
    <t>1.75 - 1.99</t>
  </si>
  <si>
    <t>2.00 - 2.24</t>
  </si>
  <si>
    <t>2.25 - 2.49</t>
  </si>
  <si>
    <t>2.50 - 2.74</t>
  </si>
  <si>
    <t>2.75 - 2.99</t>
  </si>
  <si>
    <t>3.00 - 3.24</t>
  </si>
  <si>
    <t>3.25 - 3.49</t>
  </si>
  <si>
    <t>3.50 - 3.74</t>
  </si>
  <si>
    <t>3.75 - 3.99</t>
  </si>
  <si>
    <t>4.00 - 4.24</t>
  </si>
  <si>
    <t>4.25 - 4.49</t>
  </si>
  <si>
    <t>4.50 - 4.74</t>
  </si>
  <si>
    <t>4.75 - 4.99</t>
  </si>
  <si>
    <t>5.00 - 5.24</t>
  </si>
  <si>
    <t>5.25 - 5.49</t>
  </si>
  <si>
    <t>5.50 - 5.74</t>
  </si>
  <si>
    <t>5.75 - 5.99</t>
  </si>
  <si>
    <t>6.00 - 6.24</t>
  </si>
  <si>
    <t>6.25 - 6.49</t>
  </si>
  <si>
    <t>6.50 - 6.74</t>
  </si>
  <si>
    <t>6.75 - 6.99</t>
  </si>
  <si>
    <t>7.00 - 7.24</t>
  </si>
  <si>
    <t>7.25 - 7.49</t>
  </si>
  <si>
    <t>7.50 - 7.74</t>
  </si>
  <si>
    <t>7.75 - 7.99</t>
  </si>
  <si>
    <t>8.00 - 8.49</t>
  </si>
  <si>
    <t>8.50 - 8.99</t>
  </si>
  <si>
    <t>9.00 - 9.49</t>
  </si>
  <si>
    <t>9.50 - 9.99</t>
  </si>
  <si>
    <t>10.00 - 10.49</t>
  </si>
  <si>
    <t>10.50 - 10.99</t>
  </si>
  <si>
    <t>11.00 - 11.49</t>
  </si>
  <si>
    <t>11.50 - 11.99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</si>
  <si>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</si>
  <si>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</si>
  <si>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VARIOUS</t>
  </si>
  <si>
    <t>CERTIFIED STEEL: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</si>
  <si>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</si>
  <si>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</si>
  <si>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HUB</t>
  </si>
  <si>
    <t>MIN CHARGE = $225.00 +$5 ENV.</t>
  </si>
  <si>
    <t>2025 PRICING</t>
  </si>
  <si>
    <t>PART NO</t>
  </si>
  <si>
    <t>PRICE</t>
  </si>
  <si>
    <t>METHOD</t>
  </si>
  <si>
    <t xml:space="preserve">QUOTED BY </t>
  </si>
  <si>
    <t>6.00DIA. X 69.00</t>
  </si>
  <si>
    <t>UT</t>
  </si>
  <si>
    <t>JO 2025</t>
  </si>
  <si>
    <t>6.25OD X 72.00</t>
  </si>
  <si>
    <t>5.00OD X 19.00LG</t>
  </si>
  <si>
    <t>2.125" DIA X 36.00"</t>
  </si>
  <si>
    <t>3.50" DIA.X 72.0"</t>
  </si>
  <si>
    <t>3.115/3.135 X 36.00"</t>
  </si>
  <si>
    <t>3.25" DIA X 72.00"</t>
  </si>
  <si>
    <t>145H6602-F3</t>
  </si>
  <si>
    <t>145H6702-F3</t>
  </si>
  <si>
    <t>02-2401 rev. D</t>
  </si>
  <si>
    <t>02-2501-2</t>
  </si>
  <si>
    <t>02-2501-02</t>
  </si>
  <si>
    <t>1.74/1.76 X 36</t>
  </si>
  <si>
    <t>5.00" DIA X 72.00</t>
  </si>
  <si>
    <t>5.50" DIA X 69.00</t>
  </si>
  <si>
    <t>6.50" DIA X 72.00</t>
  </si>
  <si>
    <t>F0249376-3</t>
  </si>
  <si>
    <t>986350-284-001</t>
  </si>
  <si>
    <t>5.25 x 11.00 x 36.00</t>
  </si>
  <si>
    <t>2.25 X 6.75 X 16.25</t>
  </si>
  <si>
    <t>6.00" DIA, X 9.55" LG</t>
  </si>
  <si>
    <t>2.75 X 3.75 X 36.00</t>
  </si>
  <si>
    <t>6.00" Dia. X 6.63" lg</t>
  </si>
  <si>
    <t>6.00" Dia. X 8.63" lg</t>
  </si>
  <si>
    <t>2.50" X 7.25" X 7.25</t>
  </si>
  <si>
    <t>1.50 X 4.50 X 9.50</t>
  </si>
  <si>
    <t>2.25 X 5.00 X 12.25</t>
  </si>
  <si>
    <t>1.25 X 5.50 X 10.236</t>
  </si>
  <si>
    <t>6.00" OD X 4.63" LG</t>
  </si>
  <si>
    <t>6.00" OD X 10.63" LG</t>
  </si>
  <si>
    <t>6.00" OD X 9.63" LG</t>
  </si>
  <si>
    <t>3.50 x 4.50 x 8.80</t>
  </si>
  <si>
    <t>5.50" OD x 20.00" LG</t>
  </si>
  <si>
    <t>ut</t>
  </si>
  <si>
    <t>JO 9/25</t>
  </si>
  <si>
    <t>3.00" DIA. X 144" LG</t>
  </si>
  <si>
    <t>JO 10/25</t>
  </si>
  <si>
    <t xml:space="preserve">2.375DIA X 36.00 </t>
  </si>
  <si>
    <t>SCRUB</t>
  </si>
  <si>
    <t>MACHINED</t>
  </si>
  <si>
    <t xml:space="preserve">               Flat Bar and Plate Price Calculator</t>
  </si>
  <si>
    <t>ENVIRONMENTAL FEE</t>
  </si>
  <si>
    <t xml:space="preserve">JR MACHINE </t>
  </si>
  <si>
    <t>C-Scan Flat Bar and Plate Price Calculator</t>
  </si>
  <si>
    <t>C-SCAN PRICING</t>
  </si>
  <si>
    <t>JR Machine</t>
  </si>
  <si>
    <t>C-Scan Round Bar  Price Calculator</t>
  </si>
  <si>
    <t>C-Scan Pricing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</si>
  <si>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</si>
  <si>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</si>
  <si>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</si>
  <si>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</si>
  <si>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</si>
  <si>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</si>
  <si>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</si>
  <si>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</si>
  <si>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r>
      <rPr>
        <rFont val="Calibri"/>
        <b/>
        <color rgb="FF0070C0"/>
        <sz val="20.0"/>
      </rPr>
      <t>THIN SHEET</t>
    </r>
    <r>
      <rPr>
        <rFont val="Calibri"/>
        <b/>
        <color theme="1"/>
        <sz val="20.0"/>
      </rPr>
      <t xml:space="preserve"> Price Calculator (DOUBLE SIDED INSPECTION)</t>
    </r>
  </si>
  <si>
    <t>Ultrasonic Pricing will be as follows:</t>
  </si>
  <si>
    <t>Each Listed Piece:</t>
  </si>
  <si>
    <t>Quantity of Parts:</t>
  </si>
  <si>
    <t>Sub-Total:</t>
  </si>
  <si>
    <t>Environmental Fee:</t>
  </si>
  <si>
    <t>Grand Total:</t>
  </si>
  <si>
    <t>Do not hesitate to contact us with any questions.</t>
  </si>
  <si>
    <t>***$0.13/LB over 6.00"st X 6.00"lt***</t>
  </si>
  <si>
    <t>PROGRESSIVE</t>
  </si>
  <si>
    <t>Q&amp;L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</si>
  <si>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</si>
  <si>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</si>
  <si>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RAM ALLOYS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</si>
  <si>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</si>
  <si>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</si>
  <si>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RED LION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</si>
  <si>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</si>
  <si>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</si>
  <si>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Pacific Metal Cutting: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</si>
  <si>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</si>
  <si>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</si>
  <si>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SUPERIOR</t>
  </si>
  <si>
    <t>Technique Development Fee:</t>
  </si>
  <si>
    <t>Flat Bar and Plate Price Calculator Titanium Distrubution Services Only</t>
  </si>
  <si>
    <t>THICKNESS</t>
  </si>
  <si>
    <r>
      <rPr>
        <rFont val="Calibri"/>
        <b/>
        <color rgb="FF0070C0"/>
        <sz val="20.0"/>
      </rPr>
      <t>C- SCAN</t>
    </r>
    <r>
      <rPr>
        <rFont val="Calibri"/>
        <b/>
        <color theme="1"/>
        <sz val="20.0"/>
      </rPr>
      <t xml:space="preserve"> Flat Bar and Plate Price Calculator</t>
    </r>
  </si>
  <si>
    <r>
      <rPr>
        <rFont val="Calibri"/>
        <b/>
        <color rgb="FF0070C0"/>
        <sz val="20.0"/>
      </rPr>
      <t>C-SCAN</t>
    </r>
    <r>
      <rPr>
        <rFont val="Calibri"/>
        <b/>
        <color theme="1"/>
        <sz val="20.0"/>
      </rPr>
      <t xml:space="preserve"> Round Bar  Price Calculator</t>
    </r>
  </si>
  <si>
    <t>TRUE STEEL</t>
  </si>
  <si>
    <t>(When Required)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</si>
</sst>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_);[Red]\(&quot;$&quot;#,##0\)"/>
    <numFmt numFmtId="165" formatCode="&quot;$&quot;#,##0.00_);[Red]\(&quot;$&quot;#,##0.00\)"/>
    <numFmt numFmtId="166" formatCode="&quot;$&quot;#,##0.00"/>
    <numFmt numFmtId="167" formatCode="_(&quot;$&quot;* #,##0.00_);_(&quot;$&quot;* \(#,##0.00\);_(&quot;$&quot;* &quot;-&quot;??_);_(@_)"/>
    <numFmt numFmtId="168" formatCode="0.000"/>
    <numFmt numFmtId="169" formatCode="0.0000"/>
  </numFmts>
  <fonts count="29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sz val="12.0"/>
      <color theme="1"/>
      <name val="Aptos"/>
    </font>
    <font>
      <b/>
      <sz val="12.0"/>
      <color theme="1"/>
      <name val="Aptos"/>
    </font>
    <font>
      <color theme="1"/>
      <name val="Calibri"/>
      <scheme val="minor"/>
    </font>
    <font/>
    <font>
      <sz val="9.0"/>
      <color theme="1"/>
      <name val="Calibri"/>
    </font>
    <font>
      <b/>
      <sz val="20.0"/>
      <color theme="1"/>
      <name val="Calibri"/>
    </font>
    <font>
      <b/>
      <sz val="11.0"/>
      <color rgb="FF000000"/>
      <name val="Calibri"/>
    </font>
    <font>
      <sz val="11.0"/>
      <color rgb="FF9C5700"/>
      <name val="Calibri"/>
    </font>
    <font>
      <b/>
      <sz val="16.0"/>
      <color rgb="FFFFFF00"/>
      <name val="Calibri"/>
    </font>
    <font>
      <b/>
      <sz val="11.0"/>
      <color rgb="FF001D35"/>
      <name val="Calibri"/>
    </font>
    <font>
      <b/>
      <sz val="14.0"/>
      <color rgb="FFFFFF00"/>
      <name val="Calibri"/>
    </font>
    <font>
      <b/>
      <sz val="16.0"/>
      <color rgb="FFFF0000"/>
      <name val="Calibri"/>
    </font>
    <font>
      <b/>
      <sz val="16.0"/>
      <color theme="8"/>
      <name val="Calibri"/>
    </font>
    <font>
      <sz val="14.0"/>
      <color theme="1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sz val="20.0"/>
      <color theme="1"/>
      <name val="Calibri"/>
    </font>
    <font>
      <sz val="24.0"/>
      <color theme="1"/>
      <name val="Calibri"/>
    </font>
    <font>
      <b/>
      <sz val="12.0"/>
      <color theme="1"/>
      <name val="Calibri"/>
    </font>
    <font>
      <sz val="11.0"/>
      <color rgb="FF000000"/>
      <name val="Aptos"/>
    </font>
    <font>
      <sz val="11.0"/>
      <color theme="1"/>
      <name val="Aptos"/>
    </font>
    <font>
      <sz val="11.0"/>
      <color rgb="FF006100"/>
      <name val="Calibri"/>
    </font>
    <font>
      <sz val="11.0"/>
      <color theme="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rgb="FF00B050"/>
      </patternFill>
    </fill>
    <fill>
      <patternFill patternType="solid">
        <fgColor rgb="FFD5E6F4"/>
        <bgColor rgb="FFD5E6F4"/>
      </patternFill>
    </fill>
    <fill>
      <patternFill patternType="solid">
        <fgColor rgb="FFC6EFCE"/>
        <bgColor rgb="FFC6EFCE"/>
      </patternFill>
    </fill>
  </fills>
  <borders count="52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</border>
    <border>
      <right style="thick">
        <color rgb="FF92D050"/>
      </right>
      <top style="thick">
        <color rgb="FF92D050"/>
      </top>
      <bottom style="thick">
        <color rgb="FF92D050"/>
      </bottom>
    </border>
    <border>
      <right style="thick">
        <color rgb="FF92D050"/>
      </right>
    </border>
    <border>
      <left style="thick">
        <color rgb="FF92D050"/>
      </left>
      <right style="thick">
        <color rgb="FF92D050"/>
      </right>
      <top/>
      <bottom style="thick">
        <color rgb="FF92D050"/>
      </bottom>
    </border>
    <border>
      <left/>
      <right style="thick">
        <color rgb="FF92D050"/>
      </right>
      <top/>
      <bottom style="thick">
        <color rgb="FF92D050"/>
      </bottom>
    </border>
    <border>
      <left style="thick">
        <color rgb="FF92D050"/>
      </left>
      <top style="thick">
        <color rgb="FF92D050"/>
      </top>
    </border>
    <border>
      <top style="thick">
        <color rgb="FF92D050"/>
      </top>
    </border>
    <border>
      <right style="thick">
        <color rgb="FF92D050"/>
      </right>
      <top style="thick">
        <color rgb="FF92D050"/>
      </top>
    </border>
    <border>
      <left style="thick">
        <color rgb="FF92D050"/>
      </left>
      <bottom style="thick">
        <color rgb="FF92D050"/>
      </bottom>
    </border>
    <border>
      <bottom style="thick">
        <color rgb="FF92D050"/>
      </bottom>
    </border>
    <border>
      <right style="thick">
        <color rgb="FF92D050"/>
      </right>
      <bottom style="thick">
        <color rgb="FF92D050"/>
      </bottom>
    </border>
    <border>
      <left style="thick">
        <color rgb="FF92D050"/>
      </left>
      <top style="thick">
        <color rgb="FF92D050"/>
      </top>
      <bottom style="thick">
        <color rgb="FF92D050"/>
      </bottom>
    </border>
    <border>
      <left style="thick">
        <color rgb="FF92D050"/>
      </left>
      <right style="thick">
        <color rgb="FF92D050"/>
      </right>
      <top/>
      <bottom/>
    </border>
    <border>
      <left/>
      <right style="thick">
        <color rgb="FF92D050"/>
      </right>
      <top/>
      <bottom/>
    </border>
    <border>
      <left style="thick">
        <color rgb="FF92D050"/>
      </left>
      <right style="thick">
        <color rgb="FF92D050"/>
      </right>
    </border>
    <border>
      <left style="thick">
        <color rgb="FF92D050"/>
      </left>
      <right style="thick">
        <color rgb="FF92D050"/>
      </right>
      <bottom style="thick">
        <color rgb="FF92D05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0" fillId="0" fontId="3" numFmtId="0" xfId="0" applyFont="1"/>
    <xf borderId="3" fillId="0" fontId="1" numFmtId="0" xfId="0" applyAlignment="1" applyBorder="1" applyFont="1">
      <alignment vertical="top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vertical="top"/>
    </xf>
    <xf borderId="5" fillId="0" fontId="4" numFmtId="0" xfId="0" applyAlignment="1" applyBorder="1" applyFont="1">
      <alignment horizontal="center" vertical="top"/>
    </xf>
    <xf borderId="5" fillId="2" fontId="4" numFmtId="0" xfId="0" applyAlignment="1" applyBorder="1" applyFill="1" applyFont="1">
      <alignment horizontal="center" vertical="top"/>
    </xf>
    <xf borderId="5" fillId="0" fontId="3" numFmtId="0" xfId="0" applyBorder="1" applyFont="1"/>
    <xf borderId="5" fillId="0" fontId="5" numFmtId="0" xfId="0" applyAlignment="1" applyBorder="1" applyFont="1">
      <alignment shrinkToFit="0" wrapText="1"/>
    </xf>
    <xf borderId="5" fillId="0" fontId="5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 shrinkToFit="0" wrapText="1"/>
    </xf>
    <xf borderId="5" fillId="3" fontId="3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/>
    </xf>
    <xf borderId="5" fillId="5" fontId="3" numFmtId="0" xfId="0" applyAlignment="1" applyBorder="1" applyFill="1" applyFont="1">
      <alignment horizontal="center"/>
    </xf>
    <xf borderId="5" fillId="6" fontId="3" numFmtId="164" xfId="0" applyAlignment="1" applyBorder="1" applyFill="1" applyFont="1" applyNumberFormat="1">
      <alignment horizontal="center"/>
    </xf>
    <xf borderId="5" fillId="5" fontId="3" numFmtId="165" xfId="0" applyAlignment="1" applyBorder="1" applyFont="1" applyNumberFormat="1">
      <alignment horizontal="center"/>
    </xf>
    <xf borderId="6" fillId="7" fontId="3" numFmtId="0" xfId="0" applyBorder="1" applyFill="1" applyFont="1"/>
    <xf borderId="5" fillId="3" fontId="3" numFmtId="0" xfId="0" applyBorder="1" applyFont="1"/>
    <xf borderId="5" fillId="5" fontId="3" numFmtId="165" xfId="0" applyBorder="1" applyFont="1" applyNumberFormat="1"/>
    <xf borderId="5" fillId="6" fontId="3" numFmtId="166" xfId="0" applyBorder="1" applyFont="1" applyNumberFormat="1"/>
    <xf borderId="5" fillId="7" fontId="3" numFmtId="9" xfId="0" applyAlignment="1" applyBorder="1" applyFont="1" applyNumberFormat="1">
      <alignment horizontal="center"/>
    </xf>
    <xf borderId="5" fillId="8" fontId="3" numFmtId="166" xfId="0" applyBorder="1" applyFill="1" applyFont="1" applyNumberFormat="1"/>
    <xf borderId="5" fillId="8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top"/>
    </xf>
    <xf borderId="0" fillId="0" fontId="3" numFmtId="165" xfId="0" applyFont="1" applyNumberFormat="1"/>
    <xf borderId="0" fillId="0" fontId="3" numFmtId="166" xfId="0" applyFont="1" applyNumberFormat="1"/>
    <xf borderId="0" fillId="0" fontId="3" numFmtId="9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2" numFmtId="0" xfId="0" applyAlignment="1" applyFont="1">
      <alignment vertical="top"/>
    </xf>
    <xf borderId="7" fillId="0" fontId="1" numFmtId="0" xfId="0" applyAlignment="1" applyBorder="1" applyFont="1">
      <alignment vertical="top"/>
    </xf>
    <xf borderId="8" fillId="0" fontId="3" numFmtId="0" xfId="0" applyBorder="1" applyFont="1"/>
    <xf borderId="8" fillId="0" fontId="3" numFmtId="165" xfId="0" applyBorder="1" applyFont="1" applyNumberFormat="1"/>
    <xf borderId="8" fillId="0" fontId="3" numFmtId="166" xfId="0" applyBorder="1" applyFont="1" applyNumberFormat="1"/>
    <xf borderId="8" fillId="0" fontId="3" numFmtId="9" xfId="0" applyAlignment="1" applyBorder="1" applyFont="1" applyNumberFormat="1">
      <alignment horizontal="center"/>
    </xf>
    <xf borderId="8" fillId="0" fontId="3" numFmtId="165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vertical="top"/>
    </xf>
    <xf borderId="5" fillId="2" fontId="5" numFmtId="0" xfId="0" applyAlignment="1" applyBorder="1" applyFont="1">
      <alignment horizontal="center" vertical="top"/>
    </xf>
    <xf borderId="5" fillId="0" fontId="5" numFmtId="165" xfId="0" applyBorder="1" applyFont="1" applyNumberFormat="1"/>
    <xf borderId="5" fillId="0" fontId="5" numFmtId="166" xfId="0" applyBorder="1" applyFont="1" applyNumberFormat="1"/>
    <xf borderId="5" fillId="0" fontId="5" numFmtId="9" xfId="0" applyAlignment="1" applyBorder="1" applyFont="1" applyNumberFormat="1">
      <alignment horizontal="center" shrinkToFit="0" wrapText="1"/>
    </xf>
    <xf borderId="5" fillId="0" fontId="5" numFmtId="165" xfId="0" applyAlignment="1" applyBorder="1" applyFont="1" applyNumberFormat="1">
      <alignment horizontal="center"/>
    </xf>
    <xf borderId="5" fillId="7" fontId="3" numFmtId="0" xfId="0" applyAlignment="1" applyBorder="1" applyFont="1">
      <alignment horizontal="center"/>
    </xf>
    <xf borderId="5" fillId="7" fontId="3" numFmtId="0" xfId="0" applyBorder="1" applyFont="1"/>
    <xf borderId="5" fillId="5" fontId="3" numFmtId="0" xfId="0" applyBorder="1" applyFont="1"/>
    <xf borderId="6" fillId="3" fontId="3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Font="1"/>
    <xf borderId="0" fillId="0" fontId="3" numFmtId="0" xfId="0" applyAlignment="1" applyFont="1">
      <alignment shrinkToFit="0" wrapText="1"/>
    </xf>
    <xf borderId="5" fillId="6" fontId="3" numFmtId="0" xfId="0" applyBorder="1" applyFont="1"/>
    <xf borderId="5" fillId="6" fontId="3" numFmtId="0" xfId="0" applyAlignment="1" applyBorder="1" applyFont="1">
      <alignment shrinkToFit="0" wrapText="1"/>
    </xf>
    <xf borderId="6" fillId="3" fontId="3" numFmtId="0" xfId="0" applyAlignment="1" applyBorder="1" applyFont="1">
      <alignment shrinkToFit="0" wrapText="1"/>
    </xf>
    <xf borderId="6" fillId="5" fontId="3" numFmtId="0" xfId="0" applyAlignment="1" applyBorder="1" applyFont="1">
      <alignment shrinkToFit="0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/>
    </xf>
    <xf borderId="6" fillId="5" fontId="3" numFmtId="0" xfId="0" applyBorder="1" applyFont="1"/>
    <xf borderId="12" fillId="0" fontId="9" numFmtId="0" xfId="0" applyBorder="1" applyFont="1"/>
    <xf borderId="13" fillId="0" fontId="9" numFmtId="0" xfId="0" applyBorder="1" applyFont="1"/>
    <xf borderId="14" fillId="0" fontId="3" numFmtId="0" xfId="0" applyAlignment="1" applyBorder="1" applyFont="1">
      <alignment horizontal="center"/>
    </xf>
    <xf borderId="5" fillId="6" fontId="3" numFmtId="167" xfId="0" applyBorder="1" applyFont="1" applyNumberFormat="1"/>
    <xf borderId="6" fillId="5" fontId="3" numFmtId="167" xfId="0" applyBorder="1" applyFont="1" applyNumberFormat="1"/>
    <xf borderId="0" fillId="0" fontId="3" numFmtId="9" xfId="0" applyFont="1" applyNumberFormat="1"/>
    <xf borderId="0" fillId="0" fontId="3" numFmtId="167" xfId="0" applyFont="1" applyNumberFormat="1"/>
    <xf borderId="15" fillId="0" fontId="3" numFmtId="168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/>
    </xf>
    <xf borderId="16" fillId="0" fontId="3" numFmtId="166" xfId="0" applyAlignment="1" applyBorder="1" applyFont="1" applyNumberFormat="1">
      <alignment horizontal="center"/>
    </xf>
    <xf borderId="17" fillId="0" fontId="3" numFmtId="169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/>
    </xf>
    <xf borderId="5" fillId="0" fontId="3" numFmtId="166" xfId="0" applyAlignment="1" applyBorder="1" applyFont="1" applyNumberFormat="1">
      <alignment horizontal="center"/>
    </xf>
    <xf borderId="17" fillId="0" fontId="3" numFmtId="168" xfId="0" applyAlignment="1" applyBorder="1" applyFont="1" applyNumberFormat="1">
      <alignment horizontal="center" vertical="center"/>
    </xf>
    <xf borderId="5" fillId="5" fontId="3" numFmtId="166" xfId="0" applyAlignment="1" applyBorder="1" applyFont="1" applyNumberFormat="1">
      <alignment horizontal="center"/>
    </xf>
    <xf borderId="6" fillId="3" fontId="3" numFmtId="167" xfId="0" applyBorder="1" applyFont="1" applyNumberFormat="1"/>
    <xf borderId="6" fillId="6" fontId="3" numFmtId="0" xfId="0" applyBorder="1" applyFont="1"/>
    <xf borderId="18" fillId="0" fontId="3" numFmtId="168" xfId="0" applyAlignment="1" applyBorder="1" applyFont="1" applyNumberFormat="1">
      <alignment horizontal="center" vertical="center"/>
    </xf>
    <xf borderId="14" fillId="0" fontId="3" numFmtId="166" xfId="0" applyAlignment="1" applyBorder="1" applyFont="1" applyNumberFormat="1">
      <alignment horizontal="center"/>
    </xf>
    <xf borderId="19" fillId="0" fontId="3" numFmtId="0" xfId="0" applyBorder="1" applyFont="1"/>
    <xf borderId="3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6" fillId="8" fontId="3" numFmtId="0" xfId="0" applyBorder="1" applyFont="1"/>
    <xf borderId="22" fillId="0" fontId="3" numFmtId="0" xfId="0" applyBorder="1" applyFont="1"/>
    <xf borderId="6" fillId="3" fontId="3" numFmtId="165" xfId="0" applyBorder="1" applyFont="1" applyNumberFormat="1"/>
    <xf borderId="21" fillId="0" fontId="10" numFmtId="0" xfId="0" applyBorder="1" applyFont="1"/>
    <xf borderId="0" fillId="0" fontId="10" numFmtId="0" xfId="0" applyFont="1"/>
    <xf borderId="22" fillId="0" fontId="10" numFmtId="0" xfId="0" applyBorder="1" applyFont="1"/>
    <xf borderId="23" fillId="3" fontId="3" numFmtId="0" xfId="0" applyBorder="1" applyFont="1"/>
    <xf borderId="24" fillId="3" fontId="3" numFmtId="165" xfId="0" applyBorder="1" applyFont="1" applyNumberFormat="1"/>
    <xf borderId="23" fillId="9" fontId="3" numFmtId="0" xfId="0" applyBorder="1" applyFill="1" applyFont="1"/>
    <xf borderId="6" fillId="9" fontId="3" numFmtId="0" xfId="0" applyBorder="1" applyFont="1"/>
    <xf borderId="24" fillId="9" fontId="3" numFmtId="165" xfId="0" applyBorder="1" applyFont="1" applyNumberFormat="1"/>
    <xf borderId="23" fillId="10" fontId="3" numFmtId="0" xfId="0" applyBorder="1" applyFill="1" applyFont="1"/>
    <xf borderId="6" fillId="10" fontId="3" numFmtId="0" xfId="0" applyBorder="1" applyFont="1"/>
    <xf borderId="24" fillId="10" fontId="3" numFmtId="165" xfId="0" applyBorder="1" applyFont="1" applyNumberFormat="1"/>
    <xf borderId="23" fillId="11" fontId="3" numFmtId="0" xfId="0" applyBorder="1" applyFill="1" applyFont="1"/>
    <xf borderId="6" fillId="11" fontId="3" numFmtId="0" xfId="0" applyBorder="1" applyFont="1"/>
    <xf borderId="24" fillId="11" fontId="3" numFmtId="165" xfId="0" applyBorder="1" applyFont="1" applyNumberFormat="1"/>
    <xf borderId="25" fillId="3" fontId="3" numFmtId="0" xfId="0" applyBorder="1" applyFont="1"/>
    <xf borderId="26" fillId="3" fontId="3" numFmtId="0" xfId="0" applyBorder="1" applyFont="1"/>
    <xf borderId="2" fillId="0" fontId="3" numFmtId="0" xfId="0" applyBorder="1" applyFont="1"/>
    <xf borderId="27" fillId="0" fontId="3" numFmtId="165" xfId="0" applyBorder="1" applyFont="1" applyNumberFormat="1"/>
    <xf borderId="5" fillId="0" fontId="3" numFmtId="0" xfId="0" applyAlignment="1" applyBorder="1" applyFont="1">
      <alignment shrinkToFit="0" wrapText="1"/>
    </xf>
    <xf borderId="23" fillId="8" fontId="3" numFmtId="0" xfId="0" applyBorder="1" applyFont="1"/>
    <xf borderId="6" fillId="8" fontId="3" numFmtId="0" xfId="0" applyAlignment="1" applyBorder="1" applyFont="1">
      <alignment horizontal="center"/>
    </xf>
    <xf borderId="24" fillId="8" fontId="3" numFmtId="0" xfId="0" applyBorder="1" applyFont="1"/>
    <xf borderId="6" fillId="3" fontId="3" numFmtId="166" xfId="0" applyBorder="1" applyFont="1" applyNumberFormat="1"/>
    <xf borderId="6" fillId="5" fontId="3" numFmtId="166" xfId="0" applyBorder="1" applyFont="1" applyNumberFormat="1"/>
    <xf borderId="23" fillId="12" fontId="3" numFmtId="0" xfId="0" applyBorder="1" applyFill="1" applyFont="1"/>
    <xf borderId="6" fillId="12" fontId="3" numFmtId="0" xfId="0" applyAlignment="1" applyBorder="1" applyFont="1">
      <alignment horizontal="center"/>
    </xf>
    <xf borderId="6" fillId="12" fontId="3" numFmtId="0" xfId="0" applyBorder="1" applyFont="1"/>
    <xf borderId="24" fillId="12" fontId="3" numFmtId="0" xfId="0" applyBorder="1" applyFont="1"/>
    <xf borderId="23" fillId="13" fontId="3" numFmtId="0" xfId="0" applyBorder="1" applyFill="1" applyFont="1"/>
    <xf borderId="6" fillId="13" fontId="3" numFmtId="0" xfId="0" applyAlignment="1" applyBorder="1" applyFont="1">
      <alignment horizontal="center"/>
    </xf>
    <xf borderId="6" fillId="13" fontId="3" numFmtId="0" xfId="0" applyBorder="1" applyFont="1"/>
    <xf borderId="24" fillId="13" fontId="3" numFmtId="0" xfId="0" applyBorder="1" applyFont="1"/>
    <xf borderId="23" fillId="14" fontId="3" numFmtId="0" xfId="0" applyBorder="1" applyFill="1" applyFont="1"/>
    <xf borderId="6" fillId="14" fontId="3" numFmtId="0" xfId="0" applyAlignment="1" applyBorder="1" applyFont="1">
      <alignment horizontal="center"/>
    </xf>
    <xf borderId="6" fillId="14" fontId="3" numFmtId="0" xfId="0" applyBorder="1" applyFont="1"/>
    <xf borderId="24" fillId="14" fontId="3" numFmtId="0" xfId="0" applyBorder="1" applyFont="1"/>
    <xf borderId="25" fillId="15" fontId="3" numFmtId="0" xfId="0" applyBorder="1" applyFill="1" applyFont="1"/>
    <xf borderId="26" fillId="15" fontId="3" numFmtId="0" xfId="0" applyAlignment="1" applyBorder="1" applyFont="1">
      <alignment horizontal="center"/>
    </xf>
    <xf borderId="26" fillId="15" fontId="3" numFmtId="0" xfId="0" applyBorder="1" applyFont="1"/>
    <xf borderId="28" fillId="15" fontId="3" numFmtId="0" xfId="0" applyBorder="1" applyFont="1"/>
    <xf borderId="5" fillId="0" fontId="4" numFmtId="0" xfId="0" applyAlignment="1" applyBorder="1" applyFont="1">
      <alignment horizontal="center" shrinkToFit="0" vertical="top" wrapText="1"/>
    </xf>
    <xf borderId="5" fillId="2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shrinkToFit="0" wrapText="1"/>
    </xf>
    <xf borderId="19" fillId="0" fontId="1" numFmtId="0" xfId="0" applyAlignment="1" applyBorder="1" applyFont="1">
      <alignment vertical="top"/>
    </xf>
    <xf borderId="3" fillId="0" fontId="3" numFmtId="165" xfId="0" applyBorder="1" applyFont="1" applyNumberFormat="1"/>
    <xf borderId="3" fillId="0" fontId="3" numFmtId="166" xfId="0" applyBorder="1" applyFont="1" applyNumberFormat="1"/>
    <xf borderId="3" fillId="0" fontId="3" numFmtId="9" xfId="0" applyAlignment="1" applyBorder="1" applyFont="1" applyNumberFormat="1">
      <alignment horizontal="center"/>
    </xf>
    <xf borderId="3" fillId="0" fontId="3" numFmtId="165" xfId="0" applyAlignment="1" applyBorder="1" applyFont="1" applyNumberFormat="1">
      <alignment horizontal="center"/>
    </xf>
    <xf borderId="20" fillId="0" fontId="3" numFmtId="0" xfId="0" applyAlignment="1" applyBorder="1" applyFont="1">
      <alignment horizontal="center"/>
    </xf>
    <xf borderId="5" fillId="2" fontId="5" numFmtId="0" xfId="0" applyAlignment="1" applyBorder="1" applyFont="1">
      <alignment horizontal="center" shrinkToFit="0" vertical="top" wrapText="1"/>
    </xf>
    <xf borderId="5" fillId="3" fontId="5" numFmtId="0" xfId="0" applyAlignment="1" applyBorder="1" applyFont="1">
      <alignment horizontal="center" shrinkToFit="0" vertical="top" wrapText="1"/>
    </xf>
    <xf borderId="26" fillId="3" fontId="3" numFmtId="0" xfId="0" applyAlignment="1" applyBorder="1" applyFont="1">
      <alignment horizontal="center"/>
    </xf>
    <xf borderId="26" fillId="5" fontId="3" numFmtId="165" xfId="0" applyBorder="1" applyFont="1" applyNumberFormat="1"/>
    <xf borderId="7" fillId="0" fontId="11" numFmtId="0" xfId="0" applyAlignment="1" applyBorder="1" applyFont="1">
      <alignment vertical="top"/>
    </xf>
    <xf borderId="8" fillId="0" fontId="2" numFmtId="0" xfId="0" applyAlignment="1" applyBorder="1" applyFont="1">
      <alignment vertical="top"/>
    </xf>
    <xf borderId="8" fillId="0" fontId="1" numFmtId="0" xfId="0" applyAlignment="1" applyBorder="1" applyFont="1">
      <alignment vertical="top"/>
    </xf>
    <xf borderId="16" fillId="0" fontId="5" numFmtId="0" xfId="0" applyAlignment="1" applyBorder="1" applyFont="1">
      <alignment horizontal="center" vertical="top"/>
    </xf>
    <xf borderId="29" fillId="2" fontId="5" numFmtId="0" xfId="0" applyAlignment="1" applyBorder="1" applyFont="1">
      <alignment horizontal="center" vertical="top"/>
    </xf>
    <xf borderId="16" fillId="0" fontId="5" numFmtId="0" xfId="0" applyBorder="1" applyFont="1"/>
    <xf borderId="16" fillId="0" fontId="5" numFmtId="0" xfId="0" applyAlignment="1" applyBorder="1" applyFont="1">
      <alignment shrinkToFit="0" wrapText="1"/>
    </xf>
    <xf borderId="16" fillId="0" fontId="5" numFmtId="0" xfId="0" applyAlignment="1" applyBorder="1" applyFont="1">
      <alignment horizontal="center" shrinkToFit="0" wrapText="1"/>
    </xf>
    <xf borderId="5" fillId="6" fontId="3" numFmtId="9" xfId="0" applyBorder="1" applyFont="1" applyNumberFormat="1"/>
    <xf borderId="5" fillId="8" fontId="3" numFmtId="0" xfId="0" applyBorder="1" applyFont="1"/>
    <xf borderId="19" fillId="0" fontId="11" numFmtId="0" xfId="0" applyAlignment="1" applyBorder="1" applyFont="1">
      <alignment vertical="top"/>
    </xf>
    <xf borderId="3" fillId="0" fontId="3" numFmtId="9" xfId="0" applyBorder="1" applyFont="1" applyNumberFormat="1"/>
    <xf borderId="0" fillId="0" fontId="5" numFmtId="0" xfId="0" applyFont="1"/>
    <xf borderId="5" fillId="0" fontId="5" numFmtId="9" xfId="0" applyBorder="1" applyFont="1" applyNumberFormat="1"/>
    <xf borderId="7" fillId="0" fontId="5" numFmtId="0" xfId="0" applyAlignment="1" applyBorder="1" applyFont="1">
      <alignment horizontal="center"/>
    </xf>
    <xf borderId="7" fillId="0" fontId="5" numFmtId="165" xfId="0" applyBorder="1" applyFont="1" applyNumberFormat="1"/>
    <xf borderId="4" fillId="0" fontId="5" numFmtId="165" xfId="0" applyBorder="1" applyFont="1" applyNumberFormat="1"/>
    <xf borderId="7" fillId="0" fontId="5" numFmtId="165" xfId="0" applyAlignment="1" applyBorder="1" applyFont="1" applyNumberFormat="1">
      <alignment horizontal="center"/>
    </xf>
    <xf borderId="29" fillId="5" fontId="3" numFmtId="165" xfId="0" applyBorder="1" applyFont="1" applyNumberFormat="1"/>
    <xf borderId="29" fillId="8" fontId="3" numFmtId="166" xfId="0" applyBorder="1" applyFont="1" applyNumberFormat="1"/>
    <xf borderId="29" fillId="8" fontId="3" numFmtId="0" xfId="0" applyBorder="1" applyFont="1"/>
    <xf borderId="3" fillId="0" fontId="1" numFmtId="0" xfId="0" applyBorder="1" applyFont="1"/>
    <xf borderId="22" fillId="0" fontId="3" numFmtId="165" xfId="0" applyBorder="1" applyFont="1" applyNumberFormat="1"/>
    <xf borderId="22" fillId="0" fontId="3" numFmtId="0" xfId="0" applyAlignment="1" applyBorder="1" applyFont="1">
      <alignment horizontal="right"/>
    </xf>
    <xf borderId="1" fillId="0" fontId="3" numFmtId="0" xfId="0" applyBorder="1" applyFont="1"/>
    <xf borderId="27" fillId="0" fontId="3" numFmtId="165" xfId="0" applyAlignment="1" applyBorder="1" applyFont="1" applyNumberFormat="1">
      <alignment horizontal="right"/>
    </xf>
    <xf borderId="27" fillId="0" fontId="3" numFmtId="0" xfId="0" applyBorder="1" applyFont="1"/>
    <xf borderId="16" fillId="0" fontId="12" numFmtId="0" xfId="0" applyAlignment="1" applyBorder="1" applyFont="1">
      <alignment shrinkToFit="0" wrapText="1"/>
    </xf>
    <xf borderId="5" fillId="3" fontId="3" numFmtId="165" xfId="0" applyBorder="1" applyFont="1" applyNumberFormat="1"/>
    <xf borderId="29" fillId="3" fontId="3" numFmtId="165" xfId="0" applyBorder="1" applyFont="1" applyNumberFormat="1"/>
    <xf borderId="30" fillId="3" fontId="4" numFmtId="0" xfId="0" applyAlignment="1" applyBorder="1" applyFont="1">
      <alignment horizontal="center" shrinkToFit="0" vertical="top" wrapText="1"/>
    </xf>
    <xf borderId="30" fillId="3" fontId="5" numFmtId="0" xfId="0" applyAlignment="1" applyBorder="1" applyFont="1">
      <alignment shrinkToFit="0" wrapText="1"/>
    </xf>
    <xf borderId="30" fillId="0" fontId="5" numFmtId="0" xfId="0" applyBorder="1" applyFont="1"/>
    <xf borderId="30" fillId="0" fontId="5" numFmtId="0" xfId="0" applyAlignment="1" applyBorder="1" applyFont="1">
      <alignment shrinkToFit="0" wrapText="1"/>
    </xf>
    <xf borderId="30" fillId="0" fontId="5" numFmtId="0" xfId="0" applyAlignment="1" applyBorder="1" applyFont="1">
      <alignment horizontal="center"/>
    </xf>
    <xf borderId="31" fillId="0" fontId="5" numFmtId="0" xfId="0" applyAlignment="1" applyBorder="1" applyFont="1">
      <alignment shrinkToFit="0" wrapText="1"/>
    </xf>
    <xf borderId="32" fillId="0" fontId="5" numFmtId="0" xfId="0" applyAlignment="1" applyBorder="1" applyFont="1">
      <alignment shrinkToFit="0" wrapText="1"/>
    </xf>
    <xf borderId="33" fillId="3" fontId="3" numFmtId="165" xfId="0" applyAlignment="1" applyBorder="1" applyFont="1" applyNumberFormat="1">
      <alignment horizontal="center"/>
    </xf>
    <xf borderId="33" fillId="3" fontId="3" numFmtId="0" xfId="0" applyBorder="1" applyFont="1"/>
    <xf borderId="33" fillId="5" fontId="3" numFmtId="165" xfId="0" applyBorder="1" applyFont="1" applyNumberFormat="1"/>
    <xf borderId="33" fillId="6" fontId="3" numFmtId="166" xfId="0" applyBorder="1" applyFont="1" applyNumberFormat="1"/>
    <xf borderId="33" fillId="7" fontId="3" numFmtId="9" xfId="0" applyAlignment="1" applyBorder="1" applyFont="1" applyNumberFormat="1">
      <alignment horizontal="center"/>
    </xf>
    <xf borderId="33" fillId="5" fontId="3" numFmtId="165" xfId="0" applyAlignment="1" applyBorder="1" applyFont="1" applyNumberFormat="1">
      <alignment horizontal="center"/>
    </xf>
    <xf borderId="34" fillId="5" fontId="3" numFmtId="165" xfId="0" applyBorder="1" applyFont="1" applyNumberForma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165" xfId="0" applyBorder="1" applyFont="1" applyNumberFormat="1"/>
    <xf borderId="5" fillId="4" fontId="13" numFmtId="0" xfId="0" applyAlignment="1" applyBorder="1" applyFont="1">
      <alignment horizontal="center"/>
    </xf>
    <xf borderId="5" fillId="6" fontId="13" numFmtId="164" xfId="0" applyAlignment="1" applyBorder="1" applyFont="1" applyNumberFormat="1">
      <alignment horizontal="center"/>
    </xf>
    <xf borderId="5" fillId="5" fontId="13" numFmtId="165" xfId="0" applyAlignment="1" applyBorder="1" applyFont="1" applyNumberFormat="1">
      <alignment horizontal="center"/>
    </xf>
    <xf borderId="25" fillId="16" fontId="14" numFmtId="0" xfId="0" applyAlignment="1" applyBorder="1" applyFill="1" applyFont="1">
      <alignment vertical="top"/>
    </xf>
    <xf borderId="26" fillId="16" fontId="2" numFmtId="0" xfId="0" applyAlignment="1" applyBorder="1" applyFont="1">
      <alignment vertical="top"/>
    </xf>
    <xf borderId="5" fillId="10" fontId="4" numFmtId="0" xfId="0" applyAlignment="1" applyBorder="1" applyFont="1">
      <alignment horizontal="center" shrinkToFit="0" vertical="top" wrapText="1"/>
    </xf>
    <xf borderId="6" fillId="10" fontId="3" numFmtId="165" xfId="0" applyAlignment="1" applyBorder="1" applyFont="1" applyNumberFormat="1">
      <alignment horizontal="center"/>
    </xf>
    <xf borderId="6" fillId="10" fontId="15" numFmtId="166" xfId="0" applyBorder="1" applyFont="1" applyNumberFormat="1"/>
    <xf borderId="26" fillId="16" fontId="16" numFmtId="0" xfId="0" applyAlignment="1" applyBorder="1" applyFont="1">
      <alignment vertical="top"/>
    </xf>
    <xf borderId="25" fillId="16" fontId="17" numFmtId="0" xfId="0" applyAlignment="1" applyBorder="1" applyFont="1">
      <alignment vertical="top"/>
    </xf>
    <xf borderId="19" fillId="0" fontId="5" numFmtId="0" xfId="0" applyBorder="1" applyFont="1"/>
    <xf borderId="6" fillId="17" fontId="3" numFmtId="166" xfId="0" applyAlignment="1" applyBorder="1" applyFill="1" applyFont="1" applyNumberFormat="1">
      <alignment horizontal="center"/>
    </xf>
    <xf borderId="6" fillId="17" fontId="3" numFmtId="166" xfId="0" applyBorder="1" applyFont="1" applyNumberFormat="1"/>
    <xf borderId="6" fillId="2" fontId="3" numFmtId="165" xfId="0" applyAlignment="1" applyBorder="1" applyFont="1" applyNumberFormat="1">
      <alignment horizontal="center"/>
    </xf>
    <xf borderId="5" fillId="3" fontId="3" numFmtId="166" xfId="0" applyBorder="1" applyFont="1" applyNumberFormat="1"/>
    <xf borderId="25" fillId="16" fontId="18" numFmtId="0" xfId="0" applyAlignment="1" applyBorder="1" applyFont="1">
      <alignment vertical="top"/>
    </xf>
    <xf borderId="0" fillId="0" fontId="3" numFmtId="3" xfId="0" applyFont="1" applyNumberFormat="1"/>
    <xf borderId="5" fillId="3" fontId="3" numFmtId="0" xfId="0" applyAlignment="1" applyBorder="1" applyFont="1">
      <alignment horizontal="center" readingOrder="0"/>
    </xf>
    <xf borderId="29" fillId="3" fontId="3" numFmtId="0" xfId="0" applyBorder="1" applyFont="1"/>
    <xf borderId="7" fillId="0" fontId="1" numFmtId="0" xfId="0" applyAlignment="1" applyBorder="1" applyFont="1">
      <alignment horizontal="center"/>
    </xf>
    <xf borderId="8" fillId="0" fontId="9" numFmtId="0" xfId="0" applyBorder="1" applyFont="1"/>
    <xf borderId="4" fillId="0" fontId="9" numFmtId="0" xfId="0" applyBorder="1" applyFont="1"/>
    <xf borderId="22" fillId="0" fontId="3" numFmtId="165" xfId="0" applyAlignment="1" applyBorder="1" applyFont="1" applyNumberFormat="1">
      <alignment horizontal="right"/>
    </xf>
    <xf borderId="0" fillId="0" fontId="3" numFmtId="0" xfId="0" applyAlignment="1" applyFont="1">
      <alignment horizontal="right"/>
    </xf>
    <xf borderId="41" fillId="0" fontId="19" numFmtId="0" xfId="0" applyAlignment="1" applyBorder="1" applyFont="1">
      <alignment horizontal="center"/>
    </xf>
    <xf borderId="31" fillId="0" fontId="9" numFmtId="0" xfId="0" applyBorder="1" applyFont="1"/>
    <xf borderId="42" fillId="18" fontId="20" numFmtId="0" xfId="0" applyAlignment="1" applyBorder="1" applyFill="1" applyFont="1">
      <alignment horizontal="center" shrinkToFit="0" vertical="center" wrapText="1"/>
    </xf>
    <xf borderId="43" fillId="18" fontId="20" numFmtId="165" xfId="0" applyAlignment="1" applyBorder="1" applyFont="1" applyNumberFormat="1">
      <alignment horizontal="center" shrinkToFit="0" vertical="center" wrapText="1"/>
    </xf>
    <xf borderId="44" fillId="0" fontId="21" numFmtId="0" xfId="0" applyAlignment="1" applyBorder="1" applyFont="1">
      <alignment horizontal="center" shrinkToFit="0" vertical="center" wrapText="1"/>
    </xf>
    <xf borderId="32" fillId="0" fontId="21" numFmtId="165" xfId="0" applyAlignment="1" applyBorder="1" applyFont="1" applyNumberFormat="1">
      <alignment horizontal="center" shrinkToFit="0" vertical="center" wrapText="1"/>
    </xf>
    <xf borderId="45" fillId="0" fontId="21" numFmtId="0" xfId="0" applyAlignment="1" applyBorder="1" applyFont="1">
      <alignment horizontal="center" shrinkToFit="0" vertical="center" wrapText="1"/>
    </xf>
    <xf borderId="40" fillId="0" fontId="21" numFmtId="165" xfId="0" applyAlignment="1" applyBorder="1" applyFont="1" applyNumberFormat="1">
      <alignment horizontal="center" shrinkToFit="0" vertical="center" wrapText="1"/>
    </xf>
    <xf borderId="5" fillId="5" fontId="5" numFmtId="165" xfId="0" applyAlignment="1" applyBorder="1" applyFont="1" applyNumberFormat="1">
      <alignment horizontal="center"/>
    </xf>
    <xf borderId="5" fillId="5" fontId="5" numFmtId="165" xfId="0" applyBorder="1" applyFont="1" applyNumberFormat="1"/>
    <xf borderId="19" fillId="0" fontId="22" numFmtId="0" xfId="0" applyAlignment="1" applyBorder="1" applyFont="1">
      <alignment horizontal="center"/>
    </xf>
    <xf borderId="3" fillId="0" fontId="9" numFmtId="0" xfId="0" applyBorder="1" applyFont="1"/>
    <xf borderId="20" fillId="0" fontId="9" numFmtId="0" xfId="0" applyBorder="1" applyFont="1"/>
    <xf borderId="1" fillId="0" fontId="9" numFmtId="0" xfId="0" applyBorder="1" applyFont="1"/>
    <xf borderId="2" fillId="0" fontId="9" numFmtId="0" xfId="0" applyBorder="1" applyFont="1"/>
    <xf borderId="27" fillId="0" fontId="9" numFmtId="0" xfId="0" applyBorder="1" applyFont="1"/>
    <xf borderId="19" fillId="0" fontId="23" numFmtId="0" xfId="0" applyAlignment="1" applyBorder="1" applyFont="1">
      <alignment horizontal="center"/>
    </xf>
    <xf borderId="5" fillId="5" fontId="3" numFmtId="166" xfId="0" applyBorder="1" applyFont="1" applyNumberFormat="1"/>
    <xf borderId="46" fillId="0" fontId="3" numFmtId="0" xfId="0" applyBorder="1" applyFont="1"/>
    <xf borderId="47" fillId="5" fontId="3" numFmtId="166" xfId="0" applyBorder="1" applyFont="1" applyNumberFormat="1"/>
    <xf borderId="46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left"/>
    </xf>
    <xf borderId="5" fillId="0" fontId="3" numFmtId="166" xfId="0" applyBorder="1" applyFont="1" applyNumberFormat="1"/>
    <xf borderId="0" fillId="0" fontId="3" numFmtId="14" xfId="0" applyFont="1" applyNumberFormat="1"/>
    <xf borderId="1" fillId="0" fontId="11" numFmtId="0" xfId="0" applyAlignment="1" applyBorder="1" applyFont="1">
      <alignment vertical="top"/>
    </xf>
    <xf borderId="5" fillId="0" fontId="3" numFmtId="9" xfId="0" applyBorder="1" applyFont="1" applyNumberFormat="1"/>
    <xf borderId="19" fillId="0" fontId="3" numFmtId="0" xfId="0" applyAlignment="1" applyBorder="1" applyFont="1">
      <alignment horizontal="center"/>
    </xf>
    <xf borderId="7" fillId="0" fontId="11" numFmtId="0" xfId="0" applyAlignment="1" applyBorder="1" applyFont="1">
      <alignment horizontal="left"/>
    </xf>
    <xf borderId="8" fillId="0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/>
    </xf>
    <xf borderId="8" fillId="0" fontId="3" numFmtId="9" xfId="0" applyBorder="1" applyFont="1" applyNumberFormat="1"/>
    <xf borderId="4" fillId="0" fontId="3" numFmtId="0" xfId="0" applyBorder="1" applyFont="1"/>
    <xf borderId="48" fillId="3" fontId="3" numFmtId="165" xfId="0" applyBorder="1" applyFont="1" applyNumberFormat="1"/>
    <xf borderId="48" fillId="5" fontId="3" numFmtId="165" xfId="0" applyBorder="1" applyFont="1" applyNumberFormat="1"/>
    <xf borderId="49" fillId="0" fontId="3" numFmtId="0" xfId="0" applyBorder="1" applyFont="1"/>
    <xf borderId="16" fillId="0" fontId="4" numFmtId="0" xfId="0" applyAlignment="1" applyBorder="1" applyFont="1">
      <alignment horizontal="center" vertical="top"/>
    </xf>
    <xf borderId="16" fillId="0" fontId="5" numFmtId="0" xfId="0" applyAlignment="1" applyBorder="1" applyFont="1">
      <alignment vertical="top"/>
    </xf>
    <xf borderId="16" fillId="0" fontId="5" numFmtId="166" xfId="0" applyBorder="1" applyFont="1" applyNumberFormat="1"/>
    <xf borderId="16" fillId="0" fontId="5" numFmtId="9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165" xfId="0" applyBorder="1" applyFont="1" applyNumberFormat="1"/>
    <xf borderId="16" fillId="0" fontId="5" numFmtId="165" xfId="0" applyBorder="1" applyFont="1" applyNumberFormat="1"/>
    <xf borderId="27" fillId="0" fontId="5" numFmtId="165" xfId="0" applyBorder="1" applyFont="1" applyNumberFormat="1"/>
    <xf borderId="1" fillId="0" fontId="5" numFmtId="165" xfId="0" applyAlignment="1" applyBorder="1" applyFont="1" applyNumberFormat="1">
      <alignment horizontal="center"/>
    </xf>
    <xf borderId="48" fillId="3" fontId="3" numFmtId="0" xfId="0" applyAlignment="1" applyBorder="1" applyFont="1">
      <alignment horizontal="center"/>
    </xf>
    <xf borderId="48" fillId="4" fontId="3" numFmtId="0" xfId="0" applyAlignment="1" applyBorder="1" applyFont="1">
      <alignment horizontal="center"/>
    </xf>
    <xf borderId="48" fillId="7" fontId="3" numFmtId="0" xfId="0" applyAlignment="1" applyBorder="1" applyFont="1">
      <alignment horizontal="center"/>
    </xf>
    <xf borderId="48" fillId="7" fontId="3" numFmtId="0" xfId="0" applyBorder="1" applyFont="1"/>
    <xf borderId="48" fillId="5" fontId="3" numFmtId="0" xfId="0" applyAlignment="1" applyBorder="1" applyFont="1">
      <alignment horizontal="center"/>
    </xf>
    <xf borderId="48" fillId="5" fontId="3" numFmtId="0" xfId="0" applyBorder="1" applyFont="1"/>
    <xf borderId="48" fillId="6" fontId="3" numFmtId="164" xfId="0" applyAlignment="1" applyBorder="1" applyFont="1" applyNumberFormat="1">
      <alignment horizontal="center"/>
    </xf>
    <xf borderId="48" fillId="5" fontId="3" numFmtId="165" xfId="0" applyAlignment="1" applyBorder="1" applyFont="1" applyNumberFormat="1">
      <alignment horizontal="center"/>
    </xf>
    <xf borderId="48" fillId="6" fontId="3" numFmtId="166" xfId="0" applyBorder="1" applyFont="1" applyNumberFormat="1"/>
    <xf borderId="49" fillId="0" fontId="3" numFmtId="9" xfId="0" applyBorder="1" applyFont="1" applyNumberFormat="1"/>
    <xf borderId="48" fillId="3" fontId="3" numFmtId="0" xfId="0" applyBorder="1" applyFont="1"/>
    <xf borderId="47" fillId="3" fontId="3" numFmtId="165" xfId="0" applyBorder="1" applyFont="1" applyNumberFormat="1"/>
    <xf borderId="47" fillId="5" fontId="3" numFmtId="165" xfId="0" applyBorder="1" applyFont="1" applyNumberFormat="1"/>
    <xf borderId="47" fillId="8" fontId="3" numFmtId="166" xfId="0" applyBorder="1" applyFont="1" applyNumberFormat="1"/>
    <xf borderId="47" fillId="8" fontId="3" numFmtId="0" xfId="0" applyBorder="1" applyFont="1"/>
    <xf borderId="5" fillId="0" fontId="3" numFmtId="164" xfId="0" applyAlignment="1" applyBorder="1" applyFont="1" applyNumberFormat="1">
      <alignment horizontal="center"/>
    </xf>
    <xf borderId="5" fillId="0" fontId="3" numFmtId="165" xfId="0" applyAlignment="1" applyBorder="1" applyFont="1" applyNumberFormat="1">
      <alignment horizontal="center"/>
    </xf>
    <xf borderId="5" fillId="0" fontId="3" numFmtId="165" xfId="0" applyBorder="1" applyFont="1" applyNumberFormat="1"/>
    <xf borderId="29" fillId="3" fontId="3" numFmtId="0" xfId="0" applyAlignment="1" applyBorder="1" applyFont="1">
      <alignment horizontal="center"/>
    </xf>
    <xf borderId="29" fillId="4" fontId="3" numFmtId="0" xfId="0" applyAlignment="1" applyBorder="1" applyFont="1">
      <alignment horizontal="center"/>
    </xf>
    <xf borderId="29" fillId="7" fontId="3" numFmtId="0" xfId="0" applyAlignment="1" applyBorder="1" applyFont="1">
      <alignment horizontal="center"/>
    </xf>
    <xf borderId="29" fillId="7" fontId="3" numFmtId="0" xfId="0" applyBorder="1" applyFont="1"/>
    <xf borderId="29" fillId="5" fontId="3" numFmtId="0" xfId="0" applyAlignment="1" applyBorder="1" applyFont="1">
      <alignment horizontal="center"/>
    </xf>
    <xf borderId="29" fillId="5" fontId="3" numFmtId="0" xfId="0" applyBorder="1" applyFont="1"/>
    <xf borderId="29" fillId="6" fontId="3" numFmtId="164" xfId="0" applyAlignment="1" applyBorder="1" applyFont="1" applyNumberFormat="1">
      <alignment horizontal="center"/>
    </xf>
    <xf borderId="29" fillId="5" fontId="3" numFmtId="165" xfId="0" applyAlignment="1" applyBorder="1" applyFont="1" applyNumberFormat="1">
      <alignment horizontal="center"/>
    </xf>
    <xf borderId="29" fillId="6" fontId="3" numFmtId="166" xfId="0" applyBorder="1" applyFont="1" applyNumberFormat="1"/>
    <xf borderId="16" fillId="0" fontId="3" numFmtId="9" xfId="0" applyBorder="1" applyFont="1" applyNumberFormat="1"/>
    <xf borderId="29" fillId="3" fontId="3" numFmtId="166" xfId="0" applyBorder="1" applyFont="1" applyNumberFormat="1"/>
    <xf borderId="8" fillId="0" fontId="1" numFmtId="0" xfId="0" applyAlignment="1" applyBorder="1" applyFont="1">
      <alignment horizontal="center" vertical="top"/>
    </xf>
    <xf borderId="5" fillId="5" fontId="1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19" fillId="0" fontId="6" numFmtId="0" xfId="0" applyAlignment="1" applyBorder="1" applyFont="1">
      <alignment horizontal="left"/>
    </xf>
    <xf borderId="3" fillId="0" fontId="6" numFmtId="0" xfId="0" applyBorder="1" applyFont="1"/>
    <xf borderId="0" fillId="0" fontId="1" numFmtId="0" xfId="0" applyFont="1"/>
    <xf borderId="19" fillId="0" fontId="6" numFmtId="0" xfId="0" applyBorder="1" applyFont="1"/>
    <xf borderId="20" fillId="0" fontId="7" numFmtId="165" xfId="0" applyBorder="1" applyFont="1" applyNumberFormat="1"/>
    <xf borderId="21" fillId="0" fontId="6" numFmtId="0" xfId="0" applyBorder="1" applyFont="1"/>
    <xf borderId="22" fillId="0" fontId="7" numFmtId="0" xfId="0" applyBorder="1" applyFont="1"/>
    <xf borderId="22" fillId="0" fontId="7" numFmtId="165" xfId="0" applyBorder="1" applyFont="1" applyNumberFormat="1"/>
    <xf borderId="1" fillId="0" fontId="6" numFmtId="0" xfId="0" applyBorder="1" applyFont="1"/>
    <xf borderId="27" fillId="0" fontId="7" numFmtId="165" xfId="0" applyBorder="1" applyFont="1" applyNumberFormat="1"/>
    <xf borderId="0" fillId="0" fontId="6" numFmtId="0" xfId="0" applyFont="1"/>
    <xf borderId="21" fillId="0" fontId="24" numFmtId="0" xfId="0" applyBorder="1" applyFont="1"/>
    <xf borderId="0" fillId="0" fontId="25" numFmtId="0" xfId="0" applyAlignment="1" applyFont="1">
      <alignment vertical="center"/>
    </xf>
    <xf borderId="0" fillId="0" fontId="26" numFmtId="0" xfId="0" applyFont="1"/>
    <xf borderId="50" fillId="3" fontId="3" numFmtId="0" xfId="0" applyAlignment="1" applyBorder="1" applyFont="1">
      <alignment horizontal="center"/>
    </xf>
    <xf borderId="51" fillId="3" fontId="3" numFmtId="0" xfId="0" applyBorder="1" applyFont="1"/>
    <xf borderId="0" fillId="0" fontId="6" numFmtId="0" xfId="0" applyAlignment="1" applyFont="1">
      <alignment horizontal="left"/>
    </xf>
    <xf borderId="22" fillId="0" fontId="7" numFmtId="166" xfId="0" applyAlignment="1" applyBorder="1" applyFont="1" applyNumberFormat="1">
      <alignment horizontal="right"/>
    </xf>
    <xf borderId="7" fillId="0" fontId="2" numFmtId="0" xfId="0" applyAlignment="1" applyBorder="1" applyFont="1">
      <alignment horizontal="center" vertical="top"/>
    </xf>
    <xf borderId="5" fillId="19" fontId="5" numFmtId="0" xfId="0" applyAlignment="1" applyBorder="1" applyFill="1" applyFont="1">
      <alignment horizontal="center"/>
    </xf>
    <xf borderId="5" fillId="19" fontId="27" numFmtId="0" xfId="0" applyAlignment="1" applyBorder="1" applyFont="1">
      <alignment horizontal="center"/>
    </xf>
    <xf borderId="6" fillId="19" fontId="5" numFmtId="0" xfId="0" applyAlignment="1" applyBorder="1" applyFont="1">
      <alignment horizontal="center"/>
    </xf>
    <xf borderId="47" fillId="19" fontId="27" numFmtId="0" xfId="0" applyAlignment="1" applyBorder="1" applyFont="1">
      <alignment horizontal="center"/>
    </xf>
    <xf borderId="47" fillId="3" fontId="3" numFmtId="0" xfId="0" applyAlignment="1" applyBorder="1" applyFont="1">
      <alignment horizontal="center"/>
    </xf>
    <xf borderId="47" fillId="5" fontId="5" numFmtId="165" xfId="0" applyAlignment="1" applyBorder="1" applyFont="1" applyNumberFormat="1">
      <alignment horizontal="center"/>
    </xf>
    <xf borderId="5" fillId="4" fontId="5" numFmtId="0" xfId="0" applyAlignment="1" applyBorder="1" applyFont="1">
      <alignment horizontal="center"/>
    </xf>
    <xf borderId="5" fillId="10" fontId="5" numFmtId="0" xfId="0" applyAlignment="1" applyBorder="1" applyFont="1">
      <alignment horizontal="center"/>
    </xf>
    <xf borderId="5" fillId="10" fontId="28" numFmtId="0" xfId="0" applyAlignment="1" applyBorder="1" applyFont="1">
      <alignment horizontal="center"/>
    </xf>
    <xf borderId="6" fillId="10" fontId="5" numFmtId="0" xfId="0" applyAlignment="1" applyBorder="1" applyFont="1">
      <alignment horizontal="center"/>
    </xf>
    <xf borderId="47" fillId="10" fontId="28" numFmtId="0" xfId="0" applyAlignment="1" applyBorder="1" applyFont="1">
      <alignment horizont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/>
      <fill>
        <patternFill patternType="none"/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comments22.xml.rels><?xml version="1.0" encoding="UTF-8" standalone="yes"?><Relationships xmlns="http://schemas.openxmlformats.org/package/2006/relationships"><Relationship Id="rId1" Type="http://customschemas.google.com/relationships/workbookmetadata" Target="commentsmeta21"/></Relationships>
</file>

<file path=xl/_rels/comments23.xml.rels><?xml version="1.0" encoding="UTF-8" standalone="yes"?><Relationships xmlns="http://schemas.openxmlformats.org/package/2006/relationships"><Relationship Id="rId1" Type="http://customschemas.google.com/relationships/workbookmetadata" Target="commentsmeta22"/></Relationships>
</file>

<file path=xl/_rels/comments24.xml.rels><?xml version="1.0" encoding="UTF-8" standalone="yes"?><Relationships xmlns="http://schemas.openxmlformats.org/package/2006/relationships"><Relationship Id="rId1" Type="http://customschemas.google.com/relationships/workbookmetadata" Target="commentsmeta23"/></Relationships>
</file>

<file path=xl/_rels/comments25.xml.rels><?xml version="1.0" encoding="UTF-8" standalone="yes"?><Relationships xmlns="http://schemas.openxmlformats.org/package/2006/relationships"><Relationship Id="rId1" Type="http://customschemas.google.com/relationships/workbookmetadata" Target="commentsmeta24"/></Relationships>
</file>

<file path=xl/_rels/comments26.xml.rels><?xml version="1.0" encoding="UTF-8" standalone="yes"?><Relationships xmlns="http://schemas.openxmlformats.org/package/2006/relationships"><Relationship Id="rId1" Type="http://customschemas.google.com/relationships/workbookmetadata" Target="commentsmeta25"/></Relationships>
</file>

<file path=xl/_rels/comments27.xml.rels><?xml version="1.0" encoding="UTF-8" standalone="yes"?><Relationships xmlns="http://schemas.openxmlformats.org/package/2006/relationships"><Relationship Id="rId1" Type="http://customschemas.google.com/relationships/workbookmetadata" Target="commentsmeta26"/></Relationships>
</file>

<file path=xl/_rels/comments28.xml.rels><?xml version="1.0" encoding="UTF-8" standalone="yes"?><Relationships xmlns="http://schemas.openxmlformats.org/package/2006/relationships"><Relationship Id="rId1" Type="http://customschemas.google.com/relationships/workbookmetadata" Target="commentsmeta27"/></Relationships>
</file>

<file path=xl/_rels/comments29.xml.rels><?xml version="1.0" encoding="UTF-8" standalone="yes"?><Relationships xmlns="http://schemas.openxmlformats.org/package/2006/relationships"><Relationship Id="rId1" Type="http://customschemas.google.com/relationships/workbookmetadata" Target="commentsmeta28"/></Relationships>
</file>

<file path=xl/_rels/comments30.xml.rels><?xml version="1.0" encoding="UTF-8" standalone="yes"?><Relationships xmlns="http://schemas.openxmlformats.org/package/2006/relationships"><Relationship Id="rId1" Type="http://customschemas.google.com/relationships/workbookmetadata" Target="commentsmeta29"/></Relationships>
</file>

<file path=xl/_rels/comments31.xml.rels><?xml version="1.0" encoding="UTF-8" standalone="yes"?><Relationships xmlns="http://schemas.openxmlformats.org/package/2006/relationships"><Relationship Id="rId1" Type="http://customschemas.google.com/relationships/workbookmetadata" Target="commentsmeta30"/></Relationships>
</file>

<file path=xl/_rels/comments32.xml.rels><?xml version="1.0" encoding="UTF-8" standalone="yes"?><Relationships xmlns="http://schemas.openxmlformats.org/package/2006/relationships"><Relationship Id="rId1" Type="http://customschemas.google.com/relationships/workbookmetadata" Target="commentsmeta31"/></Relationships>
</file>

<file path=xl/_rels/comments33.xml.rels><?xml version="1.0" encoding="UTF-8" standalone="yes"?><Relationships xmlns="http://schemas.openxmlformats.org/package/2006/relationships"><Relationship Id="rId1" Type="http://customschemas.google.com/relationships/workbookmetadata" Target="commentsmeta32"/></Relationships>
</file>

<file path=xl/_rels/comments34.xml.rels><?xml version="1.0" encoding="UTF-8" standalone="yes"?><Relationships xmlns="http://schemas.openxmlformats.org/package/2006/relationships"><Relationship Id="rId1" Type="http://customschemas.google.com/relationships/workbookmetadata" Target="commentsmeta33"/></Relationships>
</file>

<file path=xl/_rels/comments35.xml.rels><?xml version="1.0" encoding="UTF-8" standalone="yes"?><Relationships xmlns="http://schemas.openxmlformats.org/package/2006/relationships"><Relationship Id="rId1" Type="http://customschemas.google.com/relationships/workbookmetadata" Target="commentsmeta34"/></Relationships>
</file>

<file path=xl/_rels/comments36.xml.rels><?xml version="1.0" encoding="UTF-8" standalone="yes"?><Relationships xmlns="http://schemas.openxmlformats.org/package/2006/relationships"><Relationship Id="rId1" Type="http://customschemas.google.com/relationships/workbookmetadata" Target="commentsmeta35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56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561975</xdr:colOff>
      <xdr:row>18</xdr:row>
      <xdr:rowOff>9525</xdr:rowOff>
    </xdr:from>
    <xdr:ext cx="5553075" cy="2190750"/>
    <xdr:sp>
      <xdr:nvSpPr>
        <xdr:cNvPr id="3" name="Shape 3"/>
        <xdr:cNvSpPr txBox="1"/>
      </xdr:nvSpPr>
      <xdr:spPr>
        <a:xfrm>
          <a:off x="2574225" y="2689388"/>
          <a:ext cx="5543550" cy="21812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Ultrasonic pricing will be as follows: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=n7,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Listed Pc.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10 Pcs. = $449.50 Lot Charge.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$125.00 Technique generation Fee. (one-time, non-recurring) (100% Coverage)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+ $11.00 Environmental Fee.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$535.50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4-5 Business Day Standard Lead time.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Drawing Required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do not hesitate to reach out if you have any questions.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Have a great day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=n7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19</xdr:row>
      <xdr:rowOff>171450</xdr:rowOff>
    </xdr:from>
    <xdr:ext cx="8277225" cy="390525"/>
    <xdr:sp>
      <xdr:nvSpPr>
        <xdr:cNvPr id="4" name="Shape 4"/>
        <xdr:cNvSpPr txBox="1"/>
      </xdr:nvSpPr>
      <xdr:spPr>
        <a:xfrm>
          <a:off x="1212150" y="3589500"/>
          <a:ext cx="8267700" cy="381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ROUND BAR WEIGHT AND PRICE CALCULATOR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28</xdr:row>
      <xdr:rowOff>0</xdr:rowOff>
    </xdr:from>
    <xdr:ext cx="6486525" cy="361950"/>
    <xdr:sp>
      <xdr:nvSpPr>
        <xdr:cNvPr id="5" name="Shape 5"/>
        <xdr:cNvSpPr txBox="1"/>
      </xdr:nvSpPr>
      <xdr:spPr>
        <a:xfrm>
          <a:off x="2107500" y="3603788"/>
          <a:ext cx="6477000" cy="3524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TITANIUM CALCULATIONS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27</xdr:row>
      <xdr:rowOff>123825</xdr:rowOff>
    </xdr:from>
    <xdr:ext cx="6248400" cy="476250"/>
    <xdr:sp>
      <xdr:nvSpPr>
        <xdr:cNvPr id="6" name="Shape 6"/>
        <xdr:cNvSpPr txBox="1"/>
      </xdr:nvSpPr>
      <xdr:spPr>
        <a:xfrm>
          <a:off x="2226563" y="3546638"/>
          <a:ext cx="6238875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STAINLESS</a:t>
          </a: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STEEL CALCULATIONS</a:t>
          </a:r>
          <a:endParaRPr b="1" sz="2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27</xdr:row>
      <xdr:rowOff>0</xdr:rowOff>
    </xdr:from>
    <xdr:ext cx="5505450" cy="361950"/>
    <xdr:sp>
      <xdr:nvSpPr>
        <xdr:cNvPr id="7" name="Shape 7"/>
        <xdr:cNvSpPr txBox="1"/>
      </xdr:nvSpPr>
      <xdr:spPr>
        <a:xfrm>
          <a:off x="2598038" y="3603788"/>
          <a:ext cx="5495925" cy="3524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NICKEL ALLOYS CALCULATIONS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26</xdr:row>
      <xdr:rowOff>123825</xdr:rowOff>
    </xdr:from>
    <xdr:ext cx="5781675" cy="476250"/>
    <xdr:sp>
      <xdr:nvSpPr>
        <xdr:cNvPr id="8" name="Shape 8"/>
        <xdr:cNvSpPr txBox="1"/>
      </xdr:nvSpPr>
      <xdr:spPr>
        <a:xfrm>
          <a:off x="2459925" y="3546638"/>
          <a:ext cx="5772150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STAINLESS</a:t>
          </a: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STEEL CALCULATIONS</a:t>
          </a:r>
          <a:endParaRPr b="1" sz="2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133350</xdr:colOff>
      <xdr:row>0</xdr:row>
      <xdr:rowOff>0</xdr:rowOff>
    </xdr:from>
    <xdr:ext cx="7915275" cy="11353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667625" cy="1176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571500</xdr:colOff>
      <xdr:row>0</xdr:row>
      <xdr:rowOff>0</xdr:rowOff>
    </xdr:from>
    <xdr:ext cx="6858000" cy="11601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27</xdr:row>
      <xdr:rowOff>0</xdr:rowOff>
    </xdr:from>
    <xdr:ext cx="4648200" cy="361950"/>
    <xdr:sp>
      <xdr:nvSpPr>
        <xdr:cNvPr id="9" name="Shape 9"/>
        <xdr:cNvSpPr txBox="1"/>
      </xdr:nvSpPr>
      <xdr:spPr>
        <a:xfrm>
          <a:off x="3026663" y="3603788"/>
          <a:ext cx="4638675" cy="3524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NICKEL ALLOYS CALCULATIONS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26</xdr:row>
      <xdr:rowOff>123825</xdr:rowOff>
    </xdr:from>
    <xdr:ext cx="4857750" cy="476250"/>
    <xdr:sp>
      <xdr:nvSpPr>
        <xdr:cNvPr id="10" name="Shape 10"/>
        <xdr:cNvSpPr txBox="1"/>
      </xdr:nvSpPr>
      <xdr:spPr>
        <a:xfrm>
          <a:off x="2921888" y="3546638"/>
          <a:ext cx="4848225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STAINLESS</a:t>
          </a: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STEEL CALCULATIONS</a:t>
          </a:r>
          <a:endParaRPr b="1" sz="24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28</xdr:row>
      <xdr:rowOff>0</xdr:rowOff>
    </xdr:from>
    <xdr:ext cx="4629150" cy="361950"/>
    <xdr:sp>
      <xdr:nvSpPr>
        <xdr:cNvPr id="11" name="Shape 11"/>
        <xdr:cNvSpPr txBox="1"/>
      </xdr:nvSpPr>
      <xdr:spPr>
        <a:xfrm>
          <a:off x="3036188" y="3603788"/>
          <a:ext cx="4619625" cy="3524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TITANIUM CALCULATIONS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27</xdr:row>
      <xdr:rowOff>123825</xdr:rowOff>
    </xdr:from>
    <xdr:ext cx="4857750" cy="476250"/>
    <xdr:sp>
      <xdr:nvSpPr>
        <xdr:cNvPr id="12" name="Shape 12"/>
        <xdr:cNvSpPr txBox="1"/>
      </xdr:nvSpPr>
      <xdr:spPr>
        <a:xfrm>
          <a:off x="2921888" y="3546638"/>
          <a:ext cx="4848225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STAINLESS</a:t>
          </a: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STEEL CALCULATIONS</a:t>
          </a:r>
          <a:endParaRPr b="1" sz="2400"/>
        </a:p>
      </xdr:txBody>
    </xdr:sp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0</xdr:row>
      <xdr:rowOff>171450</xdr:rowOff>
    </xdr:from>
    <xdr:ext cx="6810375" cy="190500"/>
    <xdr:sp>
      <xdr:nvSpPr>
        <xdr:cNvPr id="13" name="Shape 13"/>
        <xdr:cNvSpPr txBox="1"/>
      </xdr:nvSpPr>
      <xdr:spPr>
        <a:xfrm>
          <a:off x="1945575" y="3689513"/>
          <a:ext cx="6800850" cy="180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ROUND BAR WEIGHT AND PRICE CALCULATOR</a:t>
          </a:r>
          <a:endParaRPr sz="1400"/>
        </a:p>
      </xdr:txBody>
    </xdr:sp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27</xdr:row>
      <xdr:rowOff>0</xdr:rowOff>
    </xdr:from>
    <xdr:ext cx="4438650" cy="361950"/>
    <xdr:sp>
      <xdr:nvSpPr>
        <xdr:cNvPr id="14" name="Shape 14"/>
        <xdr:cNvSpPr txBox="1"/>
      </xdr:nvSpPr>
      <xdr:spPr>
        <a:xfrm>
          <a:off x="3131438" y="3603788"/>
          <a:ext cx="4429125" cy="3524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TITANIUM CALCULATIONS</a:t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26</xdr:row>
      <xdr:rowOff>123825</xdr:rowOff>
    </xdr:from>
    <xdr:ext cx="4857750" cy="476250"/>
    <xdr:sp>
      <xdr:nvSpPr>
        <xdr:cNvPr id="15" name="Shape 15"/>
        <xdr:cNvSpPr txBox="1"/>
      </xdr:nvSpPr>
      <xdr:spPr>
        <a:xfrm>
          <a:off x="2921888" y="3546638"/>
          <a:ext cx="4848225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STAINLESS</a:t>
          </a:r>
          <a:r>
            <a:rPr b="1" lang="en-US" sz="2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STEEL CALCULATIONS</a:t>
          </a:r>
          <a:endParaRPr b="1" sz="2400"/>
        </a:p>
      </xdr:txBody>
    </xdr:sp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4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5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6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7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8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9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0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1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2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23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24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2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2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28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9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30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31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32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33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34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35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5" width="13.29"/>
    <col customWidth="1" min="6" max="6" width="21.0"/>
    <col customWidth="1" min="7" max="7" width="22.71"/>
    <col customWidth="1" min="8" max="8" width="14.86"/>
    <col customWidth="1" min="9" max="9" width="11.57"/>
    <col customWidth="1" min="10" max="10" width="12.43"/>
    <col customWidth="1" min="11" max="13" width="26.0"/>
    <col customWidth="1" min="14" max="14" width="18.57"/>
    <col customWidth="1" min="15" max="15" width="16.43"/>
    <col customWidth="1" min="16" max="16" width="13.86"/>
    <col customWidth="1" min="17" max="17" width="11.86"/>
    <col customWidth="1" min="18" max="18" width="14.71"/>
    <col customWidth="1" min="19" max="19" width="8.71"/>
    <col customWidth="1" min="20" max="20" width="12.57"/>
    <col customWidth="1" min="21" max="21" width="20.29"/>
    <col customWidth="1" min="22" max="22" width="13.14"/>
    <col customWidth="1" min="23" max="23" width="12.29"/>
    <col customWidth="1" min="24" max="24" width="10.43"/>
    <col customWidth="1" min="25" max="27" width="9.14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4"/>
      <c r="S1" s="4"/>
      <c r="T1" s="4"/>
      <c r="U1" s="5"/>
      <c r="V1" s="4"/>
      <c r="W1" s="4"/>
      <c r="X1" s="6"/>
      <c r="Y1" s="4"/>
      <c r="Z1" s="3"/>
      <c r="AA1" s="3"/>
    </row>
    <row r="2" ht="30.0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1" t="s">
        <v>16</v>
      </c>
      <c r="R2" s="11" t="s">
        <v>17</v>
      </c>
      <c r="S2" s="10" t="s">
        <v>18</v>
      </c>
      <c r="T2" s="10" t="s">
        <v>19</v>
      </c>
      <c r="U2" s="12" t="s">
        <v>20</v>
      </c>
      <c r="V2" s="10" t="s">
        <v>21</v>
      </c>
      <c r="W2" s="11" t="s">
        <v>22</v>
      </c>
      <c r="X2" s="13" t="s">
        <v>23</v>
      </c>
      <c r="Y2" s="3"/>
      <c r="Z2" s="3"/>
      <c r="AA2" s="3"/>
    </row>
    <row r="3">
      <c r="A3" s="14">
        <v>3.625</v>
      </c>
      <c r="B3" s="14">
        <v>11.625</v>
      </c>
      <c r="C3" s="14">
        <v>15.75</v>
      </c>
      <c r="D3" s="15" t="s">
        <v>24</v>
      </c>
      <c r="E3" s="15">
        <v>0.125</v>
      </c>
      <c r="F3" s="15">
        <f t="shared" ref="F3:F7" si="1">(A3+B3)*C3</f>
        <v>240.1875</v>
      </c>
      <c r="G3" s="15">
        <f t="shared" ref="G3:G7" si="2">(A3+B3)/E3</f>
        <v>122</v>
      </c>
      <c r="H3" s="15">
        <f t="shared" ref="H3:H7" si="3">C3/10</f>
        <v>1.575</v>
      </c>
      <c r="I3" s="15">
        <v>3.0</v>
      </c>
      <c r="J3" s="16">
        <f t="shared" ref="J3:J7" si="4">H3*G3/60</f>
        <v>3.2025</v>
      </c>
      <c r="K3" s="16">
        <f t="shared" ref="K3:K7" si="5">J3+I3</f>
        <v>6.2025</v>
      </c>
      <c r="L3" s="17">
        <v>225.0</v>
      </c>
      <c r="M3" s="18">
        <f t="shared" ref="M3:M7" si="6">L3/60</f>
        <v>3.75</v>
      </c>
      <c r="N3" s="18">
        <f t="shared" ref="N3:N7" si="7">ROUNDUP(K3*M3,1)</f>
        <v>23.3</v>
      </c>
      <c r="O3" s="19" t="s">
        <v>25</v>
      </c>
      <c r="P3" s="20">
        <v>200.0</v>
      </c>
      <c r="Q3" s="21">
        <f t="shared" ref="Q3:Q7" si="8">N3*P3</f>
        <v>4660</v>
      </c>
      <c r="R3" s="22">
        <v>0.0</v>
      </c>
      <c r="S3" s="23">
        <v>0.02</v>
      </c>
      <c r="T3" s="21">
        <f t="shared" ref="T3:T7" si="9">Q3+R3</f>
        <v>4660</v>
      </c>
      <c r="U3" s="18">
        <f t="shared" ref="U3:U7" si="10">ROUNDUP(T3*S3,0)</f>
        <v>94</v>
      </c>
      <c r="V3" s="21">
        <f t="shared" ref="V3:V7" si="11">T3+U3</f>
        <v>4754</v>
      </c>
      <c r="W3" s="24">
        <v>225.0</v>
      </c>
      <c r="X3" s="25">
        <f t="shared" ref="X3:X7" si="12">ROUNDDOWN(W3/N3,0)</f>
        <v>9</v>
      </c>
      <c r="Y3" s="3"/>
      <c r="Z3" s="3"/>
      <c r="AA3" s="3"/>
    </row>
    <row r="4">
      <c r="A4" s="14">
        <v>3.625</v>
      </c>
      <c r="B4" s="14">
        <v>11.6252</v>
      </c>
      <c r="C4" s="14">
        <v>15.75</v>
      </c>
      <c r="D4" s="15" t="s">
        <v>24</v>
      </c>
      <c r="E4" s="15">
        <v>0.075</v>
      </c>
      <c r="F4" s="15">
        <f t="shared" si="1"/>
        <v>240.19065</v>
      </c>
      <c r="G4" s="15">
        <f t="shared" si="2"/>
        <v>203.336</v>
      </c>
      <c r="H4" s="15">
        <f t="shared" si="3"/>
        <v>1.575</v>
      </c>
      <c r="I4" s="15">
        <v>3.0</v>
      </c>
      <c r="J4" s="16">
        <f t="shared" si="4"/>
        <v>5.33757</v>
      </c>
      <c r="K4" s="16">
        <f t="shared" si="5"/>
        <v>8.33757</v>
      </c>
      <c r="L4" s="17">
        <v>225.0</v>
      </c>
      <c r="M4" s="18">
        <f t="shared" si="6"/>
        <v>3.75</v>
      </c>
      <c r="N4" s="18">
        <f t="shared" si="7"/>
        <v>31.3</v>
      </c>
      <c r="O4" s="19" t="s">
        <v>26</v>
      </c>
      <c r="P4" s="20">
        <v>200.0</v>
      </c>
      <c r="Q4" s="21">
        <f t="shared" si="8"/>
        <v>6260</v>
      </c>
      <c r="R4" s="22">
        <v>0.0</v>
      </c>
      <c r="S4" s="23">
        <v>0.02</v>
      </c>
      <c r="T4" s="21">
        <f t="shared" si="9"/>
        <v>6260</v>
      </c>
      <c r="U4" s="18">
        <f t="shared" si="10"/>
        <v>126</v>
      </c>
      <c r="V4" s="21">
        <f t="shared" si="11"/>
        <v>6386</v>
      </c>
      <c r="W4" s="24">
        <v>225.0</v>
      </c>
      <c r="X4" s="25">
        <f t="shared" si="12"/>
        <v>7</v>
      </c>
      <c r="Y4" s="26"/>
      <c r="Z4" s="3"/>
      <c r="AA4" s="3"/>
    </row>
    <row r="5">
      <c r="A5" s="14">
        <v>2.0</v>
      </c>
      <c r="B5" s="14">
        <v>14.0</v>
      </c>
      <c r="C5" s="14">
        <v>16.0</v>
      </c>
      <c r="D5" s="15" t="s">
        <v>24</v>
      </c>
      <c r="E5" s="15">
        <v>0.065</v>
      </c>
      <c r="F5" s="15">
        <f t="shared" si="1"/>
        <v>256</v>
      </c>
      <c r="G5" s="15">
        <f t="shared" si="2"/>
        <v>246.1538462</v>
      </c>
      <c r="H5" s="15">
        <f t="shared" si="3"/>
        <v>1.6</v>
      </c>
      <c r="I5" s="15">
        <v>4.0</v>
      </c>
      <c r="J5" s="16">
        <f t="shared" si="4"/>
        <v>6.564102564</v>
      </c>
      <c r="K5" s="16">
        <f t="shared" si="5"/>
        <v>10.56410256</v>
      </c>
      <c r="L5" s="17">
        <v>225.0</v>
      </c>
      <c r="M5" s="18">
        <f t="shared" si="6"/>
        <v>3.75</v>
      </c>
      <c r="N5" s="18">
        <f t="shared" si="7"/>
        <v>39.7</v>
      </c>
      <c r="O5" s="19"/>
      <c r="P5" s="20">
        <v>20.0</v>
      </c>
      <c r="Q5" s="21">
        <f t="shared" si="8"/>
        <v>794</v>
      </c>
      <c r="R5" s="22">
        <v>0.0</v>
      </c>
      <c r="S5" s="23">
        <v>0.02</v>
      </c>
      <c r="T5" s="21">
        <f t="shared" si="9"/>
        <v>794</v>
      </c>
      <c r="U5" s="18">
        <f t="shared" si="10"/>
        <v>16</v>
      </c>
      <c r="V5" s="21">
        <f t="shared" si="11"/>
        <v>810</v>
      </c>
      <c r="W5" s="24">
        <v>225.0</v>
      </c>
      <c r="X5" s="25">
        <f t="shared" si="12"/>
        <v>5</v>
      </c>
      <c r="Y5" s="26"/>
      <c r="Z5" s="3"/>
      <c r="AA5" s="3"/>
    </row>
    <row r="6">
      <c r="A6" s="14">
        <v>2.0</v>
      </c>
      <c r="B6" s="14">
        <v>14.0</v>
      </c>
      <c r="C6" s="14">
        <v>16.0</v>
      </c>
      <c r="D6" s="15" t="s">
        <v>24</v>
      </c>
      <c r="E6" s="15">
        <v>0.045</v>
      </c>
      <c r="F6" s="15">
        <f t="shared" si="1"/>
        <v>256</v>
      </c>
      <c r="G6" s="15">
        <f t="shared" si="2"/>
        <v>355.5555556</v>
      </c>
      <c r="H6" s="15">
        <f t="shared" si="3"/>
        <v>1.6</v>
      </c>
      <c r="I6" s="15">
        <v>4.0</v>
      </c>
      <c r="J6" s="16">
        <f t="shared" si="4"/>
        <v>9.481481481</v>
      </c>
      <c r="K6" s="16">
        <f t="shared" si="5"/>
        <v>13.48148148</v>
      </c>
      <c r="L6" s="17">
        <v>225.0</v>
      </c>
      <c r="M6" s="18">
        <f t="shared" si="6"/>
        <v>3.75</v>
      </c>
      <c r="N6" s="18">
        <f t="shared" si="7"/>
        <v>50.6</v>
      </c>
      <c r="O6" s="19"/>
      <c r="P6" s="20">
        <v>18.0</v>
      </c>
      <c r="Q6" s="21">
        <f t="shared" si="8"/>
        <v>910.8</v>
      </c>
      <c r="R6" s="22">
        <v>0.0</v>
      </c>
      <c r="S6" s="23">
        <v>0.02</v>
      </c>
      <c r="T6" s="21">
        <f t="shared" si="9"/>
        <v>910.8</v>
      </c>
      <c r="U6" s="18">
        <f t="shared" si="10"/>
        <v>19</v>
      </c>
      <c r="V6" s="21">
        <f t="shared" si="11"/>
        <v>929.8</v>
      </c>
      <c r="W6" s="24">
        <v>225.0</v>
      </c>
      <c r="X6" s="25">
        <f t="shared" si="12"/>
        <v>4</v>
      </c>
      <c r="Y6" s="26"/>
      <c r="Z6" s="3"/>
      <c r="AA6" s="3"/>
    </row>
    <row r="7">
      <c r="A7" s="14">
        <v>0.0625</v>
      </c>
      <c r="B7" s="14">
        <v>3.5</v>
      </c>
      <c r="C7" s="14">
        <v>62.7</v>
      </c>
      <c r="D7" s="15" t="s">
        <v>24</v>
      </c>
      <c r="E7" s="15">
        <v>0.02</v>
      </c>
      <c r="F7" s="15">
        <f t="shared" si="1"/>
        <v>223.36875</v>
      </c>
      <c r="G7" s="15">
        <f t="shared" si="2"/>
        <v>178.125</v>
      </c>
      <c r="H7" s="15">
        <f t="shared" si="3"/>
        <v>6.27</v>
      </c>
      <c r="I7" s="15">
        <v>3.0</v>
      </c>
      <c r="J7" s="16">
        <f t="shared" si="4"/>
        <v>18.6140625</v>
      </c>
      <c r="K7" s="16">
        <f t="shared" si="5"/>
        <v>21.6140625</v>
      </c>
      <c r="L7" s="17">
        <v>250.0</v>
      </c>
      <c r="M7" s="18">
        <f t="shared" si="6"/>
        <v>4.166666667</v>
      </c>
      <c r="N7" s="18">
        <f t="shared" si="7"/>
        <v>90.1</v>
      </c>
      <c r="O7" s="19" t="s">
        <v>27</v>
      </c>
      <c r="P7" s="20">
        <v>22.0</v>
      </c>
      <c r="Q7" s="21">
        <f t="shared" si="8"/>
        <v>1982.2</v>
      </c>
      <c r="R7" s="22">
        <v>125.0</v>
      </c>
      <c r="S7" s="23">
        <v>0.02</v>
      </c>
      <c r="T7" s="21">
        <f t="shared" si="9"/>
        <v>2107.2</v>
      </c>
      <c r="U7" s="18">
        <f t="shared" si="10"/>
        <v>43</v>
      </c>
      <c r="V7" s="21">
        <f t="shared" si="11"/>
        <v>2150.2</v>
      </c>
      <c r="W7" s="24">
        <v>225.0</v>
      </c>
      <c r="X7" s="25">
        <f t="shared" si="12"/>
        <v>2</v>
      </c>
      <c r="Y7" s="26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27"/>
      <c r="P8" s="3"/>
      <c r="Q8" s="28"/>
      <c r="R8" s="29"/>
      <c r="S8" s="30"/>
      <c r="T8" s="28"/>
      <c r="U8" s="31"/>
      <c r="V8" s="28"/>
      <c r="W8" s="32"/>
      <c r="X8" s="26"/>
      <c r="Y8" s="3"/>
      <c r="Z8" s="3"/>
      <c r="AA8" s="3"/>
    </row>
    <row r="9">
      <c r="A9" s="3"/>
      <c r="B9" s="33" t="s">
        <v>28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6"/>
      <c r="S9" s="37"/>
      <c r="T9" s="35"/>
      <c r="U9" s="38"/>
      <c r="V9" s="35"/>
      <c r="W9" s="34"/>
      <c r="X9" s="39"/>
      <c r="Y9" s="3"/>
      <c r="Z9" s="3"/>
      <c r="AA9" s="3"/>
    </row>
    <row r="10">
      <c r="A10" s="3"/>
      <c r="B10" s="40" t="s">
        <v>29</v>
      </c>
      <c r="C10" s="40" t="s">
        <v>3</v>
      </c>
      <c r="D10" s="7" t="s">
        <v>4</v>
      </c>
      <c r="E10" s="40" t="s">
        <v>5</v>
      </c>
      <c r="F10" s="41" t="s">
        <v>30</v>
      </c>
      <c r="G10" s="40" t="s">
        <v>31</v>
      </c>
      <c r="H10" s="40" t="s">
        <v>32</v>
      </c>
      <c r="I10" s="40" t="s">
        <v>33</v>
      </c>
      <c r="J10" s="40" t="s">
        <v>34</v>
      </c>
      <c r="K10" s="40" t="s">
        <v>35</v>
      </c>
      <c r="L10" s="7" t="s">
        <v>12</v>
      </c>
      <c r="M10" s="7" t="s">
        <v>13</v>
      </c>
      <c r="N10" s="42" t="s">
        <v>36</v>
      </c>
      <c r="O10" s="11"/>
      <c r="P10" s="10" t="s">
        <v>15</v>
      </c>
      <c r="Q10" s="43" t="s">
        <v>16</v>
      </c>
      <c r="R10" s="44" t="s">
        <v>17</v>
      </c>
      <c r="S10" s="45" t="s">
        <v>18</v>
      </c>
      <c r="T10" s="43" t="s">
        <v>19</v>
      </c>
      <c r="U10" s="46" t="s">
        <v>20</v>
      </c>
      <c r="V10" s="43" t="s">
        <v>21</v>
      </c>
      <c r="W10" s="11" t="s">
        <v>22</v>
      </c>
      <c r="X10" s="13" t="s">
        <v>23</v>
      </c>
      <c r="Y10" s="3"/>
      <c r="Z10" s="3"/>
      <c r="AA10" s="3"/>
    </row>
    <row r="11">
      <c r="A11" s="3"/>
      <c r="B11" s="14">
        <v>1.5</v>
      </c>
      <c r="C11" s="14">
        <v>26.0</v>
      </c>
      <c r="D11" s="15" t="s">
        <v>24</v>
      </c>
      <c r="E11" s="47">
        <v>0.15</v>
      </c>
      <c r="F11" s="47">
        <f t="shared" ref="F11:F15" si="13">B11*3.14</f>
        <v>4.71</v>
      </c>
      <c r="G11" s="48">
        <f t="shared" ref="G11:G15" si="14">F11/E11</f>
        <v>31.4</v>
      </c>
      <c r="H11" s="47">
        <f t="shared" ref="H11:H15" si="15">C11/10</f>
        <v>2.6</v>
      </c>
      <c r="I11" s="47">
        <v>3.0</v>
      </c>
      <c r="J11" s="16">
        <f t="shared" ref="J11:J15" si="16">H11*G11/60</f>
        <v>1.360666667</v>
      </c>
      <c r="K11" s="49">
        <f t="shared" ref="K11:K15" si="17">J11+I11</f>
        <v>4.360666667</v>
      </c>
      <c r="L11" s="17">
        <v>250.0</v>
      </c>
      <c r="M11" s="18">
        <f t="shared" ref="M11:M15" si="18">L11/60</f>
        <v>4.166666667</v>
      </c>
      <c r="N11" s="21">
        <f t="shared" ref="N11:N15" si="19">ROUNDUP(K11*M11,1)</f>
        <v>18.2</v>
      </c>
      <c r="O11" s="3" t="s">
        <v>25</v>
      </c>
      <c r="P11" s="20">
        <v>10.0</v>
      </c>
      <c r="Q11" s="21">
        <f t="shared" ref="Q11:Q15" si="20">N11*P11</f>
        <v>182</v>
      </c>
      <c r="R11" s="22">
        <v>125.0</v>
      </c>
      <c r="S11" s="23">
        <v>0.02</v>
      </c>
      <c r="T11" s="21">
        <f t="shared" ref="T11:T15" si="21">Q11+R11</f>
        <v>307</v>
      </c>
      <c r="U11" s="18">
        <f t="shared" ref="U11:U15" si="22">ROUNDUP(T11*S11,0)</f>
        <v>7</v>
      </c>
      <c r="V11" s="21">
        <f t="shared" ref="V11:V15" si="23">T11+U11</f>
        <v>314</v>
      </c>
      <c r="W11" s="24">
        <v>225.0</v>
      </c>
      <c r="X11" s="25">
        <f t="shared" ref="X11:X15" si="24">ROUNDDOWN(W11/N11,0)</f>
        <v>12</v>
      </c>
      <c r="Y11" s="3"/>
      <c r="Z11" s="3"/>
      <c r="AA11" s="3"/>
    </row>
    <row r="12">
      <c r="A12" s="3"/>
      <c r="B12" s="14">
        <v>1.5</v>
      </c>
      <c r="C12" s="14">
        <v>26.0</v>
      </c>
      <c r="D12" s="15" t="s">
        <v>24</v>
      </c>
      <c r="E12" s="47">
        <v>0.075</v>
      </c>
      <c r="F12" s="47">
        <f t="shared" si="13"/>
        <v>4.71</v>
      </c>
      <c r="G12" s="48">
        <f t="shared" si="14"/>
        <v>62.8</v>
      </c>
      <c r="H12" s="47">
        <f t="shared" si="15"/>
        <v>2.6</v>
      </c>
      <c r="I12" s="47">
        <v>3.0</v>
      </c>
      <c r="J12" s="16">
        <f t="shared" si="16"/>
        <v>2.721333333</v>
      </c>
      <c r="K12" s="49">
        <f t="shared" si="17"/>
        <v>5.721333333</v>
      </c>
      <c r="L12" s="17">
        <v>225.0</v>
      </c>
      <c r="M12" s="18">
        <f t="shared" si="18"/>
        <v>3.75</v>
      </c>
      <c r="N12" s="21">
        <f t="shared" si="19"/>
        <v>21.5</v>
      </c>
      <c r="O12" s="3"/>
      <c r="P12" s="20">
        <v>6.0</v>
      </c>
      <c r="Q12" s="21">
        <f t="shared" si="20"/>
        <v>129</v>
      </c>
      <c r="R12" s="22">
        <v>125.0</v>
      </c>
      <c r="S12" s="23">
        <v>0.02</v>
      </c>
      <c r="T12" s="21">
        <f t="shared" si="21"/>
        <v>254</v>
      </c>
      <c r="U12" s="18">
        <f t="shared" si="22"/>
        <v>6</v>
      </c>
      <c r="V12" s="21">
        <f t="shared" si="23"/>
        <v>260</v>
      </c>
      <c r="W12" s="24">
        <v>225.0</v>
      </c>
      <c r="X12" s="25">
        <f t="shared" si="24"/>
        <v>10</v>
      </c>
      <c r="Y12" s="3"/>
      <c r="Z12" s="3"/>
      <c r="AA12" s="3"/>
    </row>
    <row r="13">
      <c r="A13" s="3"/>
      <c r="B13" s="14">
        <v>2.25</v>
      </c>
      <c r="C13" s="14">
        <v>0.715</v>
      </c>
      <c r="D13" s="15" t="s">
        <v>24</v>
      </c>
      <c r="E13" s="47">
        <v>0.065</v>
      </c>
      <c r="F13" s="47">
        <f t="shared" si="13"/>
        <v>7.065</v>
      </c>
      <c r="G13" s="48">
        <f t="shared" si="14"/>
        <v>108.6923077</v>
      </c>
      <c r="H13" s="47">
        <f t="shared" si="15"/>
        <v>0.0715</v>
      </c>
      <c r="I13" s="47">
        <v>3.0</v>
      </c>
      <c r="J13" s="16">
        <f t="shared" si="16"/>
        <v>0.129525</v>
      </c>
      <c r="K13" s="49">
        <f t="shared" si="17"/>
        <v>3.129525</v>
      </c>
      <c r="L13" s="17">
        <v>225.0</v>
      </c>
      <c r="M13" s="18">
        <f t="shared" si="18"/>
        <v>3.75</v>
      </c>
      <c r="N13" s="21">
        <f t="shared" si="19"/>
        <v>11.8</v>
      </c>
      <c r="O13" s="3"/>
      <c r="P13" s="20">
        <v>206.0</v>
      </c>
      <c r="Q13" s="21">
        <f t="shared" si="20"/>
        <v>2430.8</v>
      </c>
      <c r="R13" s="22">
        <v>125.0</v>
      </c>
      <c r="S13" s="23">
        <v>0.02</v>
      </c>
      <c r="T13" s="21">
        <f t="shared" si="21"/>
        <v>2555.8</v>
      </c>
      <c r="U13" s="18">
        <f t="shared" si="22"/>
        <v>52</v>
      </c>
      <c r="V13" s="21">
        <f t="shared" si="23"/>
        <v>2607.8</v>
      </c>
      <c r="W13" s="24">
        <v>225.0</v>
      </c>
      <c r="X13" s="25">
        <f t="shared" si="24"/>
        <v>19</v>
      </c>
      <c r="Y13" s="50"/>
      <c r="Z13" s="50"/>
      <c r="AA13" s="3"/>
    </row>
    <row r="14">
      <c r="A14" s="3"/>
      <c r="B14" s="14">
        <v>13.78</v>
      </c>
      <c r="C14" s="14">
        <v>10.85</v>
      </c>
      <c r="D14" s="15" t="s">
        <v>24</v>
      </c>
      <c r="E14" s="47">
        <v>0.045</v>
      </c>
      <c r="F14" s="47">
        <f t="shared" si="13"/>
        <v>43.2692</v>
      </c>
      <c r="G14" s="48">
        <f t="shared" si="14"/>
        <v>961.5377778</v>
      </c>
      <c r="H14" s="47">
        <f t="shared" si="15"/>
        <v>1.085</v>
      </c>
      <c r="I14" s="47">
        <v>5.0</v>
      </c>
      <c r="J14" s="16">
        <f t="shared" si="16"/>
        <v>17.38780815</v>
      </c>
      <c r="K14" s="49">
        <f t="shared" si="17"/>
        <v>22.38780815</v>
      </c>
      <c r="L14" s="17">
        <v>225.0</v>
      </c>
      <c r="M14" s="18">
        <f t="shared" si="18"/>
        <v>3.75</v>
      </c>
      <c r="N14" s="21">
        <f t="shared" si="19"/>
        <v>84</v>
      </c>
      <c r="O14" s="3"/>
      <c r="P14" s="20">
        <v>6.0</v>
      </c>
      <c r="Q14" s="21">
        <f t="shared" si="20"/>
        <v>504</v>
      </c>
      <c r="R14" s="22">
        <v>125.0</v>
      </c>
      <c r="S14" s="23">
        <v>0.02</v>
      </c>
      <c r="T14" s="21">
        <f t="shared" si="21"/>
        <v>629</v>
      </c>
      <c r="U14" s="18">
        <f t="shared" si="22"/>
        <v>13</v>
      </c>
      <c r="V14" s="21">
        <f t="shared" si="23"/>
        <v>642</v>
      </c>
      <c r="W14" s="24">
        <v>225.0</v>
      </c>
      <c r="X14" s="25">
        <f t="shared" si="24"/>
        <v>2</v>
      </c>
      <c r="Y14" s="3"/>
      <c r="Z14" s="3"/>
      <c r="AA14" s="3"/>
    </row>
    <row r="15">
      <c r="A15" s="3"/>
      <c r="B15" s="14">
        <v>13.78</v>
      </c>
      <c r="C15" s="14">
        <v>10.85</v>
      </c>
      <c r="D15" s="15" t="s">
        <v>24</v>
      </c>
      <c r="E15" s="47">
        <v>0.025</v>
      </c>
      <c r="F15" s="47">
        <f t="shared" si="13"/>
        <v>43.2692</v>
      </c>
      <c r="G15" s="48">
        <f t="shared" si="14"/>
        <v>1730.768</v>
      </c>
      <c r="H15" s="47">
        <f t="shared" si="15"/>
        <v>1.085</v>
      </c>
      <c r="I15" s="47">
        <v>2.0</v>
      </c>
      <c r="J15" s="16">
        <f t="shared" si="16"/>
        <v>31.29805467</v>
      </c>
      <c r="K15" s="49">
        <f t="shared" si="17"/>
        <v>33.29805467</v>
      </c>
      <c r="L15" s="17">
        <v>250.0</v>
      </c>
      <c r="M15" s="18">
        <f t="shared" si="18"/>
        <v>4.166666667</v>
      </c>
      <c r="N15" s="21">
        <f t="shared" si="19"/>
        <v>138.8</v>
      </c>
      <c r="O15" s="3" t="s">
        <v>27</v>
      </c>
      <c r="P15" s="20">
        <v>32.0</v>
      </c>
      <c r="Q15" s="21">
        <f t="shared" si="20"/>
        <v>4441.6</v>
      </c>
      <c r="R15" s="22">
        <v>125.0</v>
      </c>
      <c r="S15" s="23">
        <v>0.02</v>
      </c>
      <c r="T15" s="21">
        <f t="shared" si="21"/>
        <v>4566.6</v>
      </c>
      <c r="U15" s="18">
        <f t="shared" si="22"/>
        <v>92</v>
      </c>
      <c r="V15" s="21">
        <f t="shared" si="23"/>
        <v>4658.6</v>
      </c>
      <c r="W15" s="24">
        <v>225.0</v>
      </c>
      <c r="X15" s="25">
        <f t="shared" si="24"/>
        <v>1</v>
      </c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6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6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6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26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51"/>
      <c r="M20" s="3"/>
      <c r="N20" s="3"/>
      <c r="O20" s="3"/>
      <c r="P20" s="3"/>
      <c r="Q20" s="3"/>
      <c r="R20" s="3"/>
      <c r="S20" s="3"/>
      <c r="T20" s="3"/>
      <c r="U20" s="26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52"/>
      <c r="M21" s="3"/>
      <c r="N21" s="3"/>
      <c r="O21" s="3"/>
      <c r="P21" s="3"/>
      <c r="Q21" s="3"/>
      <c r="R21" s="3"/>
      <c r="S21" s="3"/>
      <c r="T21" s="3"/>
      <c r="U21" s="26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52"/>
      <c r="M22" s="3"/>
      <c r="N22" s="3"/>
      <c r="O22" s="3"/>
      <c r="P22" s="3"/>
      <c r="Q22" s="3"/>
      <c r="R22" s="3"/>
      <c r="S22" s="3"/>
      <c r="T22" s="3"/>
      <c r="U22" s="26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52"/>
      <c r="M23" s="3"/>
      <c r="N23" s="3"/>
      <c r="O23" s="3"/>
      <c r="P23" s="3"/>
      <c r="Q23" s="3"/>
      <c r="R23" s="3"/>
      <c r="S23" s="3"/>
      <c r="T23" s="3"/>
      <c r="U23" s="26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52"/>
      <c r="M24" s="3"/>
      <c r="N24" s="3"/>
      <c r="O24" s="3"/>
      <c r="P24" s="3"/>
      <c r="Q24" s="3"/>
      <c r="R24" s="3"/>
      <c r="S24" s="3"/>
      <c r="T24" s="3"/>
      <c r="U24" s="26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52"/>
      <c r="M25" s="3"/>
      <c r="N25" s="3"/>
      <c r="O25" s="3"/>
      <c r="P25" s="3"/>
      <c r="Q25" s="3"/>
      <c r="R25" s="3"/>
      <c r="S25" s="3"/>
      <c r="T25" s="3"/>
      <c r="U25" s="26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52"/>
      <c r="M26" s="3"/>
      <c r="N26" s="3"/>
      <c r="O26" s="3"/>
      <c r="P26" s="3"/>
      <c r="Q26" s="3"/>
      <c r="R26" s="3"/>
      <c r="S26" s="3"/>
      <c r="T26" s="3"/>
      <c r="U26" s="26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53"/>
      <c r="M27" s="3"/>
      <c r="N27" s="3"/>
      <c r="O27" s="3"/>
      <c r="P27" s="3"/>
      <c r="Q27" s="3"/>
      <c r="R27" s="3"/>
      <c r="S27" s="3"/>
      <c r="T27" s="3"/>
      <c r="U27" s="26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51"/>
      <c r="M28" s="3"/>
      <c r="N28" s="3"/>
      <c r="O28" s="3"/>
      <c r="P28" s="3"/>
      <c r="Q28" s="3"/>
      <c r="R28" s="3"/>
      <c r="S28" s="3"/>
      <c r="T28" s="3"/>
      <c r="U28" s="26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51"/>
      <c r="M29" s="3"/>
      <c r="N29" s="3"/>
      <c r="O29" s="3"/>
      <c r="P29" s="3"/>
      <c r="Q29" s="3"/>
      <c r="R29" s="3"/>
      <c r="S29" s="3"/>
      <c r="T29" s="3"/>
      <c r="U29" s="26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26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6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8" t="s">
        <v>14</v>
      </c>
      <c r="O32" s="9" t="s">
        <v>37</v>
      </c>
      <c r="P32" s="10" t="s">
        <v>15</v>
      </c>
      <c r="Q32" s="11" t="s">
        <v>16</v>
      </c>
      <c r="R32" s="11" t="s">
        <v>17</v>
      </c>
      <c r="S32" s="10" t="s">
        <v>18</v>
      </c>
      <c r="T32" s="10" t="s">
        <v>19</v>
      </c>
      <c r="U32" s="12" t="s">
        <v>20</v>
      </c>
      <c r="V32" s="10" t="s">
        <v>21</v>
      </c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8">
        <v>43.85</v>
      </c>
      <c r="O33" s="19"/>
      <c r="P33" s="20">
        <v>68.0</v>
      </c>
      <c r="Q33" s="21">
        <f>N33*P33</f>
        <v>2981.8</v>
      </c>
      <c r="R33" s="22">
        <v>0.0</v>
      </c>
      <c r="S33" s="23">
        <v>0.02</v>
      </c>
      <c r="T33" s="21">
        <f>Q33+R33</f>
        <v>2981.8</v>
      </c>
      <c r="U33" s="18">
        <f>ROUNDUP(T33*S33,0)</f>
        <v>60</v>
      </c>
      <c r="V33" s="21">
        <f>T33+U33</f>
        <v>3041.8</v>
      </c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26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6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26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26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6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6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6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26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26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26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6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26"/>
      <c r="V45" s="3"/>
      <c r="W45" s="3"/>
      <c r="X45" s="3"/>
      <c r="Y45" s="3"/>
      <c r="Z45" s="3"/>
      <c r="AA45" s="3"/>
    </row>
    <row r="46" ht="28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26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26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26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26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26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26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26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6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26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6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6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26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26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26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26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6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6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26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26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26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26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6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6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6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6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26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6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26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26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26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26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26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26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26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26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26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26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26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26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26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26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26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26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26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26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26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26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26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26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26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26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26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26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26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26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26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26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26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26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26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26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26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26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26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6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6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6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26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26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26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6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6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6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6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6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6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6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6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6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6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6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6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6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6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6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6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6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6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6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6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6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6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6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6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6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6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6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6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6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6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6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6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6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6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6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6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6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6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6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6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6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6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6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6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6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6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6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6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6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6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6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6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6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6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6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6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6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6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6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6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6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6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6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6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6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6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6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6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6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6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6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6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6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6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6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6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6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6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6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6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6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6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6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6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6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6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6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6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6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6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6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6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6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6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6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6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6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6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6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6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6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6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6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6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6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6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6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6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6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6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6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6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6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6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6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6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6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6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6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6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6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6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6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6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6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6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6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6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6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6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6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6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6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6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6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6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6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6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6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6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6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6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6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6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6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6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6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6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6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6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6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6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6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6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6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6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6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6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6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6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6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6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6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6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6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6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6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6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6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6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6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6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6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6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6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6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6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6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6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6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6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6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6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6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6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6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6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6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6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6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6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6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6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6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6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6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6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6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6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6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6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6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6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6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6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6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6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6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6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6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6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6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6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6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6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6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6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6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6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6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6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6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6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6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6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6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6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6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6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6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6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6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6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6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6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6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6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6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6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6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6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6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6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6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6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6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6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6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6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6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26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26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26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26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26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26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26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26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26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26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26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26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26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26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26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26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26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26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26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26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26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26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26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26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26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26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26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26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26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26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26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26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26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26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26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26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26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26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26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26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26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26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26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26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26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26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26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26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26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26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26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26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26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26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26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26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26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26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26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26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26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26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26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26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26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26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26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26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26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26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26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26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26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26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26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26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26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26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26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26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26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26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26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26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26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26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26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26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26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26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26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26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26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26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26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26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26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26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26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26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26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26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26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26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26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26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26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26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26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26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26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26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26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26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26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26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26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26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26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26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26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26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26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26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26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26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26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26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26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26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26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26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26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26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26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26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26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26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26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26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26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26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26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26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26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26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26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26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26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26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26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26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26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26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26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26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26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26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26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26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26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26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26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26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26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26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26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26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26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26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26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26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26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26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26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26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26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26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26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26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26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26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26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26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26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26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26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26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26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26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26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26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26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26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26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26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26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26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26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26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26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26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26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26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26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26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26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26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26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26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26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26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26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26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26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26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26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26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26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26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26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26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26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26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26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26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26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26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26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26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26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26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26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26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26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26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26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26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26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26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26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26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26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26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26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26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26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26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26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26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26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26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26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26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26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26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26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26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26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26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26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26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26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26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26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26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26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26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26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26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26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26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26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26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26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26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26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26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26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26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26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26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26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26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26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26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26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26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26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26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26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26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26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26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26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26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26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26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26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26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26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26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26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26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26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26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26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26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26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26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26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26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26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26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26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26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26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26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26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26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26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26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26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26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26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26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26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26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26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26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26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26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26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26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26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26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26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26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26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26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26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6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26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26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26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26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26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26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26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26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26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26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26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26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26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26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26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26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26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26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26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26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26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26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26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26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26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26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26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26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26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26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26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26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26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26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26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26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26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26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26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26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26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26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26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26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26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26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26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26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26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26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26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26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26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26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26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26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26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26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26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26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26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26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26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6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26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26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26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26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26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26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26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26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26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26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26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26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26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26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26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26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26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26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26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26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26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26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26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26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26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26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26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26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26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26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26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26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26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26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26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26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26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26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26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26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26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26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26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26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26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26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26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26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26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26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26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26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26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26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6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26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26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26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26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26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26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26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26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26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26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26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26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26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26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26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6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26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26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26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26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26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26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26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26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26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26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26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26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26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26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26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26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26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26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26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26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26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26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26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26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26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26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26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26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6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26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26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26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26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26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26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26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6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26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26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26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26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26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6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26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26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26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26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26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26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26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26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26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26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26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26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26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26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26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26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26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26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26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26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26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26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26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26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26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26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26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26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26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26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26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26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26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26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26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26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26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26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26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26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26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26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26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26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26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26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26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26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26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26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26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26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26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26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26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26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26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26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26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26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26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26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26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26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26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26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26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26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26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26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26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26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26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26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26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26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26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26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26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26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26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26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26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26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26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26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26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26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26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26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26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26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26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26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26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26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26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26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26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26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26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26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26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26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26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26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26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26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26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26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26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26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26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26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26"/>
      <c r="V1000" s="3"/>
      <c r="W1000" s="3"/>
      <c r="X1000" s="3"/>
      <c r="Y1000" s="3"/>
      <c r="Z1000" s="3"/>
      <c r="AA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43"/>
    <col customWidth="1" min="5" max="5" width="12.57"/>
    <col customWidth="1" min="6" max="9" width="8.71"/>
    <col customWidth="1" min="10" max="10" width="13.86"/>
    <col customWidth="1" min="11" max="18" width="8.71"/>
    <col customWidth="1" min="19" max="19" width="14.29"/>
    <col customWidth="1" min="20" max="20" width="13.71"/>
    <col customWidth="1" min="21" max="21" width="22.86"/>
    <col customWidth="1" min="22" max="26" width="8.71"/>
  </cols>
  <sheetData>
    <row r="1">
      <c r="A1" s="54" t="s">
        <v>38</v>
      </c>
      <c r="B1" s="55" t="s">
        <v>39</v>
      </c>
      <c r="C1" s="56" t="s">
        <v>30</v>
      </c>
      <c r="D1" s="56" t="s">
        <v>40</v>
      </c>
      <c r="E1" s="56" t="s">
        <v>41</v>
      </c>
      <c r="F1" s="57" t="s">
        <v>42</v>
      </c>
      <c r="G1" s="57" t="s">
        <v>43</v>
      </c>
      <c r="H1" s="56" t="s">
        <v>44</v>
      </c>
      <c r="I1" s="58" t="s">
        <v>45</v>
      </c>
      <c r="J1" s="55" t="s">
        <v>46</v>
      </c>
      <c r="K1" s="55" t="s">
        <v>47</v>
      </c>
      <c r="L1" s="55"/>
      <c r="M1" s="55" t="s">
        <v>48</v>
      </c>
      <c r="N1" s="55" t="s">
        <v>49</v>
      </c>
      <c r="O1" s="59" t="s">
        <v>47</v>
      </c>
      <c r="P1" s="59" t="s">
        <v>50</v>
      </c>
      <c r="Q1" s="55" t="s">
        <v>51</v>
      </c>
      <c r="S1" s="54" t="s">
        <v>52</v>
      </c>
      <c r="T1" s="54" t="s">
        <v>53</v>
      </c>
      <c r="U1" s="60" t="s">
        <v>38</v>
      </c>
      <c r="V1" s="61" t="s">
        <v>39</v>
      </c>
      <c r="W1" s="62"/>
      <c r="X1" s="9" t="s">
        <v>54</v>
      </c>
    </row>
    <row r="2">
      <c r="A2" s="9"/>
      <c r="B2" s="9"/>
      <c r="C2" s="56"/>
      <c r="D2" s="56"/>
      <c r="E2" s="56"/>
      <c r="F2" s="56"/>
      <c r="G2" s="56"/>
      <c r="H2" s="56"/>
      <c r="I2" s="50"/>
      <c r="O2" s="63"/>
      <c r="P2" s="63"/>
      <c r="U2" s="64"/>
      <c r="V2" s="65"/>
      <c r="W2" s="66" t="s">
        <v>55</v>
      </c>
      <c r="X2" s="9"/>
    </row>
    <row r="3">
      <c r="A3" s="9">
        <v>0.25</v>
      </c>
      <c r="B3" s="9">
        <v>144.0</v>
      </c>
      <c r="C3" s="56">
        <f t="shared" ref="C3:C20" si="1">(A3*3.1456789)</f>
        <v>0.786419725</v>
      </c>
      <c r="D3" s="56">
        <v>0.0587</v>
      </c>
      <c r="E3" s="56">
        <f t="shared" ref="E3:E20" si="2">12/60</f>
        <v>0.2</v>
      </c>
      <c r="F3" s="67">
        <f t="shared" ref="F3:F20" si="3">H3/60</f>
        <v>3.75</v>
      </c>
      <c r="G3" s="56">
        <f t="shared" ref="G3:G8" si="4">((B3/E3*D3)/60)+T3</f>
        <v>5.7044</v>
      </c>
      <c r="H3" s="67">
        <v>225.0</v>
      </c>
      <c r="I3" s="20">
        <v>1.0</v>
      </c>
      <c r="J3" s="68">
        <f t="shared" ref="J3:J20" si="5">(G3*F3)*C3</f>
        <v>16.82269755</v>
      </c>
      <c r="K3" s="69">
        <v>0.02</v>
      </c>
      <c r="L3" s="70">
        <f t="shared" ref="L3:L20" si="6">(J3)+J3*K3</f>
        <v>17.1591515</v>
      </c>
      <c r="M3" s="68">
        <f t="shared" ref="M3:M20" si="7">ROUNDUP(L3-J3,0)</f>
        <v>1</v>
      </c>
      <c r="N3" s="68">
        <f t="shared" ref="N3:N20" si="8">J3+M3</f>
        <v>17.82269755</v>
      </c>
      <c r="O3" s="68">
        <f t="shared" ref="O3:O20" si="9">I3*M3</f>
        <v>1</v>
      </c>
      <c r="P3" s="63">
        <f t="shared" ref="P3:P20" si="10">S3/J3</f>
        <v>13.37478721</v>
      </c>
      <c r="Q3" s="70">
        <f t="shared" ref="Q3:Q20" si="11">(J3*I3)+O3</f>
        <v>17.82269755</v>
      </c>
      <c r="R3" s="70"/>
      <c r="S3" s="70">
        <v>225.0</v>
      </c>
      <c r="T3" s="3">
        <v>5.0</v>
      </c>
      <c r="U3" s="71">
        <v>0.25</v>
      </c>
      <c r="V3" s="72">
        <v>144.0</v>
      </c>
      <c r="W3" s="73"/>
      <c r="X3" s="9"/>
    </row>
    <row r="4">
      <c r="A4" s="9">
        <v>0.26</v>
      </c>
      <c r="B4" s="9">
        <v>144.0</v>
      </c>
      <c r="C4" s="56">
        <f t="shared" si="1"/>
        <v>0.817876514</v>
      </c>
      <c r="D4" s="56">
        <v>0.0587</v>
      </c>
      <c r="E4" s="56">
        <f t="shared" si="2"/>
        <v>0.2</v>
      </c>
      <c r="F4" s="67">
        <f t="shared" si="3"/>
        <v>3.75</v>
      </c>
      <c r="G4" s="56">
        <f t="shared" si="4"/>
        <v>5.7044</v>
      </c>
      <c r="H4" s="67">
        <v>225.0</v>
      </c>
      <c r="I4" s="20">
        <v>1.0</v>
      </c>
      <c r="J4" s="68">
        <f t="shared" si="5"/>
        <v>17.49560545</v>
      </c>
      <c r="K4" s="69">
        <v>0.02</v>
      </c>
      <c r="L4" s="70">
        <f t="shared" si="6"/>
        <v>17.84551756</v>
      </c>
      <c r="M4" s="68">
        <f t="shared" si="7"/>
        <v>1</v>
      </c>
      <c r="N4" s="68">
        <f t="shared" si="8"/>
        <v>18.49560545</v>
      </c>
      <c r="O4" s="68">
        <f t="shared" si="9"/>
        <v>1</v>
      </c>
      <c r="P4" s="63">
        <f t="shared" si="10"/>
        <v>12.86037232</v>
      </c>
      <c r="Q4" s="70">
        <f t="shared" si="11"/>
        <v>18.49560545</v>
      </c>
      <c r="S4" s="70">
        <v>225.0</v>
      </c>
      <c r="T4" s="3">
        <v>5.0</v>
      </c>
      <c r="U4" s="74">
        <v>0.26</v>
      </c>
      <c r="V4" s="75">
        <v>144.0</v>
      </c>
      <c r="W4" s="76"/>
      <c r="X4" s="9"/>
    </row>
    <row r="5">
      <c r="A5" s="9">
        <v>0.275</v>
      </c>
      <c r="B5" s="9">
        <v>144.0</v>
      </c>
      <c r="C5" s="56">
        <f t="shared" si="1"/>
        <v>0.8650616975</v>
      </c>
      <c r="D5" s="56">
        <v>0.0587</v>
      </c>
      <c r="E5" s="56">
        <f t="shared" si="2"/>
        <v>0.2</v>
      </c>
      <c r="F5" s="67">
        <f t="shared" si="3"/>
        <v>3.75</v>
      </c>
      <c r="G5" s="56">
        <f t="shared" si="4"/>
        <v>5.7044</v>
      </c>
      <c r="H5" s="67">
        <v>225.0</v>
      </c>
      <c r="I5" s="20"/>
      <c r="J5" s="68">
        <f t="shared" si="5"/>
        <v>18.5049673</v>
      </c>
      <c r="K5" s="69">
        <v>0.02</v>
      </c>
      <c r="L5" s="70">
        <f t="shared" si="6"/>
        <v>18.87506665</v>
      </c>
      <c r="M5" s="68">
        <f t="shared" si="7"/>
        <v>1</v>
      </c>
      <c r="N5" s="68">
        <f t="shared" si="8"/>
        <v>19.5049673</v>
      </c>
      <c r="O5" s="68">
        <f t="shared" si="9"/>
        <v>0</v>
      </c>
      <c r="P5" s="63">
        <f t="shared" si="10"/>
        <v>12.15889746</v>
      </c>
      <c r="Q5" s="70">
        <f t="shared" si="11"/>
        <v>0</v>
      </c>
      <c r="S5" s="70">
        <v>225.0</v>
      </c>
      <c r="T5" s="3">
        <v>5.0</v>
      </c>
      <c r="U5" s="77">
        <v>0.275</v>
      </c>
      <c r="V5" s="75">
        <v>144.0</v>
      </c>
      <c r="W5" s="76"/>
      <c r="X5" s="9"/>
    </row>
    <row r="6">
      <c r="A6" s="9">
        <v>0.3</v>
      </c>
      <c r="B6" s="9">
        <v>144.0</v>
      </c>
      <c r="C6" s="56">
        <f t="shared" si="1"/>
        <v>0.94370367</v>
      </c>
      <c r="D6" s="56">
        <v>0.0587</v>
      </c>
      <c r="E6" s="56">
        <f t="shared" si="2"/>
        <v>0.2</v>
      </c>
      <c r="F6" s="67">
        <f t="shared" si="3"/>
        <v>3.75</v>
      </c>
      <c r="G6" s="56">
        <f t="shared" si="4"/>
        <v>5.7044</v>
      </c>
      <c r="H6" s="67">
        <v>225.0</v>
      </c>
      <c r="I6" s="20"/>
      <c r="J6" s="68">
        <f t="shared" si="5"/>
        <v>20.18723706</v>
      </c>
      <c r="K6" s="69">
        <v>0.02</v>
      </c>
      <c r="L6" s="70">
        <f t="shared" si="6"/>
        <v>20.5909818</v>
      </c>
      <c r="M6" s="68">
        <f t="shared" si="7"/>
        <v>1</v>
      </c>
      <c r="N6" s="68">
        <f t="shared" si="8"/>
        <v>21.18723706</v>
      </c>
      <c r="O6" s="68">
        <f t="shared" si="9"/>
        <v>0</v>
      </c>
      <c r="P6" s="63">
        <f t="shared" si="10"/>
        <v>11.14565601</v>
      </c>
      <c r="Q6" s="70">
        <f t="shared" si="11"/>
        <v>0</v>
      </c>
      <c r="S6" s="70">
        <v>225.0</v>
      </c>
      <c r="T6" s="3">
        <v>5.0</v>
      </c>
      <c r="U6" s="74">
        <v>0.3</v>
      </c>
      <c r="V6" s="75">
        <v>144.0</v>
      </c>
      <c r="W6" s="76"/>
      <c r="X6" s="9"/>
    </row>
    <row r="7">
      <c r="A7" s="9">
        <v>0.322</v>
      </c>
      <c r="B7" s="9">
        <v>144.0</v>
      </c>
      <c r="C7" s="56">
        <f t="shared" si="1"/>
        <v>1.012908606</v>
      </c>
      <c r="D7" s="56">
        <v>0.0587</v>
      </c>
      <c r="E7" s="56">
        <f t="shared" si="2"/>
        <v>0.2</v>
      </c>
      <c r="F7" s="67">
        <f t="shared" si="3"/>
        <v>3.75</v>
      </c>
      <c r="G7" s="56">
        <f t="shared" si="4"/>
        <v>5.7044</v>
      </c>
      <c r="H7" s="67">
        <v>225.0</v>
      </c>
      <c r="I7" s="20"/>
      <c r="J7" s="68">
        <f t="shared" si="5"/>
        <v>21.66763444</v>
      </c>
      <c r="K7" s="69">
        <v>0.02</v>
      </c>
      <c r="L7" s="70">
        <f t="shared" si="6"/>
        <v>22.10098713</v>
      </c>
      <c r="M7" s="68">
        <f t="shared" si="7"/>
        <v>1</v>
      </c>
      <c r="N7" s="68">
        <f t="shared" si="8"/>
        <v>22.66763444</v>
      </c>
      <c r="O7" s="68">
        <f t="shared" si="9"/>
        <v>0</v>
      </c>
      <c r="P7" s="63">
        <f t="shared" si="10"/>
        <v>10.38415156</v>
      </c>
      <c r="Q7" s="70">
        <f t="shared" si="11"/>
        <v>0</v>
      </c>
      <c r="S7" s="70">
        <v>225.0</v>
      </c>
      <c r="T7" s="3">
        <v>5.0</v>
      </c>
      <c r="U7" s="77">
        <v>0.322</v>
      </c>
      <c r="V7" s="75">
        <v>144.0</v>
      </c>
      <c r="W7" s="78">
        <v>24.45</v>
      </c>
      <c r="X7" s="9"/>
    </row>
    <row r="8">
      <c r="A8" s="9">
        <v>0.35</v>
      </c>
      <c r="B8" s="9">
        <v>144.0</v>
      </c>
      <c r="C8" s="56">
        <f t="shared" si="1"/>
        <v>1.100987615</v>
      </c>
      <c r="D8" s="56">
        <v>0.0587</v>
      </c>
      <c r="E8" s="56">
        <f t="shared" si="2"/>
        <v>0.2</v>
      </c>
      <c r="F8" s="67">
        <f t="shared" si="3"/>
        <v>3.75</v>
      </c>
      <c r="G8" s="56">
        <f t="shared" si="4"/>
        <v>5.7044</v>
      </c>
      <c r="H8" s="67">
        <v>225.0</v>
      </c>
      <c r="I8" s="20">
        <v>3.0</v>
      </c>
      <c r="J8" s="68">
        <f t="shared" si="5"/>
        <v>23.55177657</v>
      </c>
      <c r="K8" s="69">
        <v>0.02</v>
      </c>
      <c r="L8" s="70">
        <f t="shared" si="6"/>
        <v>24.0228121</v>
      </c>
      <c r="M8" s="68">
        <f t="shared" si="7"/>
        <v>1</v>
      </c>
      <c r="N8" s="79">
        <f t="shared" si="8"/>
        <v>24.55177657</v>
      </c>
      <c r="O8" s="68">
        <f t="shared" si="9"/>
        <v>3</v>
      </c>
      <c r="P8" s="63">
        <f t="shared" si="10"/>
        <v>9.553419436</v>
      </c>
      <c r="Q8" s="70">
        <f t="shared" si="11"/>
        <v>73.6553297</v>
      </c>
      <c r="S8" s="70">
        <v>225.0</v>
      </c>
      <c r="T8" s="3">
        <v>5.0</v>
      </c>
      <c r="U8" s="77">
        <v>0.35</v>
      </c>
      <c r="V8" s="75">
        <v>144.0</v>
      </c>
      <c r="W8" s="78">
        <v>24.55</v>
      </c>
      <c r="X8" s="9"/>
    </row>
    <row r="9">
      <c r="A9" s="9">
        <v>0.375</v>
      </c>
      <c r="B9" s="9">
        <v>144.0</v>
      </c>
      <c r="C9" s="56">
        <f t="shared" si="1"/>
        <v>1.179629588</v>
      </c>
      <c r="D9" s="56">
        <v>0.16</v>
      </c>
      <c r="E9" s="56">
        <f t="shared" si="2"/>
        <v>0.2</v>
      </c>
      <c r="F9" s="67">
        <f t="shared" si="3"/>
        <v>3.75</v>
      </c>
      <c r="G9" s="56">
        <f t="shared" ref="G9:G20" si="12">((B9/E9)/60)</f>
        <v>12</v>
      </c>
      <c r="H9" s="67">
        <v>225.0</v>
      </c>
      <c r="I9" s="20"/>
      <c r="J9" s="68">
        <f t="shared" si="5"/>
        <v>53.08333144</v>
      </c>
      <c r="K9" s="69">
        <v>0.02</v>
      </c>
      <c r="L9" s="70">
        <f t="shared" si="6"/>
        <v>54.14499807</v>
      </c>
      <c r="M9" s="68">
        <f t="shared" si="7"/>
        <v>2</v>
      </c>
      <c r="N9" s="68">
        <f t="shared" si="8"/>
        <v>55.08333144</v>
      </c>
      <c r="O9" s="68">
        <f t="shared" si="9"/>
        <v>0</v>
      </c>
      <c r="P9" s="63">
        <f t="shared" si="10"/>
        <v>4.238618676</v>
      </c>
      <c r="Q9" s="70">
        <f t="shared" si="11"/>
        <v>0</v>
      </c>
      <c r="S9" s="70">
        <v>225.0</v>
      </c>
      <c r="T9" s="3">
        <v>5.0</v>
      </c>
      <c r="U9" s="77">
        <v>0.375</v>
      </c>
      <c r="V9" s="75">
        <v>144.0</v>
      </c>
      <c r="W9" s="78">
        <v>24.75</v>
      </c>
      <c r="X9" s="9"/>
    </row>
    <row r="10">
      <c r="A10" s="9">
        <v>0.385</v>
      </c>
      <c r="B10" s="9">
        <v>144.0</v>
      </c>
      <c r="C10" s="56">
        <f t="shared" si="1"/>
        <v>1.211086377</v>
      </c>
      <c r="D10" s="56">
        <v>0.16</v>
      </c>
      <c r="E10" s="56">
        <f t="shared" si="2"/>
        <v>0.2</v>
      </c>
      <c r="F10" s="67">
        <f t="shared" si="3"/>
        <v>3.75</v>
      </c>
      <c r="G10" s="56">
        <f t="shared" si="12"/>
        <v>12</v>
      </c>
      <c r="H10" s="67">
        <v>225.0</v>
      </c>
      <c r="I10" s="20"/>
      <c r="J10" s="68">
        <f t="shared" si="5"/>
        <v>54.49888694</v>
      </c>
      <c r="K10" s="69">
        <v>0.02</v>
      </c>
      <c r="L10" s="70">
        <f t="shared" si="6"/>
        <v>55.58886468</v>
      </c>
      <c r="M10" s="68">
        <f t="shared" si="7"/>
        <v>2</v>
      </c>
      <c r="N10" s="68">
        <f t="shared" si="8"/>
        <v>56.49888694</v>
      </c>
      <c r="O10" s="68">
        <f t="shared" si="9"/>
        <v>0</v>
      </c>
      <c r="P10" s="63">
        <f t="shared" si="10"/>
        <v>4.128524684</v>
      </c>
      <c r="Q10" s="70">
        <f t="shared" si="11"/>
        <v>0</v>
      </c>
      <c r="S10" s="70">
        <v>225.0</v>
      </c>
      <c r="T10" s="3">
        <v>5.0</v>
      </c>
      <c r="U10" s="77">
        <v>0.385</v>
      </c>
      <c r="V10" s="75">
        <v>144.0</v>
      </c>
      <c r="W10" s="78">
        <v>24.8</v>
      </c>
      <c r="X10" s="9"/>
    </row>
    <row r="11">
      <c r="A11" s="9">
        <v>0.4</v>
      </c>
      <c r="B11" s="9">
        <v>144.0</v>
      </c>
      <c r="C11" s="56">
        <f t="shared" si="1"/>
        <v>1.25827156</v>
      </c>
      <c r="D11" s="56">
        <v>0.16</v>
      </c>
      <c r="E11" s="56">
        <f t="shared" si="2"/>
        <v>0.2</v>
      </c>
      <c r="F11" s="67">
        <f t="shared" si="3"/>
        <v>3.75</v>
      </c>
      <c r="G11" s="56">
        <f t="shared" si="12"/>
        <v>12</v>
      </c>
      <c r="H11" s="67">
        <v>225.0</v>
      </c>
      <c r="I11" s="20"/>
      <c r="J11" s="68">
        <f t="shared" si="5"/>
        <v>56.6222202</v>
      </c>
      <c r="K11" s="69">
        <v>0.02</v>
      </c>
      <c r="L11" s="70">
        <f t="shared" si="6"/>
        <v>57.7546646</v>
      </c>
      <c r="M11" s="68">
        <f t="shared" si="7"/>
        <v>2</v>
      </c>
      <c r="N11" s="68">
        <f t="shared" si="8"/>
        <v>58.6222202</v>
      </c>
      <c r="O11" s="68">
        <f t="shared" si="9"/>
        <v>0</v>
      </c>
      <c r="P11" s="63">
        <f t="shared" si="10"/>
        <v>3.973705008</v>
      </c>
      <c r="Q11" s="70">
        <f t="shared" si="11"/>
        <v>0</v>
      </c>
      <c r="S11" s="70">
        <v>225.0</v>
      </c>
      <c r="T11" s="3">
        <v>5.0</v>
      </c>
      <c r="U11" s="77">
        <v>0.4</v>
      </c>
      <c r="V11" s="75">
        <v>144.0</v>
      </c>
      <c r="W11" s="78">
        <v>24.95</v>
      </c>
      <c r="X11" s="9"/>
    </row>
    <row r="12">
      <c r="A12" s="9">
        <v>0.425</v>
      </c>
      <c r="B12" s="9">
        <v>144.0</v>
      </c>
      <c r="C12" s="56">
        <f t="shared" si="1"/>
        <v>1.336913533</v>
      </c>
      <c r="D12" s="56">
        <v>0.16</v>
      </c>
      <c r="E12" s="56">
        <f t="shared" si="2"/>
        <v>0.2</v>
      </c>
      <c r="F12" s="67">
        <f t="shared" si="3"/>
        <v>3.75</v>
      </c>
      <c r="G12" s="56">
        <f t="shared" si="12"/>
        <v>12</v>
      </c>
      <c r="H12" s="67">
        <v>225.0</v>
      </c>
      <c r="I12" s="20">
        <v>14.0</v>
      </c>
      <c r="J12" s="68">
        <f t="shared" si="5"/>
        <v>60.16110896</v>
      </c>
      <c r="K12" s="69">
        <v>0.02</v>
      </c>
      <c r="L12" s="70">
        <f t="shared" si="6"/>
        <v>61.36433114</v>
      </c>
      <c r="M12" s="68">
        <f t="shared" si="7"/>
        <v>2</v>
      </c>
      <c r="N12" s="68">
        <f t="shared" si="8"/>
        <v>62.16110896</v>
      </c>
      <c r="O12" s="68">
        <f t="shared" si="9"/>
        <v>28</v>
      </c>
      <c r="P12" s="63">
        <f t="shared" si="10"/>
        <v>3.739957655</v>
      </c>
      <c r="Q12" s="70">
        <f t="shared" si="11"/>
        <v>870.2555255</v>
      </c>
      <c r="S12" s="70">
        <v>225.0</v>
      </c>
      <c r="T12" s="3">
        <v>5.0</v>
      </c>
      <c r="U12" s="77">
        <v>0.425</v>
      </c>
      <c r="V12" s="75">
        <v>144.0</v>
      </c>
      <c r="W12" s="78">
        <v>25.0</v>
      </c>
      <c r="X12" s="9"/>
    </row>
    <row r="13">
      <c r="A13" s="9">
        <v>0.45</v>
      </c>
      <c r="B13" s="9">
        <v>144.0</v>
      </c>
      <c r="C13" s="56">
        <f t="shared" si="1"/>
        <v>1.415555505</v>
      </c>
      <c r="D13" s="56">
        <v>0.16</v>
      </c>
      <c r="E13" s="56">
        <f t="shared" si="2"/>
        <v>0.2</v>
      </c>
      <c r="F13" s="67">
        <f t="shared" si="3"/>
        <v>3.75</v>
      </c>
      <c r="G13" s="56">
        <f t="shared" si="12"/>
        <v>12</v>
      </c>
      <c r="H13" s="67">
        <v>225.0</v>
      </c>
      <c r="I13" s="20"/>
      <c r="J13" s="68">
        <f t="shared" si="5"/>
        <v>63.69999773</v>
      </c>
      <c r="K13" s="69">
        <v>0.02</v>
      </c>
      <c r="L13" s="70">
        <f t="shared" si="6"/>
        <v>64.97399768</v>
      </c>
      <c r="M13" s="68">
        <f t="shared" si="7"/>
        <v>2</v>
      </c>
      <c r="N13" s="68">
        <f t="shared" si="8"/>
        <v>65.69999773</v>
      </c>
      <c r="O13" s="68">
        <f t="shared" si="9"/>
        <v>0</v>
      </c>
      <c r="P13" s="63">
        <f t="shared" si="10"/>
        <v>3.53218223</v>
      </c>
      <c r="Q13" s="70">
        <f t="shared" si="11"/>
        <v>0</v>
      </c>
      <c r="S13" s="70">
        <v>225.0</v>
      </c>
      <c r="T13" s="3">
        <v>5.0</v>
      </c>
      <c r="U13" s="74">
        <v>0.45</v>
      </c>
      <c r="V13" s="75">
        <v>144.0</v>
      </c>
      <c r="W13" s="78">
        <v>25.55</v>
      </c>
      <c r="X13" s="9"/>
    </row>
    <row r="14">
      <c r="A14" s="9">
        <v>0.5</v>
      </c>
      <c r="B14" s="9">
        <v>144.0</v>
      </c>
      <c r="C14" s="56">
        <f t="shared" si="1"/>
        <v>1.57283945</v>
      </c>
      <c r="D14" s="56">
        <v>0.16</v>
      </c>
      <c r="E14" s="56">
        <f t="shared" si="2"/>
        <v>0.2</v>
      </c>
      <c r="F14" s="67">
        <f t="shared" si="3"/>
        <v>3.75</v>
      </c>
      <c r="G14" s="56">
        <f t="shared" si="12"/>
        <v>12</v>
      </c>
      <c r="H14" s="67">
        <v>225.0</v>
      </c>
      <c r="I14" s="20"/>
      <c r="J14" s="68">
        <f t="shared" si="5"/>
        <v>70.77777525</v>
      </c>
      <c r="K14" s="69">
        <v>0.02</v>
      </c>
      <c r="L14" s="70">
        <f t="shared" si="6"/>
        <v>72.19333076</v>
      </c>
      <c r="M14" s="68">
        <f t="shared" si="7"/>
        <v>2</v>
      </c>
      <c r="N14" s="68">
        <f t="shared" si="8"/>
        <v>72.77777525</v>
      </c>
      <c r="O14" s="68">
        <f t="shared" si="9"/>
        <v>0</v>
      </c>
      <c r="P14" s="63">
        <f t="shared" si="10"/>
        <v>3.178964007</v>
      </c>
      <c r="Q14" s="70">
        <f t="shared" si="11"/>
        <v>0</v>
      </c>
      <c r="S14" s="70">
        <v>225.0</v>
      </c>
      <c r="T14" s="3">
        <v>5.0</v>
      </c>
      <c r="U14" s="77">
        <v>0.5</v>
      </c>
      <c r="V14" s="75">
        <v>144.0</v>
      </c>
      <c r="W14" s="78">
        <v>26.75</v>
      </c>
      <c r="X14" s="9"/>
    </row>
    <row r="15">
      <c r="A15" s="9">
        <v>0.51</v>
      </c>
      <c r="B15" s="9">
        <v>144.0</v>
      </c>
      <c r="C15" s="56">
        <f t="shared" si="1"/>
        <v>1.604296239</v>
      </c>
      <c r="D15" s="56">
        <v>0.16</v>
      </c>
      <c r="E15" s="56">
        <f t="shared" si="2"/>
        <v>0.2</v>
      </c>
      <c r="F15" s="67">
        <f t="shared" si="3"/>
        <v>3.75</v>
      </c>
      <c r="G15" s="56">
        <f t="shared" si="12"/>
        <v>12</v>
      </c>
      <c r="H15" s="67">
        <v>225.0</v>
      </c>
      <c r="I15" s="20"/>
      <c r="J15" s="68">
        <f t="shared" si="5"/>
        <v>72.19333076</v>
      </c>
      <c r="K15" s="69">
        <v>0.02</v>
      </c>
      <c r="L15" s="70">
        <f t="shared" si="6"/>
        <v>73.63719737</v>
      </c>
      <c r="M15" s="68">
        <f t="shared" si="7"/>
        <v>2</v>
      </c>
      <c r="N15" s="68">
        <f t="shared" si="8"/>
        <v>74.19333076</v>
      </c>
      <c r="O15" s="68">
        <f t="shared" si="9"/>
        <v>0</v>
      </c>
      <c r="P15" s="63">
        <f t="shared" si="10"/>
        <v>3.116631379</v>
      </c>
      <c r="Q15" s="70">
        <f t="shared" si="11"/>
        <v>0</v>
      </c>
      <c r="S15" s="70">
        <v>225.0</v>
      </c>
      <c r="T15" s="3">
        <v>5.0</v>
      </c>
      <c r="U15" s="77">
        <v>0.51</v>
      </c>
      <c r="V15" s="75">
        <v>144.0</v>
      </c>
      <c r="W15" s="78">
        <v>26.95</v>
      </c>
      <c r="X15" s="9" t="s">
        <v>56</v>
      </c>
    </row>
    <row r="16">
      <c r="A16" s="9">
        <v>0.55</v>
      </c>
      <c r="B16" s="9">
        <v>144.0</v>
      </c>
      <c r="C16" s="56">
        <f t="shared" si="1"/>
        <v>1.730123395</v>
      </c>
      <c r="D16" s="56">
        <v>0.16</v>
      </c>
      <c r="E16" s="56">
        <f t="shared" si="2"/>
        <v>0.2</v>
      </c>
      <c r="F16" s="67">
        <f t="shared" si="3"/>
        <v>3.75</v>
      </c>
      <c r="G16" s="56">
        <f t="shared" si="12"/>
        <v>12</v>
      </c>
      <c r="H16" s="67">
        <v>225.0</v>
      </c>
      <c r="I16" s="20">
        <v>7.0</v>
      </c>
      <c r="J16" s="68">
        <f t="shared" si="5"/>
        <v>77.85555278</v>
      </c>
      <c r="K16" s="69">
        <v>0.02</v>
      </c>
      <c r="L16" s="70">
        <f t="shared" si="6"/>
        <v>79.41266383</v>
      </c>
      <c r="M16" s="68">
        <f t="shared" si="7"/>
        <v>2</v>
      </c>
      <c r="N16" s="68">
        <f t="shared" si="8"/>
        <v>79.85555278</v>
      </c>
      <c r="O16" s="68">
        <f t="shared" si="9"/>
        <v>14</v>
      </c>
      <c r="P16" s="63">
        <f t="shared" si="10"/>
        <v>2.889967279</v>
      </c>
      <c r="Q16" s="70">
        <f t="shared" si="11"/>
        <v>558.9888694</v>
      </c>
      <c r="S16" s="70">
        <v>225.0</v>
      </c>
      <c r="T16" s="3">
        <v>5.0</v>
      </c>
      <c r="U16" s="77">
        <v>0.55</v>
      </c>
      <c r="V16" s="75">
        <v>144.0</v>
      </c>
      <c r="W16" s="78">
        <v>27.9</v>
      </c>
      <c r="X16" s="9"/>
    </row>
    <row r="17">
      <c r="A17" s="9">
        <v>0.572</v>
      </c>
      <c r="B17" s="9">
        <v>144.0</v>
      </c>
      <c r="C17" s="56">
        <f t="shared" si="1"/>
        <v>1.799328331</v>
      </c>
      <c r="D17" s="56">
        <v>0.16</v>
      </c>
      <c r="E17" s="56">
        <f t="shared" si="2"/>
        <v>0.2</v>
      </c>
      <c r="F17" s="67">
        <f t="shared" si="3"/>
        <v>3.75</v>
      </c>
      <c r="G17" s="56">
        <f t="shared" si="12"/>
        <v>12</v>
      </c>
      <c r="H17" s="67">
        <v>225.0</v>
      </c>
      <c r="I17" s="20"/>
      <c r="J17" s="68">
        <f t="shared" si="5"/>
        <v>80.96977489</v>
      </c>
      <c r="K17" s="69">
        <v>0.02</v>
      </c>
      <c r="L17" s="70">
        <f t="shared" si="6"/>
        <v>82.58917038</v>
      </c>
      <c r="M17" s="68">
        <f t="shared" si="7"/>
        <v>2</v>
      </c>
      <c r="N17" s="68">
        <f t="shared" si="8"/>
        <v>82.96977489</v>
      </c>
      <c r="O17" s="68">
        <f t="shared" si="9"/>
        <v>0</v>
      </c>
      <c r="P17" s="63">
        <f t="shared" si="10"/>
        <v>2.778814691</v>
      </c>
      <c r="Q17" s="70">
        <f t="shared" si="11"/>
        <v>0</v>
      </c>
      <c r="S17" s="70">
        <v>225.0</v>
      </c>
      <c r="T17" s="3">
        <v>5.0</v>
      </c>
      <c r="U17" s="77">
        <v>0.572</v>
      </c>
      <c r="V17" s="75">
        <v>144.0</v>
      </c>
      <c r="W17" s="78">
        <v>28.4</v>
      </c>
      <c r="X17" s="9"/>
    </row>
    <row r="18">
      <c r="A18" s="9">
        <v>0.6</v>
      </c>
      <c r="B18" s="9">
        <v>144.0</v>
      </c>
      <c r="C18" s="56">
        <f t="shared" si="1"/>
        <v>1.88740734</v>
      </c>
      <c r="D18" s="56">
        <v>0.16</v>
      </c>
      <c r="E18" s="56">
        <f t="shared" si="2"/>
        <v>0.2</v>
      </c>
      <c r="F18" s="67">
        <f t="shared" si="3"/>
        <v>3.75</v>
      </c>
      <c r="G18" s="56">
        <f t="shared" si="12"/>
        <v>12</v>
      </c>
      <c r="H18" s="67">
        <v>225.0</v>
      </c>
      <c r="I18" s="20"/>
      <c r="J18" s="68">
        <f t="shared" si="5"/>
        <v>84.9333303</v>
      </c>
      <c r="K18" s="69">
        <v>0.02</v>
      </c>
      <c r="L18" s="70">
        <f t="shared" si="6"/>
        <v>86.63199691</v>
      </c>
      <c r="M18" s="68">
        <f t="shared" si="7"/>
        <v>2</v>
      </c>
      <c r="N18" s="68">
        <f t="shared" si="8"/>
        <v>86.9333303</v>
      </c>
      <c r="O18" s="68">
        <f t="shared" si="9"/>
        <v>0</v>
      </c>
      <c r="P18" s="63">
        <f t="shared" si="10"/>
        <v>2.649136672</v>
      </c>
      <c r="Q18" s="70">
        <f t="shared" si="11"/>
        <v>0</v>
      </c>
      <c r="S18" s="70">
        <v>225.0</v>
      </c>
      <c r="T18" s="3">
        <v>5.0</v>
      </c>
      <c r="U18" s="77">
        <v>0.6</v>
      </c>
      <c r="V18" s="75">
        <v>144.0</v>
      </c>
      <c r="W18" s="78">
        <v>29.1</v>
      </c>
      <c r="X18" s="9"/>
    </row>
    <row r="19">
      <c r="A19" s="9">
        <v>0.625</v>
      </c>
      <c r="B19" s="9">
        <v>144.0</v>
      </c>
      <c r="C19" s="56">
        <f t="shared" si="1"/>
        <v>1.966049313</v>
      </c>
      <c r="D19" s="56">
        <v>0.16</v>
      </c>
      <c r="E19" s="56">
        <f t="shared" si="2"/>
        <v>0.2</v>
      </c>
      <c r="F19" s="67">
        <f t="shared" si="3"/>
        <v>3.75</v>
      </c>
      <c r="G19" s="56">
        <f t="shared" si="12"/>
        <v>12</v>
      </c>
      <c r="H19" s="67">
        <v>225.0</v>
      </c>
      <c r="I19" s="20">
        <v>10.0</v>
      </c>
      <c r="J19" s="68">
        <f t="shared" si="5"/>
        <v>88.47221906</v>
      </c>
      <c r="K19" s="69">
        <v>0.02</v>
      </c>
      <c r="L19" s="70">
        <f t="shared" si="6"/>
        <v>90.24166344</v>
      </c>
      <c r="M19" s="68">
        <f t="shared" si="7"/>
        <v>2</v>
      </c>
      <c r="N19" s="68">
        <f t="shared" si="8"/>
        <v>90.47221906</v>
      </c>
      <c r="O19" s="68">
        <f t="shared" si="9"/>
        <v>20</v>
      </c>
      <c r="P19" s="63">
        <f t="shared" si="10"/>
        <v>2.543171205</v>
      </c>
      <c r="Q19" s="70">
        <f t="shared" si="11"/>
        <v>904.7221906</v>
      </c>
      <c r="S19" s="70">
        <v>225.0</v>
      </c>
      <c r="T19" s="3">
        <v>5.0</v>
      </c>
      <c r="U19" s="74">
        <v>0.625</v>
      </c>
      <c r="V19" s="75">
        <v>144.0</v>
      </c>
      <c r="W19" s="78">
        <v>29.65</v>
      </c>
      <c r="X19" s="9"/>
    </row>
    <row r="20">
      <c r="A20" s="9">
        <v>0.635</v>
      </c>
      <c r="B20" s="9">
        <v>144.0</v>
      </c>
      <c r="C20" s="56">
        <f t="shared" si="1"/>
        <v>1.997506102</v>
      </c>
      <c r="D20" s="56">
        <v>0.16</v>
      </c>
      <c r="E20" s="56">
        <f t="shared" si="2"/>
        <v>0.2</v>
      </c>
      <c r="F20" s="67">
        <f t="shared" si="3"/>
        <v>3.75</v>
      </c>
      <c r="G20" s="56">
        <f t="shared" si="12"/>
        <v>12</v>
      </c>
      <c r="H20" s="67">
        <v>225.0</v>
      </c>
      <c r="I20" s="20"/>
      <c r="J20" s="68">
        <f t="shared" si="5"/>
        <v>89.88777457</v>
      </c>
      <c r="K20" s="69">
        <v>0.02</v>
      </c>
      <c r="L20" s="70">
        <f t="shared" si="6"/>
        <v>91.68553006</v>
      </c>
      <c r="M20" s="68">
        <f t="shared" si="7"/>
        <v>2</v>
      </c>
      <c r="N20" s="68">
        <f t="shared" si="8"/>
        <v>91.88777457</v>
      </c>
      <c r="O20" s="68">
        <f t="shared" si="9"/>
        <v>0</v>
      </c>
      <c r="P20" s="63">
        <f t="shared" si="10"/>
        <v>2.503121265</v>
      </c>
      <c r="Q20" s="70">
        <f t="shared" si="11"/>
        <v>0</v>
      </c>
      <c r="S20" s="70">
        <v>225.0</v>
      </c>
      <c r="T20" s="3">
        <v>5.0</v>
      </c>
      <c r="U20" s="77">
        <v>0.635</v>
      </c>
      <c r="V20" s="75">
        <v>144.0</v>
      </c>
      <c r="W20" s="78">
        <v>29.9</v>
      </c>
      <c r="X20" s="9" t="s">
        <v>57</v>
      </c>
    </row>
    <row r="21" ht="15.75" customHeight="1">
      <c r="B21" s="54" t="s">
        <v>58</v>
      </c>
      <c r="C21" s="80"/>
      <c r="D21" s="80"/>
      <c r="E21" s="80"/>
      <c r="F21" s="80"/>
      <c r="G21" s="80"/>
      <c r="H21" s="80"/>
      <c r="I21" s="50"/>
      <c r="O21" s="63"/>
      <c r="P21" s="68" t="s">
        <v>58</v>
      </c>
      <c r="Q21" s="70">
        <f>SUM(Q3:Q20)</f>
        <v>2443.940218</v>
      </c>
      <c r="S21" s="70">
        <v>225.0</v>
      </c>
      <c r="T21" s="70"/>
      <c r="U21" s="77"/>
      <c r="V21" s="75">
        <v>144.0</v>
      </c>
      <c r="W21" s="76"/>
      <c r="X21" s="9"/>
    </row>
    <row r="22" ht="15.75" customHeight="1">
      <c r="B22" s="54" t="s">
        <v>58</v>
      </c>
      <c r="C22" s="80"/>
      <c r="D22" s="80"/>
      <c r="E22" s="80"/>
      <c r="F22" s="80"/>
      <c r="G22" s="80"/>
      <c r="H22" s="80"/>
      <c r="I22" s="50"/>
      <c r="O22" s="63"/>
      <c r="P22" s="63"/>
      <c r="U22" s="77"/>
      <c r="V22" s="75">
        <v>144.0</v>
      </c>
      <c r="W22" s="76"/>
      <c r="X22" s="9"/>
    </row>
    <row r="23" ht="15.75" customHeight="1">
      <c r="B23" s="54" t="s">
        <v>58</v>
      </c>
      <c r="C23" s="80"/>
      <c r="D23" s="80"/>
      <c r="E23" s="80"/>
      <c r="F23" s="80"/>
      <c r="G23" s="80"/>
      <c r="H23" s="80"/>
      <c r="I23" s="50"/>
      <c r="O23" s="63"/>
      <c r="P23" s="63"/>
      <c r="U23" s="77"/>
      <c r="V23" s="75">
        <v>144.0</v>
      </c>
      <c r="W23" s="76"/>
      <c r="X23" s="9"/>
    </row>
    <row r="24" ht="15.75" customHeight="1">
      <c r="B24" s="54" t="s">
        <v>58</v>
      </c>
      <c r="C24" s="80"/>
      <c r="D24" s="80"/>
      <c r="E24" s="80"/>
      <c r="F24" s="80"/>
      <c r="G24" s="80"/>
      <c r="H24" s="80"/>
      <c r="I24" s="50"/>
      <c r="O24" s="63"/>
      <c r="P24" s="63"/>
      <c r="U24" s="77"/>
      <c r="V24" s="75">
        <v>144.0</v>
      </c>
      <c r="W24" s="76"/>
      <c r="X24" s="9"/>
    </row>
    <row r="25" ht="15.75" customHeight="1">
      <c r="B25" s="54" t="s">
        <v>58</v>
      </c>
      <c r="C25" s="80"/>
      <c r="D25" s="80"/>
      <c r="E25" s="80"/>
      <c r="F25" s="80"/>
      <c r="G25" s="80"/>
      <c r="H25" s="80"/>
      <c r="I25" s="50"/>
      <c r="O25" s="63"/>
      <c r="P25" s="63"/>
      <c r="U25" s="77"/>
      <c r="V25" s="75">
        <v>144.0</v>
      </c>
      <c r="W25" s="76"/>
      <c r="X25" s="9"/>
    </row>
    <row r="26" ht="15.75" customHeight="1">
      <c r="B26" s="54" t="s">
        <v>58</v>
      </c>
      <c r="C26" s="80"/>
      <c r="D26" s="80"/>
      <c r="E26" s="80"/>
      <c r="F26" s="80"/>
      <c r="G26" s="80"/>
      <c r="H26" s="80"/>
      <c r="I26" s="50"/>
      <c r="O26" s="63"/>
      <c r="P26" s="63"/>
      <c r="U26" s="77">
        <v>1.25</v>
      </c>
      <c r="V26" s="75">
        <v>144.0</v>
      </c>
      <c r="W26" s="76">
        <v>36.75</v>
      </c>
      <c r="X26" s="9"/>
    </row>
    <row r="27" ht="15.75" customHeight="1">
      <c r="B27" s="54" t="s">
        <v>58</v>
      </c>
      <c r="C27" s="80"/>
      <c r="D27" s="80"/>
      <c r="E27" s="80"/>
      <c r="F27" s="80"/>
      <c r="G27" s="80"/>
      <c r="H27" s="80"/>
      <c r="I27" s="50"/>
      <c r="O27" s="63"/>
      <c r="P27" s="63"/>
      <c r="U27" s="77"/>
      <c r="V27" s="75">
        <v>144.0</v>
      </c>
      <c r="W27" s="76"/>
      <c r="X27" s="9"/>
    </row>
    <row r="28" ht="15.75" customHeight="1">
      <c r="B28" s="54" t="s">
        <v>58</v>
      </c>
      <c r="C28" s="80"/>
      <c r="D28" s="80"/>
      <c r="E28" s="80"/>
      <c r="F28" s="80"/>
      <c r="G28" s="80"/>
      <c r="H28" s="80"/>
      <c r="I28" s="50"/>
      <c r="O28" s="63"/>
      <c r="P28" s="63"/>
      <c r="U28" s="77"/>
      <c r="V28" s="75">
        <v>144.0</v>
      </c>
      <c r="W28" s="76"/>
      <c r="X28" s="9"/>
    </row>
    <row r="29" ht="15.75" customHeight="1">
      <c r="B29" s="54" t="s">
        <v>58</v>
      </c>
      <c r="C29" s="80"/>
      <c r="D29" s="80"/>
      <c r="E29" s="80"/>
      <c r="F29" s="80"/>
      <c r="G29" s="80"/>
      <c r="H29" s="80"/>
      <c r="I29" s="50"/>
      <c r="O29" s="63"/>
      <c r="P29" s="63"/>
      <c r="U29" s="77"/>
      <c r="V29" s="75">
        <v>144.0</v>
      </c>
      <c r="W29" s="76"/>
      <c r="X29" s="9"/>
    </row>
    <row r="30" ht="15.75" customHeight="1">
      <c r="B30" s="54" t="s">
        <v>58</v>
      </c>
      <c r="C30" s="80"/>
      <c r="D30" s="80"/>
      <c r="E30" s="80"/>
      <c r="F30" s="80"/>
      <c r="G30" s="80"/>
      <c r="H30" s="80"/>
      <c r="I30" s="50"/>
      <c r="O30" s="63"/>
      <c r="P30" s="63"/>
      <c r="U30" s="81"/>
      <c r="V30" s="66">
        <v>144.0</v>
      </c>
      <c r="W30" s="82"/>
      <c r="X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U1:U2"/>
    <mergeCell ref="V1:V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57"/>
    <col customWidth="1" min="4" max="4" width="20.14"/>
    <col customWidth="1" min="5" max="5" width="16.0"/>
    <col customWidth="1" min="6" max="6" width="14.29"/>
    <col customWidth="1" min="7" max="7" width="14.86"/>
    <col customWidth="1" min="8" max="13" width="8.71"/>
    <col customWidth="1" min="14" max="14" width="12.57"/>
    <col customWidth="1" min="15" max="26" width="8.71"/>
  </cols>
  <sheetData>
    <row r="1">
      <c r="A1" s="83" t="s">
        <v>59</v>
      </c>
      <c r="B1" s="84">
        <f>12^3</f>
        <v>1728</v>
      </c>
      <c r="C1" s="84" t="s">
        <v>60</v>
      </c>
      <c r="D1" s="84"/>
      <c r="E1" s="84"/>
      <c r="F1" s="84"/>
      <c r="G1" s="85"/>
      <c r="M1" s="54" t="s">
        <v>61</v>
      </c>
      <c r="N1" s="54">
        <v>62.42796</v>
      </c>
    </row>
    <row r="2">
      <c r="A2" s="86"/>
      <c r="C2" s="54" t="s">
        <v>62</v>
      </c>
      <c r="E2" s="87">
        <v>494.0</v>
      </c>
      <c r="G2" s="88"/>
      <c r="J2" s="54" t="s">
        <v>63</v>
      </c>
      <c r="K2" s="54" t="s">
        <v>64</v>
      </c>
      <c r="L2" s="54" t="s">
        <v>65</v>
      </c>
      <c r="M2" s="54" t="s">
        <v>66</v>
      </c>
      <c r="N2" s="54" t="s">
        <v>67</v>
      </c>
    </row>
    <row r="3">
      <c r="A3" s="86"/>
      <c r="C3" s="54" t="s">
        <v>68</v>
      </c>
      <c r="E3" s="89">
        <v>0.1</v>
      </c>
      <c r="G3" s="88"/>
      <c r="J3" s="54" t="s">
        <v>69</v>
      </c>
      <c r="K3" s="54">
        <v>7075.0</v>
      </c>
      <c r="L3" s="54">
        <v>2.81</v>
      </c>
      <c r="M3" s="54">
        <f t="shared" ref="M3:M6" si="1">L3*$N$1</f>
        <v>175.4225676</v>
      </c>
    </row>
    <row r="4">
      <c r="A4" s="86"/>
      <c r="G4" s="88"/>
      <c r="J4" s="54" t="s">
        <v>69</v>
      </c>
      <c r="K4" s="54">
        <v>2219.0</v>
      </c>
      <c r="L4" s="54">
        <v>2.84</v>
      </c>
      <c r="M4" s="54">
        <f t="shared" si="1"/>
        <v>177.2954064</v>
      </c>
    </row>
    <row r="5">
      <c r="A5" s="86"/>
      <c r="G5" s="88"/>
      <c r="J5" s="54" t="s">
        <v>69</v>
      </c>
      <c r="K5" s="54">
        <v>6061.0</v>
      </c>
      <c r="L5" s="54">
        <v>2.7</v>
      </c>
      <c r="M5" s="54">
        <f t="shared" si="1"/>
        <v>168.555492</v>
      </c>
    </row>
    <row r="6">
      <c r="A6" s="86"/>
      <c r="G6" s="88"/>
      <c r="J6" s="54" t="s">
        <v>69</v>
      </c>
      <c r="K6" s="54">
        <v>7050.0</v>
      </c>
      <c r="L6" s="54">
        <v>2.83</v>
      </c>
      <c r="M6" s="54">
        <f t="shared" si="1"/>
        <v>176.6711268</v>
      </c>
    </row>
    <row r="7">
      <c r="A7" s="90" t="s">
        <v>70</v>
      </c>
      <c r="B7" s="91" t="s">
        <v>71</v>
      </c>
      <c r="C7" s="91" t="s">
        <v>72</v>
      </c>
      <c r="D7" s="91" t="s">
        <v>73</v>
      </c>
      <c r="E7" s="91" t="s">
        <v>74</v>
      </c>
      <c r="F7" s="91" t="s">
        <v>75</v>
      </c>
      <c r="G7" s="92" t="s">
        <v>76</v>
      </c>
      <c r="H7" s="91"/>
      <c r="I7" s="91"/>
      <c r="J7" s="91" t="s">
        <v>77</v>
      </c>
      <c r="K7" s="91"/>
      <c r="L7" s="91"/>
      <c r="M7" s="91">
        <v>494.21</v>
      </c>
      <c r="N7" s="91" t="s">
        <v>78</v>
      </c>
      <c r="O7" s="91"/>
      <c r="P7" s="54">
        <v>0.29</v>
      </c>
    </row>
    <row r="8">
      <c r="A8" s="93">
        <v>10.75</v>
      </c>
      <c r="B8" s="50">
        <v>25.5</v>
      </c>
      <c r="C8" s="50">
        <v>17.75</v>
      </c>
      <c r="D8" s="54">
        <f t="shared" ref="D8:D12" si="2">A8*B8*C8</f>
        <v>4865.71875</v>
      </c>
      <c r="E8" s="54">
        <f t="shared" ref="E8:E12" si="3">D8/$B$1</f>
        <v>2.815809462</v>
      </c>
      <c r="F8" s="54">
        <f t="shared" ref="F8:F12" si="4">E8*$E$2</f>
        <v>1391.009874</v>
      </c>
      <c r="G8" s="94">
        <f t="shared" ref="G8:G12" si="5">F8*$E$3</f>
        <v>139.1009874</v>
      </c>
      <c r="J8" s="54" t="s">
        <v>79</v>
      </c>
      <c r="M8" s="54">
        <v>283.39</v>
      </c>
      <c r="N8" s="54" t="s">
        <v>80</v>
      </c>
      <c r="P8" s="54">
        <v>0.16</v>
      </c>
    </row>
    <row r="9">
      <c r="A9" s="95">
        <v>13.62</v>
      </c>
      <c r="B9" s="96">
        <v>26.5</v>
      </c>
      <c r="C9" s="96">
        <v>64.5</v>
      </c>
      <c r="D9" s="54">
        <f t="shared" si="2"/>
        <v>23279.985</v>
      </c>
      <c r="E9" s="54">
        <f t="shared" si="3"/>
        <v>13.47221354</v>
      </c>
      <c r="F9" s="54">
        <f t="shared" si="4"/>
        <v>6655.27349</v>
      </c>
      <c r="G9" s="97">
        <f t="shared" si="5"/>
        <v>665.527349</v>
      </c>
      <c r="J9" s="54" t="s">
        <v>81</v>
      </c>
      <c r="M9" s="54">
        <v>490.0</v>
      </c>
      <c r="N9" s="54">
        <v>0.283</v>
      </c>
    </row>
    <row r="10">
      <c r="A10" s="98">
        <v>13.62</v>
      </c>
      <c r="B10" s="99">
        <v>26.5</v>
      </c>
      <c r="C10" s="99">
        <v>42.0</v>
      </c>
      <c r="D10" s="54">
        <f t="shared" si="2"/>
        <v>15159.06</v>
      </c>
      <c r="E10" s="54">
        <f t="shared" si="3"/>
        <v>8.772604167</v>
      </c>
      <c r="F10" s="54">
        <f t="shared" si="4"/>
        <v>4333.666458</v>
      </c>
      <c r="G10" s="100">
        <f t="shared" si="5"/>
        <v>433.3666458</v>
      </c>
      <c r="J10" s="54" t="s">
        <v>82</v>
      </c>
      <c r="M10" s="54">
        <v>1204.41</v>
      </c>
    </row>
    <row r="11">
      <c r="A11" s="101">
        <v>11.75</v>
      </c>
      <c r="B11" s="102">
        <v>5.75</v>
      </c>
      <c r="C11" s="102">
        <v>55.875</v>
      </c>
      <c r="D11" s="54">
        <f t="shared" si="2"/>
        <v>3775.054688</v>
      </c>
      <c r="E11" s="54">
        <f t="shared" si="3"/>
        <v>2.184638129</v>
      </c>
      <c r="F11" s="54">
        <f t="shared" si="4"/>
        <v>1079.211236</v>
      </c>
      <c r="G11" s="103">
        <f t="shared" si="5"/>
        <v>107.9211236</v>
      </c>
      <c r="J11" s="54" t="s">
        <v>83</v>
      </c>
      <c r="M11" s="54">
        <v>568.5</v>
      </c>
      <c r="N11" s="54">
        <v>0.32</v>
      </c>
      <c r="P11" s="54">
        <v>0.2965</v>
      </c>
    </row>
    <row r="12">
      <c r="A12" s="104">
        <v>10.0</v>
      </c>
      <c r="B12" s="105">
        <v>10.0</v>
      </c>
      <c r="C12" s="105">
        <v>10.0</v>
      </c>
      <c r="D12" s="106">
        <f t="shared" si="2"/>
        <v>1000</v>
      </c>
      <c r="E12" s="106">
        <f t="shared" si="3"/>
        <v>0.5787037037</v>
      </c>
      <c r="F12" s="106">
        <f t="shared" si="4"/>
        <v>285.8796296</v>
      </c>
      <c r="G12" s="107">
        <f t="shared" si="5"/>
        <v>28.58796296</v>
      </c>
      <c r="I12" s="54">
        <f>A8*B8*C8</f>
        <v>4865.71875</v>
      </c>
      <c r="N12" s="54" t="s">
        <v>84</v>
      </c>
    </row>
    <row r="13">
      <c r="A13" s="86"/>
      <c r="G13" s="28"/>
    </row>
    <row r="14">
      <c r="A14" s="86"/>
      <c r="G14" s="28">
        <f>G8+G9+G10</f>
        <v>1237.994982</v>
      </c>
    </row>
    <row r="15">
      <c r="A15" s="86"/>
      <c r="G15" s="28"/>
    </row>
    <row r="16">
      <c r="A16" s="86"/>
      <c r="G16" s="28"/>
    </row>
    <row r="17">
      <c r="G17" s="28"/>
    </row>
    <row r="21" ht="15.75" customHeight="1"/>
    <row r="22" ht="15.75" customHeight="1"/>
    <row r="23" ht="15.75" customHeight="1">
      <c r="C23" s="9" t="s">
        <v>85</v>
      </c>
      <c r="D23" s="108" t="s">
        <v>86</v>
      </c>
      <c r="E23" s="9" t="s">
        <v>87</v>
      </c>
      <c r="F23" s="9" t="s">
        <v>88</v>
      </c>
      <c r="G23" s="9" t="s">
        <v>89</v>
      </c>
      <c r="H23" s="108" t="s">
        <v>90</v>
      </c>
      <c r="I23" s="9" t="s">
        <v>91</v>
      </c>
      <c r="J23" s="9" t="s">
        <v>67</v>
      </c>
      <c r="K23" s="108" t="s">
        <v>92</v>
      </c>
      <c r="M23" s="55" t="s">
        <v>93</v>
      </c>
      <c r="N23" s="55" t="s">
        <v>94</v>
      </c>
      <c r="Q23" s="11" t="s">
        <v>95</v>
      </c>
    </row>
    <row r="24" ht="15.75" customHeight="1">
      <c r="C24" s="109" t="s">
        <v>96</v>
      </c>
      <c r="D24" s="110">
        <v>13.0</v>
      </c>
      <c r="E24" s="87">
        <v>60.0</v>
      </c>
      <c r="F24" s="110">
        <f t="shared" ref="F24:F28" si="6">D24/2</f>
        <v>6.5</v>
      </c>
      <c r="G24" s="87">
        <v>3.14159265359</v>
      </c>
      <c r="H24" s="87">
        <f t="shared" ref="H24:H28" si="7">G24*(F24^2)</f>
        <v>132.7322896</v>
      </c>
      <c r="I24" s="87">
        <f t="shared" ref="I24:I28" si="8">H24*E24</f>
        <v>7963.937377</v>
      </c>
      <c r="J24" s="87">
        <v>0.283</v>
      </c>
      <c r="K24" s="111">
        <f t="shared" ref="K24:K28" si="9">I24*J24</f>
        <v>2253.794278</v>
      </c>
      <c r="M24" s="112">
        <v>0.14</v>
      </c>
      <c r="N24" s="113">
        <f t="shared" ref="N24:N28" si="10">ROUND(M24*K24, 2)</f>
        <v>315.53</v>
      </c>
      <c r="Q24" s="9">
        <v>6000.0</v>
      </c>
    </row>
    <row r="25" ht="15.75" customHeight="1">
      <c r="C25" s="114" t="s">
        <v>97</v>
      </c>
      <c r="D25" s="115">
        <v>10.5</v>
      </c>
      <c r="E25" s="116">
        <v>144.0</v>
      </c>
      <c r="F25" s="115">
        <f t="shared" si="6"/>
        <v>5.25</v>
      </c>
      <c r="G25" s="116">
        <v>3.14159265359</v>
      </c>
      <c r="H25" s="116">
        <f t="shared" si="7"/>
        <v>86.59014751</v>
      </c>
      <c r="I25" s="116">
        <f t="shared" si="8"/>
        <v>12468.98124</v>
      </c>
      <c r="J25" s="116">
        <v>0.29</v>
      </c>
      <c r="K25" s="117">
        <f t="shared" si="9"/>
        <v>3616.00456</v>
      </c>
      <c r="M25" s="112">
        <v>0.14</v>
      </c>
      <c r="N25" s="113">
        <f t="shared" si="10"/>
        <v>506.24</v>
      </c>
    </row>
    <row r="26" ht="15.75" customHeight="1">
      <c r="C26" s="118" t="s">
        <v>98</v>
      </c>
      <c r="D26" s="119">
        <v>13.0</v>
      </c>
      <c r="E26" s="120">
        <v>148.0</v>
      </c>
      <c r="F26" s="119">
        <f t="shared" si="6"/>
        <v>6.5</v>
      </c>
      <c r="G26" s="120">
        <v>3.14159265359</v>
      </c>
      <c r="H26" s="120">
        <f t="shared" si="7"/>
        <v>132.7322896</v>
      </c>
      <c r="I26" s="120">
        <f t="shared" si="8"/>
        <v>19644.37886</v>
      </c>
      <c r="J26" s="120">
        <v>0.1</v>
      </c>
      <c r="K26" s="121">
        <f t="shared" si="9"/>
        <v>1964.437886</v>
      </c>
      <c r="M26" s="112">
        <v>0.16</v>
      </c>
      <c r="N26" s="113">
        <f t="shared" si="10"/>
        <v>314.31</v>
      </c>
    </row>
    <row r="27" ht="15.75" customHeight="1">
      <c r="C27" s="122" t="s">
        <v>99</v>
      </c>
      <c r="D27" s="123">
        <v>13.0</v>
      </c>
      <c r="E27" s="124">
        <v>148.0</v>
      </c>
      <c r="F27" s="123">
        <f t="shared" si="6"/>
        <v>6.5</v>
      </c>
      <c r="G27" s="124">
        <v>3.14159265359</v>
      </c>
      <c r="H27" s="124">
        <f t="shared" si="7"/>
        <v>132.7322896</v>
      </c>
      <c r="I27" s="124">
        <f t="shared" si="8"/>
        <v>19644.37886</v>
      </c>
      <c r="J27" s="124">
        <v>0.16</v>
      </c>
      <c r="K27" s="125">
        <f t="shared" si="9"/>
        <v>3143.100618</v>
      </c>
      <c r="M27" s="112">
        <v>0.2</v>
      </c>
      <c r="N27" s="113">
        <f t="shared" si="10"/>
        <v>628.62</v>
      </c>
    </row>
    <row r="28" ht="15.75" customHeight="1">
      <c r="C28" s="126" t="s">
        <v>100</v>
      </c>
      <c r="D28" s="127">
        <v>9.0</v>
      </c>
      <c r="E28" s="128">
        <v>162.5</v>
      </c>
      <c r="F28" s="127">
        <f t="shared" si="6"/>
        <v>4.5</v>
      </c>
      <c r="G28" s="128">
        <v>3.14159265359</v>
      </c>
      <c r="H28" s="128">
        <f t="shared" si="7"/>
        <v>63.61725124</v>
      </c>
      <c r="I28" s="128">
        <f t="shared" si="8"/>
        <v>10337.80333</v>
      </c>
      <c r="J28" s="128">
        <v>0.2965</v>
      </c>
      <c r="K28" s="129">
        <f t="shared" si="9"/>
        <v>3065.158686</v>
      </c>
      <c r="M28" s="112">
        <v>0.14</v>
      </c>
      <c r="N28" s="113">
        <f t="shared" si="10"/>
        <v>429.12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4:K28">
    <cfRule type="cellIs" dxfId="0" priority="1" operator="greaterThan">
      <formula>$Q$24</formula>
    </cfRule>
  </conditionalFormatting>
  <conditionalFormatting sqref="K28">
    <cfRule type="cellIs" dxfId="0" priority="2" operator="greaterThan">
      <formula>6296.819819</formula>
    </cfRule>
  </conditionalFormatting>
  <conditionalFormatting sqref="K28">
    <cfRule type="cellIs" dxfId="1" priority="3" operator="greaterThan">
      <formula>$Q$24</formula>
    </cfRule>
  </conditionalFormatting>
  <conditionalFormatting sqref="N28">
    <cfRule type="cellIs" dxfId="0" priority="4" operator="greaterThan">
      <formula>960</formula>
    </cfRule>
  </conditionalFormatting>
  <conditionalFormatting sqref="N28">
    <cfRule type="cellIs" dxfId="2" priority="5" operator="greaterThan">
      <formula>960</formula>
    </cfRule>
  </conditionalFormatting>
  <conditionalFormatting sqref="N28">
    <cfRule type="expression" dxfId="2" priority="6">
      <formula>$K$28</formula>
    </cfRule>
  </conditionalFormatting>
  <conditionalFormatting sqref="N28">
    <cfRule type="expression" dxfId="2" priority="7">
      <formula>"IF K28 IS RED"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29"/>
    <col customWidth="1" min="4" max="5" width="12.0"/>
    <col customWidth="1" min="6" max="7" width="8.71"/>
    <col customWidth="1" hidden="1" min="8" max="14" width="8.71"/>
    <col customWidth="1" min="15" max="22" width="8.71"/>
    <col customWidth="1" min="23" max="23" width="12.14"/>
    <col customWidth="1" min="24" max="24" width="8.71"/>
    <col customWidth="1" min="25" max="25" width="15.57"/>
    <col customWidth="1" min="26" max="27" width="8.71"/>
    <col customWidth="1" min="28" max="28" width="12.0"/>
    <col customWidth="1" min="29" max="29" width="8.71"/>
    <col customWidth="1" min="30" max="30" width="13.86"/>
    <col customWidth="1" min="31" max="31" width="8.71"/>
    <col customWidth="1" min="32" max="32" width="14.86"/>
  </cols>
  <sheetData>
    <row r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2"/>
      <c r="W1" s="3"/>
      <c r="X1" s="3"/>
      <c r="Y1" s="4"/>
      <c r="Z1" s="4"/>
      <c r="AA1" s="4"/>
      <c r="AB1" s="4"/>
      <c r="AC1" s="5"/>
      <c r="AD1" s="4"/>
      <c r="AE1" s="4"/>
      <c r="AF1" s="6"/>
    </row>
    <row r="2">
      <c r="A2" s="7" t="s">
        <v>102</v>
      </c>
      <c r="B2" s="7" t="s">
        <v>103</v>
      </c>
      <c r="C2" s="7" t="s">
        <v>87</v>
      </c>
      <c r="D2" s="130" t="s">
        <v>4</v>
      </c>
      <c r="E2" s="130" t="s">
        <v>104</v>
      </c>
      <c r="F2" s="130" t="s">
        <v>30</v>
      </c>
      <c r="G2" s="7" t="s">
        <v>5</v>
      </c>
      <c r="H2" s="7" t="s">
        <v>105</v>
      </c>
      <c r="I2" s="130" t="s">
        <v>106</v>
      </c>
      <c r="J2" s="130" t="s">
        <v>107</v>
      </c>
      <c r="K2" s="130" t="s">
        <v>108</v>
      </c>
      <c r="L2" s="130" t="s">
        <v>109</v>
      </c>
      <c r="M2" s="130" t="s">
        <v>110</v>
      </c>
      <c r="N2" s="130" t="s">
        <v>111</v>
      </c>
      <c r="O2" s="130" t="s">
        <v>9</v>
      </c>
      <c r="P2" s="130" t="s">
        <v>112</v>
      </c>
      <c r="Q2" s="130" t="s">
        <v>113</v>
      </c>
      <c r="R2" s="130" t="s">
        <v>11</v>
      </c>
      <c r="S2" s="130" t="s">
        <v>12</v>
      </c>
      <c r="T2" s="130" t="s">
        <v>13</v>
      </c>
      <c r="U2" s="131" t="s">
        <v>114</v>
      </c>
      <c r="V2" s="131"/>
      <c r="W2" s="132"/>
      <c r="X2" s="10" t="s">
        <v>15</v>
      </c>
      <c r="Y2" s="11" t="s">
        <v>16</v>
      </c>
      <c r="Z2" s="11" t="s">
        <v>17</v>
      </c>
      <c r="AA2" s="10" t="s">
        <v>18</v>
      </c>
      <c r="AB2" s="10" t="s">
        <v>19</v>
      </c>
      <c r="AC2" s="12" t="s">
        <v>20</v>
      </c>
      <c r="AD2" s="10" t="s">
        <v>21</v>
      </c>
      <c r="AE2" s="11" t="s">
        <v>22</v>
      </c>
      <c r="AF2" s="13" t="s">
        <v>23</v>
      </c>
    </row>
    <row r="3">
      <c r="A3" s="14">
        <v>2.75</v>
      </c>
      <c r="B3" s="14">
        <v>1.8</v>
      </c>
      <c r="C3" s="14">
        <v>1.8</v>
      </c>
      <c r="D3" s="15" t="s">
        <v>24</v>
      </c>
      <c r="E3" s="15">
        <f t="shared" ref="E3:E4" si="2">(A3-B3)/2</f>
        <v>0.475</v>
      </c>
      <c r="F3" s="15">
        <f t="shared" ref="F3:F4" si="3">A3*3.14159265359</f>
        <v>8.639379797</v>
      </c>
      <c r="G3" s="15">
        <v>0.065</v>
      </c>
      <c r="H3" s="15">
        <v>3.14159265359</v>
      </c>
      <c r="I3" s="15">
        <f t="shared" ref="I3:I4" si="4">(A3+B3)*C3</f>
        <v>8.19</v>
      </c>
      <c r="J3" s="15">
        <f t="shared" ref="J3:J4" si="5">E3*F3</f>
        <v>4.103705404</v>
      </c>
      <c r="K3" s="15">
        <f t="shared" ref="K3:K4" si="6">C3/G3</f>
        <v>27.69230769</v>
      </c>
      <c r="L3" s="15">
        <f t="shared" ref="L3:L4" si="7">E3/G3</f>
        <v>7.307692308</v>
      </c>
      <c r="M3" s="15">
        <f t="shared" ref="M3:M4" si="8">F3/10</f>
        <v>0.8639379797</v>
      </c>
      <c r="N3" s="15">
        <f t="shared" ref="N3:N4" si="9">F3/10</f>
        <v>0.8639379797</v>
      </c>
      <c r="O3" s="15">
        <v>5.0</v>
      </c>
      <c r="P3" s="16">
        <f t="shared" ref="P3:Q3" si="1">M3*K3/60</f>
        <v>0.398740606</v>
      </c>
      <c r="Q3" s="16">
        <f t="shared" si="1"/>
        <v>0.1052232155</v>
      </c>
      <c r="R3" s="16">
        <f t="shared" ref="R3:R4" si="11">P3+O3+Q3</f>
        <v>5.503963822</v>
      </c>
      <c r="S3" s="17">
        <v>225.0</v>
      </c>
      <c r="T3" s="18">
        <f t="shared" ref="T3:T4" si="12">S3/60</f>
        <v>3.75</v>
      </c>
      <c r="U3" s="18">
        <f t="shared" ref="U3:U4" si="13">ROUNDUP(R3*T3,1)</f>
        <v>20.7</v>
      </c>
      <c r="V3" s="18"/>
      <c r="W3" s="48" t="s">
        <v>115</v>
      </c>
      <c r="X3" s="20">
        <v>1.0</v>
      </c>
      <c r="Y3" s="21">
        <f t="shared" ref="Y3:Y4" si="14">U3*X3</f>
        <v>20.7</v>
      </c>
      <c r="Z3" s="22">
        <v>125.0</v>
      </c>
      <c r="AA3" s="23">
        <v>0.02</v>
      </c>
      <c r="AB3" s="21">
        <f t="shared" ref="AB3:AB4" si="15">Y3+Z3</f>
        <v>145.7</v>
      </c>
      <c r="AC3" s="18">
        <f t="shared" ref="AC3:AC4" si="16">ROUNDUP(AB3*AA3,0)</f>
        <v>3</v>
      </c>
      <c r="AD3" s="21">
        <f t="shared" ref="AD3:AD4" si="17">AB3+AC3</f>
        <v>148.7</v>
      </c>
      <c r="AE3" s="24">
        <v>225.0</v>
      </c>
      <c r="AF3" s="25">
        <f t="shared" ref="AF3:AF4" si="18">ROUNDDOWN(AE3/U3,0)</f>
        <v>10</v>
      </c>
    </row>
    <row r="4">
      <c r="A4" s="14">
        <v>13.78</v>
      </c>
      <c r="B4" s="14">
        <v>0.0</v>
      </c>
      <c r="C4" s="14">
        <v>10.85</v>
      </c>
      <c r="D4" s="15" t="s">
        <v>24</v>
      </c>
      <c r="E4" s="15">
        <f t="shared" si="2"/>
        <v>6.89</v>
      </c>
      <c r="F4" s="15">
        <f t="shared" si="3"/>
        <v>43.29114677</v>
      </c>
      <c r="G4" s="15">
        <v>0.025</v>
      </c>
      <c r="H4" s="15">
        <v>3.14159265359</v>
      </c>
      <c r="I4" s="15">
        <f t="shared" si="4"/>
        <v>149.513</v>
      </c>
      <c r="J4" s="15">
        <f t="shared" si="5"/>
        <v>298.2760012</v>
      </c>
      <c r="K4" s="15">
        <f t="shared" si="6"/>
        <v>434</v>
      </c>
      <c r="L4" s="15">
        <f t="shared" si="7"/>
        <v>275.6</v>
      </c>
      <c r="M4" s="15">
        <f t="shared" si="8"/>
        <v>4.329114677</v>
      </c>
      <c r="N4" s="15">
        <f t="shared" si="9"/>
        <v>4.329114677</v>
      </c>
      <c r="O4" s="15">
        <v>5.0</v>
      </c>
      <c r="P4" s="16">
        <f t="shared" ref="P4:Q4" si="10">M4*K4/60</f>
        <v>31.31392949</v>
      </c>
      <c r="Q4" s="16">
        <f t="shared" si="10"/>
        <v>19.88506675</v>
      </c>
      <c r="R4" s="16">
        <f t="shared" si="11"/>
        <v>56.19899624</v>
      </c>
      <c r="S4" s="17">
        <v>225.0</v>
      </c>
      <c r="T4" s="18">
        <f t="shared" si="12"/>
        <v>3.75</v>
      </c>
      <c r="U4" s="18">
        <f t="shared" si="13"/>
        <v>210.8</v>
      </c>
      <c r="V4" s="18"/>
      <c r="W4" s="48" t="s">
        <v>115</v>
      </c>
      <c r="X4" s="20">
        <v>4.0</v>
      </c>
      <c r="Y4" s="21">
        <f t="shared" si="14"/>
        <v>843.2</v>
      </c>
      <c r="Z4" s="22">
        <v>125.0</v>
      </c>
      <c r="AA4" s="23">
        <v>0.02</v>
      </c>
      <c r="AB4" s="21">
        <f t="shared" si="15"/>
        <v>968.2</v>
      </c>
      <c r="AC4" s="18">
        <f t="shared" si="16"/>
        <v>20</v>
      </c>
      <c r="AD4" s="21">
        <f t="shared" si="17"/>
        <v>988.2</v>
      </c>
      <c r="AE4" s="24">
        <v>225.0</v>
      </c>
      <c r="AF4" s="25">
        <f t="shared" si="18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4" width="8.71"/>
    <col customWidth="1" hidden="1" min="5" max="7" width="8.71"/>
    <col customWidth="1" min="8" max="8" width="8.71"/>
    <col customWidth="1" hidden="1" min="9" max="12" width="8.71"/>
    <col customWidth="1" min="13" max="13" width="12.0"/>
    <col customWidth="1" min="14" max="14" width="8.71"/>
    <col customWidth="1" min="15" max="15" width="12.29"/>
    <col customWidth="1" min="16" max="17" width="8.71"/>
    <col customWidth="1" min="18" max="18" width="12.57"/>
    <col customWidth="1" min="19" max="21" width="8.71"/>
    <col customWidth="1" min="22" max="22" width="19.86"/>
    <col customWidth="1" min="23" max="23" width="8.71"/>
    <col customWidth="1" min="24" max="24" width="11.14"/>
    <col customWidth="1" min="25" max="26" width="8.71"/>
  </cols>
  <sheetData>
    <row r="1">
      <c r="A1" s="133" t="s">
        <v>116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134"/>
      <c r="S1" s="134"/>
      <c r="T1" s="135"/>
      <c r="U1" s="136"/>
      <c r="V1" s="134"/>
      <c r="W1" s="137"/>
      <c r="X1" s="134"/>
      <c r="Y1" s="84"/>
      <c r="Z1" s="138"/>
    </row>
    <row r="2">
      <c r="A2" s="40" t="s">
        <v>29</v>
      </c>
      <c r="B2" s="40" t="s">
        <v>3</v>
      </c>
      <c r="C2" s="7" t="s">
        <v>4</v>
      </c>
      <c r="D2" s="40" t="s">
        <v>5</v>
      </c>
      <c r="E2" s="41" t="s">
        <v>30</v>
      </c>
      <c r="F2" s="40" t="s">
        <v>31</v>
      </c>
      <c r="G2" s="40" t="s">
        <v>32</v>
      </c>
      <c r="H2" s="40" t="s">
        <v>33</v>
      </c>
      <c r="I2" s="40" t="s">
        <v>34</v>
      </c>
      <c r="J2" s="40" t="s">
        <v>35</v>
      </c>
      <c r="K2" s="7" t="s">
        <v>12</v>
      </c>
      <c r="L2" s="7" t="s">
        <v>13</v>
      </c>
      <c r="M2" s="139" t="s">
        <v>117</v>
      </c>
      <c r="N2" s="140" t="s">
        <v>118</v>
      </c>
      <c r="O2" s="139" t="s">
        <v>119</v>
      </c>
      <c r="P2" s="11"/>
      <c r="Q2" s="10" t="s">
        <v>15</v>
      </c>
      <c r="R2" s="43" t="s">
        <v>16</v>
      </c>
      <c r="S2" s="43"/>
      <c r="T2" s="44" t="s">
        <v>17</v>
      </c>
      <c r="U2" s="45" t="s">
        <v>18</v>
      </c>
      <c r="V2" s="43" t="s">
        <v>19</v>
      </c>
      <c r="W2" s="46" t="s">
        <v>20</v>
      </c>
      <c r="X2" s="43" t="s">
        <v>21</v>
      </c>
      <c r="Y2" s="11" t="s">
        <v>22</v>
      </c>
      <c r="Z2" s="13" t="s">
        <v>23</v>
      </c>
    </row>
    <row r="3">
      <c r="A3" s="14">
        <v>25.1969</v>
      </c>
      <c r="B3" s="14">
        <v>50.4</v>
      </c>
      <c r="C3" s="15" t="s">
        <v>24</v>
      </c>
      <c r="D3" s="47">
        <v>0.045</v>
      </c>
      <c r="E3" s="47">
        <f>A3*3.14</f>
        <v>79.118266</v>
      </c>
      <c r="F3" s="48">
        <f>E3/D3</f>
        <v>1758.183689</v>
      </c>
      <c r="G3" s="47">
        <f>B3/10</f>
        <v>5.04</v>
      </c>
      <c r="H3" s="47">
        <v>3.25</v>
      </c>
      <c r="I3" s="16">
        <f>G3*F3/60</f>
        <v>147.6874299</v>
      </c>
      <c r="J3" s="49">
        <f>I3+H3</f>
        <v>150.9374299</v>
      </c>
      <c r="K3" s="17">
        <v>250.0</v>
      </c>
      <c r="L3" s="18">
        <f>K3/60</f>
        <v>4.166666667</v>
      </c>
      <c r="M3" s="21">
        <f>ROUNDUP(J3*L3,1)</f>
        <v>629</v>
      </c>
      <c r="N3" s="141">
        <v>2.0</v>
      </c>
      <c r="O3" s="142">
        <f>M3*N3</f>
        <v>1258</v>
      </c>
      <c r="P3" s="106" t="s">
        <v>120</v>
      </c>
      <c r="Q3" s="20">
        <v>4.0</v>
      </c>
      <c r="R3" s="21">
        <f>O3*Q3</f>
        <v>5032</v>
      </c>
      <c r="S3" s="21"/>
      <c r="T3" s="22">
        <v>125.0</v>
      </c>
      <c r="U3" s="23">
        <v>0.02</v>
      </c>
      <c r="V3" s="21">
        <f>R3+T3</f>
        <v>5157</v>
      </c>
      <c r="W3" s="18">
        <f>ROUNDUP(V3*U3,0)</f>
        <v>104</v>
      </c>
      <c r="X3" s="21">
        <f>V3+W3</f>
        <v>5261</v>
      </c>
      <c r="Y3" s="24">
        <v>225.0</v>
      </c>
      <c r="Z3" s="25">
        <f>ROUNDDOWN(Y3/M3,0)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14.71"/>
    <col customWidth="1" min="20" max="20" width="10.57"/>
    <col customWidth="1" min="21" max="21" width="8.71"/>
    <col customWidth="1" min="22" max="22" width="9.86"/>
    <col customWidth="1" min="23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1.25</v>
      </c>
      <c r="B3" s="14">
        <v>10.25</v>
      </c>
      <c r="C3" s="14">
        <v>13.5</v>
      </c>
      <c r="D3" s="15">
        <v>0.125</v>
      </c>
      <c r="E3" s="15">
        <v>0.045</v>
      </c>
      <c r="F3" s="15">
        <f>(A3+B3)*C3</f>
        <v>155.25</v>
      </c>
      <c r="G3" s="15">
        <f>(A3+B3)/E3</f>
        <v>255.5555556</v>
      </c>
      <c r="H3" s="15">
        <f>C3/10</f>
        <v>1.35</v>
      </c>
      <c r="I3" s="15">
        <v>3.0</v>
      </c>
      <c r="J3" s="16">
        <f>H3*G3/60</f>
        <v>5.75</v>
      </c>
      <c r="K3" s="16">
        <f>J3+I3</f>
        <v>8.75</v>
      </c>
      <c r="L3" s="17">
        <v>225.0</v>
      </c>
      <c r="M3" s="18">
        <f>L3/60</f>
        <v>3.75</v>
      </c>
      <c r="N3" s="18">
        <f>ROUNDUP(K3*M3,1)</f>
        <v>32.9</v>
      </c>
      <c r="O3" s="106"/>
      <c r="P3" s="22">
        <v>125.0</v>
      </c>
      <c r="Q3" s="151">
        <v>0.02</v>
      </c>
      <c r="R3" s="20">
        <v>28.0</v>
      </c>
      <c r="S3" s="21">
        <f>N3*R3</f>
        <v>921.2</v>
      </c>
      <c r="T3" s="21">
        <f>(N3*R3)+P3</f>
        <v>1046.2</v>
      </c>
      <c r="U3" s="21">
        <f>ROUNDUP(T3*Q3,0)</f>
        <v>21</v>
      </c>
      <c r="V3" s="21">
        <f>T3+U3</f>
        <v>1067.2</v>
      </c>
      <c r="W3" s="9"/>
      <c r="X3" s="24">
        <v>225.0</v>
      </c>
      <c r="Y3" s="152">
        <f>ROUNDDOWN(X3/N3,0)</f>
        <v>6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3.0</v>
      </c>
      <c r="C6" s="14">
        <v>10.4</v>
      </c>
      <c r="D6" s="15" t="s">
        <v>24</v>
      </c>
      <c r="E6" s="47">
        <v>0.045</v>
      </c>
      <c r="F6" s="47">
        <f>B6*3.14</f>
        <v>9.42</v>
      </c>
      <c r="G6" s="48">
        <f>F6/E6</f>
        <v>209.3333333</v>
      </c>
      <c r="H6" s="47">
        <f>C6/10</f>
        <v>1.04</v>
      </c>
      <c r="I6" s="47">
        <v>3.0</v>
      </c>
      <c r="J6" s="16">
        <f>H6*G6/60</f>
        <v>3.628444444</v>
      </c>
      <c r="K6" s="49">
        <f>J6+I6</f>
        <v>6.628444444</v>
      </c>
      <c r="L6" s="17">
        <v>225.0</v>
      </c>
      <c r="M6" s="18">
        <f>L6/60</f>
        <v>3.75</v>
      </c>
      <c r="N6" s="21">
        <f>ROUNDUP(K6*M6,1)</f>
        <v>24.9</v>
      </c>
      <c r="O6" s="106"/>
      <c r="P6" s="22">
        <v>125.0</v>
      </c>
      <c r="Q6" s="151">
        <v>0.02</v>
      </c>
      <c r="R6" s="20">
        <v>70.0</v>
      </c>
      <c r="S6" s="161">
        <f>N6*R6</f>
        <v>1743</v>
      </c>
      <c r="T6" s="161">
        <f>(N6*R6)+P6</f>
        <v>1868</v>
      </c>
      <c r="U6" s="21">
        <f>ROUNDUP(T6*Q6,0)</f>
        <v>38</v>
      </c>
      <c r="V6" s="21">
        <f>T6+U6</f>
        <v>1906</v>
      </c>
      <c r="W6" s="106"/>
      <c r="X6" s="162">
        <v>225.0</v>
      </c>
      <c r="Y6" s="163">
        <f>ROUNDDOWN(X6/N6,0)</f>
        <v>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124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1.25</v>
      </c>
      <c r="B11" s="14">
        <v>10.25</v>
      </c>
      <c r="C11" s="14">
        <v>13.5</v>
      </c>
      <c r="D11" s="15">
        <v>0.125</v>
      </c>
      <c r="E11" s="15">
        <v>0.045</v>
      </c>
      <c r="F11" s="15">
        <f>(A11+B11)*C11</f>
        <v>155.25</v>
      </c>
      <c r="G11" s="15">
        <f>(A11+B11)/E11</f>
        <v>255.5555556</v>
      </c>
      <c r="H11" s="15">
        <f>C11/10</f>
        <v>1.35</v>
      </c>
      <c r="I11" s="15">
        <v>3.0</v>
      </c>
      <c r="J11" s="16">
        <f>H11*G11/60</f>
        <v>5.75</v>
      </c>
      <c r="K11" s="16">
        <f>J11+I11</f>
        <v>8.75</v>
      </c>
      <c r="L11" s="17">
        <v>250.0</v>
      </c>
      <c r="M11" s="18">
        <f>L11/60</f>
        <v>4.166666667</v>
      </c>
      <c r="N11" s="18">
        <f>ROUNDUP(K11*M11,1)</f>
        <v>36.5</v>
      </c>
      <c r="O11" s="106"/>
      <c r="P11" s="22">
        <v>125.0</v>
      </c>
      <c r="Q11" s="151">
        <v>0.02</v>
      </c>
      <c r="R11" s="20">
        <v>55.0</v>
      </c>
      <c r="S11" s="21">
        <f>N11*R11</f>
        <v>2007.5</v>
      </c>
      <c r="T11" s="21">
        <f>(N11*R11)+P11</f>
        <v>2132.5</v>
      </c>
      <c r="U11" s="21">
        <f>ROUNDUP(T11*Q11,0)</f>
        <v>43</v>
      </c>
      <c r="V11" s="21">
        <f>T11+U11</f>
        <v>2175.5</v>
      </c>
      <c r="W11" s="9"/>
      <c r="X11" s="24">
        <v>250.0</v>
      </c>
      <c r="Y11" s="152">
        <f>ROUNDDOWN(X11/N11,0)</f>
        <v>6</v>
      </c>
    </row>
    <row r="12">
      <c r="A12" s="3"/>
      <c r="B12" s="153" t="s">
        <v>125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2.625</v>
      </c>
      <c r="C14" s="14">
        <v>2.15</v>
      </c>
      <c r="D14" s="15" t="s">
        <v>24</v>
      </c>
      <c r="E14" s="47">
        <v>0.045</v>
      </c>
      <c r="F14" s="47">
        <f>B14*3.14</f>
        <v>8.2425</v>
      </c>
      <c r="G14" s="48">
        <f>F14/E14</f>
        <v>183.1666667</v>
      </c>
      <c r="H14" s="47">
        <f>C14/10</f>
        <v>0.215</v>
      </c>
      <c r="I14" s="47">
        <v>3.0</v>
      </c>
      <c r="J14" s="16">
        <f>H14*G14/60</f>
        <v>0.6563472222</v>
      </c>
      <c r="K14" s="49">
        <f>J14+I14</f>
        <v>3.656347222</v>
      </c>
      <c r="L14" s="17">
        <v>250.0</v>
      </c>
      <c r="M14" s="18">
        <f>L14/60</f>
        <v>4.166666667</v>
      </c>
      <c r="N14" s="21">
        <f>ROUNDUP(K14*M14,1)</f>
        <v>15.3</v>
      </c>
      <c r="O14" s="106"/>
      <c r="P14" s="22">
        <v>125.0</v>
      </c>
      <c r="Q14" s="151">
        <v>0.02</v>
      </c>
      <c r="R14" s="20">
        <v>65.0</v>
      </c>
      <c r="S14" s="161">
        <f>N14*R14</f>
        <v>994.5</v>
      </c>
      <c r="T14" s="161">
        <f>(N14*R14)+P14</f>
        <v>1119.5</v>
      </c>
      <c r="U14" s="21">
        <f>ROUNDUP(T14*Q14,0)</f>
        <v>23</v>
      </c>
      <c r="V14" s="21">
        <f>T14+U14</f>
        <v>1142.5</v>
      </c>
      <c r="W14" s="106"/>
      <c r="X14" s="162">
        <v>250.0</v>
      </c>
      <c r="Y14" s="163">
        <f>ROUNDDOWN(X14/N14,0)</f>
        <v>16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166" t="s">
        <v>131</v>
      </c>
      <c r="I20" s="86"/>
      <c r="R20" s="88"/>
      <c r="V20" s="52"/>
    </row>
    <row r="21" ht="15.75" customHeight="1">
      <c r="A21" s="86" t="s">
        <v>132</v>
      </c>
      <c r="C21" s="166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68" t="s">
        <v>136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9.86"/>
    <col customWidth="1" min="20" max="20" width="13.29"/>
    <col customWidth="1" min="21" max="21" width="10.57"/>
    <col customWidth="1" min="22" max="22" width="8.71"/>
    <col customWidth="1" min="23" max="23" width="9.86"/>
    <col customWidth="1" min="24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70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2.5</v>
      </c>
      <c r="B3" s="14">
        <v>10.625</v>
      </c>
      <c r="C3" s="14">
        <v>6.0</v>
      </c>
      <c r="D3" s="15">
        <v>0.125</v>
      </c>
      <c r="E3" s="15">
        <v>0.045</v>
      </c>
      <c r="F3" s="15">
        <f>(A3+B3)*C3</f>
        <v>78.75</v>
      </c>
      <c r="G3" s="15">
        <f>(A3+B3)/E3</f>
        <v>291.6666667</v>
      </c>
      <c r="H3" s="15">
        <f>C3/10</f>
        <v>0.6</v>
      </c>
      <c r="I3" s="15">
        <v>4.0</v>
      </c>
      <c r="J3" s="16">
        <f>H3*G3/60</f>
        <v>2.916666667</v>
      </c>
      <c r="K3" s="16">
        <f>J3+I3</f>
        <v>6.916666667</v>
      </c>
      <c r="L3" s="17">
        <v>225.0</v>
      </c>
      <c r="M3" s="18">
        <f>L3/60</f>
        <v>3.75</v>
      </c>
      <c r="N3" s="18">
        <f>ROUNDUP(K3*M3,1)</f>
        <v>26</v>
      </c>
      <c r="O3" s="106"/>
      <c r="P3" s="22">
        <v>125.0</v>
      </c>
      <c r="Q3" s="151">
        <v>0.02</v>
      </c>
      <c r="R3" s="20">
        <v>10.0</v>
      </c>
      <c r="S3" s="171">
        <f>N3*R3</f>
        <v>260</v>
      </c>
      <c r="T3" s="21">
        <f>IF(S3&gt;Y3, S3, Y3)</f>
        <v>260</v>
      </c>
      <c r="U3" s="21">
        <f>T3+P3</f>
        <v>385</v>
      </c>
      <c r="V3" s="21">
        <f>ROUNDUP(U3*Q3,0)</f>
        <v>8</v>
      </c>
      <c r="W3" s="21">
        <f>U3+V3</f>
        <v>393</v>
      </c>
      <c r="X3" s="9"/>
      <c r="Y3" s="24">
        <v>225.0</v>
      </c>
      <c r="Z3" s="152">
        <f>ROUNDDOWN(Y3/N3,0)</f>
        <v>8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70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7.583</v>
      </c>
      <c r="C6" s="14">
        <v>27.0</v>
      </c>
      <c r="D6" s="15" t="s">
        <v>24</v>
      </c>
      <c r="E6" s="47">
        <v>0.045</v>
      </c>
      <c r="F6" s="47">
        <f>B6*3.14</f>
        <v>23.81062</v>
      </c>
      <c r="G6" s="48">
        <f>F6/E6</f>
        <v>529.1248889</v>
      </c>
      <c r="H6" s="47">
        <f>C6/10</f>
        <v>2.7</v>
      </c>
      <c r="I6" s="47">
        <v>4.0</v>
      </c>
      <c r="J6" s="16">
        <f>H6*G6/60</f>
        <v>23.81062</v>
      </c>
      <c r="K6" s="49">
        <f>J6+I6</f>
        <v>27.81062</v>
      </c>
      <c r="L6" s="17">
        <v>225.0</v>
      </c>
      <c r="M6" s="18">
        <f>L6/60</f>
        <v>3.75</v>
      </c>
      <c r="N6" s="21">
        <f>ROUNDUP(K6*M6,1)</f>
        <v>104.3</v>
      </c>
      <c r="O6" s="106"/>
      <c r="P6" s="22">
        <v>125.0</v>
      </c>
      <c r="Q6" s="151">
        <v>0.02</v>
      </c>
      <c r="R6" s="20">
        <v>10.0</v>
      </c>
      <c r="S6" s="172">
        <f>N6*R6</f>
        <v>1043</v>
      </c>
      <c r="T6" s="161">
        <f>IF(S6&gt;Y6, S6, Y6)</f>
        <v>1043</v>
      </c>
      <c r="U6" s="161">
        <f>T6+P6</f>
        <v>1168</v>
      </c>
      <c r="V6" s="21">
        <f>ROUNDUP(U6*Q6,0)</f>
        <v>24</v>
      </c>
      <c r="W6" s="21">
        <f>U6+V6</f>
        <v>1192</v>
      </c>
      <c r="X6" s="106"/>
      <c r="Y6" s="162">
        <v>225.0</v>
      </c>
      <c r="Z6" s="163">
        <f>ROUNDDOWN(Y6/N6,0)</f>
        <v>2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141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70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1.5</v>
      </c>
      <c r="B11" s="14">
        <v>36.0</v>
      </c>
      <c r="C11" s="14">
        <v>2.0</v>
      </c>
      <c r="D11" s="15">
        <v>0.125</v>
      </c>
      <c r="E11" s="15">
        <v>0.045</v>
      </c>
      <c r="F11" s="15">
        <f>(A11+B11)*C11</f>
        <v>75</v>
      </c>
      <c r="G11" s="15">
        <f>(A11+B11)/E11</f>
        <v>833.3333333</v>
      </c>
      <c r="H11" s="15">
        <f>C11/10</f>
        <v>0.2</v>
      </c>
      <c r="I11" s="15">
        <v>4.0</v>
      </c>
      <c r="J11" s="16">
        <f>H11*G11/60</f>
        <v>2.777777778</v>
      </c>
      <c r="K11" s="16">
        <f>J11+I11</f>
        <v>6.777777778</v>
      </c>
      <c r="L11" s="17">
        <v>250.0</v>
      </c>
      <c r="M11" s="18">
        <f>L11/60</f>
        <v>4.166666667</v>
      </c>
      <c r="N11" s="18">
        <f>ROUNDUP(K11*M11,1)</f>
        <v>28.3</v>
      </c>
      <c r="O11" s="106"/>
      <c r="P11" s="22">
        <v>125.0</v>
      </c>
      <c r="Q11" s="151">
        <v>0.02</v>
      </c>
      <c r="R11" s="20">
        <v>2.0</v>
      </c>
      <c r="S11" s="171">
        <f>N11*R11</f>
        <v>56.6</v>
      </c>
      <c r="T11" s="21">
        <f>IF(S11&gt;Y11, S11, Y11)</f>
        <v>250</v>
      </c>
      <c r="U11" s="21">
        <f>T11+P11</f>
        <v>375</v>
      </c>
      <c r="V11" s="21">
        <f>ROUNDUP(U11*Q11,0)</f>
        <v>8</v>
      </c>
      <c r="W11" s="21">
        <f>U11+V11</f>
        <v>383</v>
      </c>
      <c r="X11" s="9"/>
      <c r="Y11" s="24">
        <v>250.0</v>
      </c>
      <c r="Z11" s="152">
        <f>ROUNDDOWN(Y11/N11,0)</f>
        <v>8</v>
      </c>
    </row>
    <row r="12">
      <c r="A12" s="3"/>
      <c r="B12" s="153" t="s">
        <v>142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70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1.25</v>
      </c>
      <c r="C14" s="14">
        <v>36.0</v>
      </c>
      <c r="D14" s="15" t="s">
        <v>24</v>
      </c>
      <c r="E14" s="47">
        <v>0.045</v>
      </c>
      <c r="F14" s="47">
        <f>B14*3.14</f>
        <v>3.925</v>
      </c>
      <c r="G14" s="48">
        <f>F14/E14</f>
        <v>87.22222222</v>
      </c>
      <c r="H14" s="47">
        <f>C14/10</f>
        <v>3.6</v>
      </c>
      <c r="I14" s="47">
        <v>4.0</v>
      </c>
      <c r="J14" s="16">
        <f>H14*G14/60</f>
        <v>5.233333333</v>
      </c>
      <c r="K14" s="49">
        <f>J14+I14</f>
        <v>9.233333333</v>
      </c>
      <c r="L14" s="17">
        <v>250.0</v>
      </c>
      <c r="M14" s="18">
        <f>L14/60</f>
        <v>4.166666667</v>
      </c>
      <c r="N14" s="21">
        <f>ROUNDUP(K14*M14,1)</f>
        <v>38.5</v>
      </c>
      <c r="O14" s="106"/>
      <c r="P14" s="22">
        <v>125.0</v>
      </c>
      <c r="Q14" s="151">
        <v>0.02</v>
      </c>
      <c r="R14" s="20">
        <v>2.0</v>
      </c>
      <c r="S14" s="172">
        <f>N14*R14</f>
        <v>77</v>
      </c>
      <c r="T14" s="161">
        <f>IF(S14&gt;Y14, S14, Y14)</f>
        <v>250</v>
      </c>
      <c r="U14" s="161">
        <f>T14+P14</f>
        <v>375</v>
      </c>
      <c r="V14" s="21">
        <f>ROUNDUP(U14*Q14,0)</f>
        <v>8</v>
      </c>
      <c r="W14" s="21">
        <f>U14+V14</f>
        <v>383</v>
      </c>
      <c r="X14" s="106"/>
      <c r="Y14" s="162">
        <v>250.0</v>
      </c>
      <c r="Z14" s="163">
        <f>ROUNDDOWN(Y14/N14,0)</f>
        <v>6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W19" s="51"/>
    </row>
    <row r="20">
      <c r="A20" s="86" t="s">
        <v>20</v>
      </c>
      <c r="C20" s="166" t="s">
        <v>143</v>
      </c>
      <c r="I20" s="86"/>
      <c r="R20" s="88"/>
      <c r="W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W21" s="52"/>
    </row>
    <row r="22" ht="15.75" customHeight="1">
      <c r="A22" s="167" t="s">
        <v>135</v>
      </c>
      <c r="B22" s="106"/>
      <c r="C22" s="107">
        <v>100.0</v>
      </c>
      <c r="I22" s="86" t="s">
        <v>137</v>
      </c>
      <c r="R22" s="88"/>
      <c r="W22" s="52"/>
    </row>
    <row r="23" ht="15.75" customHeight="1">
      <c r="I23" s="86"/>
      <c r="R23" s="88"/>
      <c r="W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8.71"/>
    <col customWidth="1" min="5" max="5" width="8.71"/>
    <col customWidth="1" hidden="1" min="6" max="8" width="8.71"/>
    <col customWidth="1" min="9" max="9" width="8.71"/>
    <col customWidth="1" hidden="1" min="10" max="13" width="8.71"/>
    <col customWidth="1" min="14" max="14" width="13.14"/>
    <col customWidth="1" min="15" max="15" width="8.71"/>
    <col customWidth="1" min="16" max="16" width="14.86"/>
    <col customWidth="1" min="17" max="17" width="8.14"/>
    <col customWidth="1" min="18" max="18" width="10.29"/>
    <col customWidth="1" hidden="1" min="19" max="19" width="10.29"/>
    <col customWidth="1" min="20" max="20" width="10.71"/>
    <col customWidth="1" min="21" max="21" width="10.57"/>
    <col customWidth="1" min="22" max="22" width="8.71"/>
    <col customWidth="1" min="23" max="23" width="12.0"/>
    <col customWidth="1" min="24" max="24" width="8.71"/>
    <col customWidth="1" min="25" max="26" width="12.57"/>
    <col customWidth="1" min="27" max="28" width="8.71"/>
    <col customWidth="1" hidden="1" min="29" max="30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144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2.25</v>
      </c>
      <c r="B3" s="14">
        <v>5.2</v>
      </c>
      <c r="C3" s="14">
        <v>6.7</v>
      </c>
      <c r="D3" s="15">
        <v>0.125</v>
      </c>
      <c r="E3" s="15">
        <v>0.045</v>
      </c>
      <c r="F3" s="15">
        <f>(A3+B3)*C3</f>
        <v>49.915</v>
      </c>
      <c r="G3" s="15">
        <f>(A3+B3)/E3</f>
        <v>165.5555556</v>
      </c>
      <c r="H3" s="15">
        <f>C3/10</f>
        <v>0.67</v>
      </c>
      <c r="I3" s="15">
        <v>3.5</v>
      </c>
      <c r="J3" s="16">
        <f>H3*G3/60</f>
        <v>1.848703704</v>
      </c>
      <c r="K3" s="16">
        <f>J3+I3</f>
        <v>5.348703704</v>
      </c>
      <c r="L3" s="17">
        <v>225.0</v>
      </c>
      <c r="M3" s="18">
        <f>L3/60</f>
        <v>3.75</v>
      </c>
      <c r="N3" s="18">
        <f>ROUNDUP(K3*M3,1)</f>
        <v>20.1</v>
      </c>
      <c r="O3" s="106"/>
      <c r="P3" s="22">
        <v>125.0</v>
      </c>
      <c r="Q3" s="151">
        <v>0.02</v>
      </c>
      <c r="R3" s="20">
        <v>92.0</v>
      </c>
      <c r="S3" s="171">
        <f>N3*R3</f>
        <v>1849.2</v>
      </c>
      <c r="T3" s="21">
        <f>IF(S3&gt;Y3, S3, Y3)</f>
        <v>1849.2</v>
      </c>
      <c r="U3" s="21">
        <f>T3+P3</f>
        <v>1974.2</v>
      </c>
      <c r="V3" s="21">
        <f>ROUNDUP(U3*Q3,0)</f>
        <v>40</v>
      </c>
      <c r="W3" s="21">
        <f>U3+V3</f>
        <v>2014.2</v>
      </c>
      <c r="X3" s="9"/>
      <c r="Y3" s="24">
        <v>225.0</v>
      </c>
      <c r="Z3" s="152">
        <f>ROUNDDOWN(Y3/N3,0)</f>
        <v>11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7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4.5</v>
      </c>
      <c r="C6" s="14">
        <v>4.5</v>
      </c>
      <c r="D6" s="15" t="s">
        <v>24</v>
      </c>
      <c r="E6" s="47">
        <v>0.045</v>
      </c>
      <c r="F6" s="47">
        <f>B6*3.14</f>
        <v>14.13</v>
      </c>
      <c r="G6" s="48">
        <f>F6/E6</f>
        <v>314</v>
      </c>
      <c r="H6" s="47">
        <f>C6/10</f>
        <v>0.45</v>
      </c>
      <c r="I6" s="47">
        <v>4.0</v>
      </c>
      <c r="J6" s="16">
        <f>H6*G6/60</f>
        <v>2.355</v>
      </c>
      <c r="K6" s="49">
        <f>J6+I6</f>
        <v>6.355</v>
      </c>
      <c r="L6" s="17">
        <v>225.0</v>
      </c>
      <c r="M6" s="18">
        <f>L6/60</f>
        <v>3.75</v>
      </c>
      <c r="N6" s="21">
        <f>ROUNDUP(K6*M6,1)</f>
        <v>23.9</v>
      </c>
      <c r="O6" s="106"/>
      <c r="P6" s="22">
        <v>125.0</v>
      </c>
      <c r="Q6" s="151">
        <v>0.02</v>
      </c>
      <c r="R6" s="20">
        <v>9.0</v>
      </c>
      <c r="S6" s="172">
        <f>N6*R6</f>
        <v>215.1</v>
      </c>
      <c r="T6" s="161">
        <f>IF(S6&gt;Y6, S6, Y6)</f>
        <v>225</v>
      </c>
      <c r="U6" s="161">
        <f>T6+P6</f>
        <v>350</v>
      </c>
      <c r="V6" s="21">
        <f>ROUNDUP(U6*Q6,0)</f>
        <v>7</v>
      </c>
      <c r="W6" s="21">
        <f>U6+V6</f>
        <v>357</v>
      </c>
      <c r="X6" s="106"/>
      <c r="Y6" s="162">
        <v>225.0</v>
      </c>
      <c r="Z6" s="163">
        <f>ROUNDDOWN(Y6/N6,0)</f>
        <v>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145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146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1.5</v>
      </c>
      <c r="B11" s="14">
        <v>36.0</v>
      </c>
      <c r="C11" s="14">
        <v>2.0</v>
      </c>
      <c r="D11" s="15">
        <v>0.125</v>
      </c>
      <c r="E11" s="15">
        <v>0.065</v>
      </c>
      <c r="F11" s="15">
        <f>(A11+B11)*C11</f>
        <v>75</v>
      </c>
      <c r="G11" s="15">
        <f>(A11+B11)/E11</f>
        <v>576.9230769</v>
      </c>
      <c r="H11" s="15">
        <f>C11/10</f>
        <v>0.2</v>
      </c>
      <c r="I11" s="15">
        <v>4.0</v>
      </c>
      <c r="J11" s="16">
        <f>H11*G11/60</f>
        <v>1.923076923</v>
      </c>
      <c r="K11" s="16">
        <f>J11+I11</f>
        <v>5.923076923</v>
      </c>
      <c r="L11" s="17">
        <v>250.0</v>
      </c>
      <c r="M11" s="18">
        <f>L11/60</f>
        <v>4.166666667</v>
      </c>
      <c r="N11" s="18">
        <f>ROUNDUP(K11*M11,1)</f>
        <v>24.7</v>
      </c>
      <c r="O11" s="106"/>
      <c r="P11" s="22">
        <v>125.0</v>
      </c>
      <c r="Q11" s="151">
        <v>0.02</v>
      </c>
      <c r="R11" s="20">
        <v>30.0</v>
      </c>
      <c r="S11" s="171">
        <f>N11*R11</f>
        <v>741</v>
      </c>
      <c r="T11" s="21">
        <f>IF(S11&gt;Y11, S11, Y11)</f>
        <v>741</v>
      </c>
      <c r="U11" s="21">
        <f>T11+P11</f>
        <v>866</v>
      </c>
      <c r="V11" s="21">
        <f>ROUNDUP(U11*Q11,0)</f>
        <v>18</v>
      </c>
      <c r="W11" s="21">
        <f>U11+V11</f>
        <v>884</v>
      </c>
      <c r="X11" s="9"/>
      <c r="Y11" s="24">
        <v>250.0</v>
      </c>
      <c r="Z11" s="152">
        <f>ROUNDDOWN(Y11/N11,0)</f>
        <v>10</v>
      </c>
    </row>
    <row r="12">
      <c r="A12" s="3"/>
      <c r="B12" s="153" t="s">
        <v>147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7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6.0</v>
      </c>
      <c r="C14" s="14">
        <v>3.0</v>
      </c>
      <c r="D14" s="15" t="s">
        <v>24</v>
      </c>
      <c r="E14" s="47">
        <v>0.045</v>
      </c>
      <c r="F14" s="47">
        <f>B14*3.14</f>
        <v>18.84</v>
      </c>
      <c r="G14" s="48">
        <f>F14/E14</f>
        <v>418.6666667</v>
      </c>
      <c r="H14" s="47">
        <f>C14/10</f>
        <v>0.3</v>
      </c>
      <c r="I14" s="47">
        <v>4.0</v>
      </c>
      <c r="J14" s="16">
        <f>H14*G14/60</f>
        <v>2.093333333</v>
      </c>
      <c r="K14" s="49">
        <f>J14+I14</f>
        <v>6.093333333</v>
      </c>
      <c r="L14" s="17">
        <v>250.0</v>
      </c>
      <c r="M14" s="18">
        <f>L14/60</f>
        <v>4.166666667</v>
      </c>
      <c r="N14" s="21">
        <f>ROUNDUP(K14*M14,1)</f>
        <v>25.4</v>
      </c>
      <c r="O14" s="106"/>
      <c r="P14" s="22">
        <v>125.0</v>
      </c>
      <c r="Q14" s="151">
        <v>0.02</v>
      </c>
      <c r="R14" s="20">
        <v>13.0</v>
      </c>
      <c r="S14" s="172">
        <f>N14*R14</f>
        <v>330.2</v>
      </c>
      <c r="T14" s="161">
        <f>IF(S14&gt;Y14, S14, Y14)</f>
        <v>330.2</v>
      </c>
      <c r="U14" s="161">
        <f>T14+P14</f>
        <v>455.2</v>
      </c>
      <c r="V14" s="21">
        <f>ROUNDUP(U14*Q14,0)</f>
        <v>10</v>
      </c>
      <c r="W14" s="21">
        <f>U14+V14</f>
        <v>465.2</v>
      </c>
      <c r="X14" s="106"/>
      <c r="Y14" s="162">
        <v>250.0</v>
      </c>
      <c r="Z14" s="163">
        <f>ROUNDDOWN(Y14/N14,0)</f>
        <v>9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  <c r="U17" s="173" t="s">
        <v>148</v>
      </c>
      <c r="V17" s="174" t="s">
        <v>15</v>
      </c>
      <c r="W17" s="175" t="s">
        <v>16</v>
      </c>
      <c r="X17" s="175" t="s">
        <v>17</v>
      </c>
      <c r="Y17" s="176" t="s">
        <v>18</v>
      </c>
      <c r="Z17" s="176" t="s">
        <v>19</v>
      </c>
      <c r="AA17" s="177" t="s">
        <v>20</v>
      </c>
      <c r="AB17" s="178" t="s">
        <v>21</v>
      </c>
      <c r="AC17" s="179" t="s">
        <v>149</v>
      </c>
      <c r="AD17" s="179" t="s">
        <v>150</v>
      </c>
    </row>
    <row r="18">
      <c r="A18" s="86" t="s">
        <v>22</v>
      </c>
      <c r="C18" s="165">
        <v>225.0</v>
      </c>
      <c r="I18" s="86" t="s">
        <v>128</v>
      </c>
      <c r="R18" s="88"/>
      <c r="U18" s="180">
        <v>23.9</v>
      </c>
      <c r="V18" s="181">
        <v>31.0</v>
      </c>
      <c r="W18" s="182">
        <f>IF(AC18&gt;AD18,AC18,AD18)</f>
        <v>740.9</v>
      </c>
      <c r="X18" s="183">
        <v>125.0</v>
      </c>
      <c r="Y18" s="184">
        <v>0.02</v>
      </c>
      <c r="Z18" s="182">
        <f>W18+X18</f>
        <v>865.9</v>
      </c>
      <c r="AA18" s="185">
        <f>ROUNDUP(Z18*Y18,0)</f>
        <v>18</v>
      </c>
      <c r="AB18" s="186">
        <f>Z18+AA18</f>
        <v>883.9</v>
      </c>
      <c r="AC18" s="28">
        <f>U18*V18</f>
        <v>740.9</v>
      </c>
      <c r="AD18" s="54">
        <v>225.0</v>
      </c>
    </row>
    <row r="19">
      <c r="A19" s="86" t="s">
        <v>129</v>
      </c>
      <c r="C19" s="165">
        <v>125.0</v>
      </c>
      <c r="I19" s="86" t="s">
        <v>130</v>
      </c>
      <c r="R19" s="88"/>
    </row>
    <row r="20">
      <c r="A20" s="86" t="s">
        <v>20</v>
      </c>
      <c r="C20" s="88" t="s">
        <v>131</v>
      </c>
      <c r="I20" s="86"/>
      <c r="R20" s="88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X21" s="3"/>
      <c r="Y21" s="3"/>
      <c r="Z21" s="28"/>
    </row>
    <row r="22" ht="15.75" customHeight="1">
      <c r="A22" s="167" t="s">
        <v>135</v>
      </c>
      <c r="B22" s="106"/>
      <c r="C22" s="107">
        <v>75.0</v>
      </c>
      <c r="I22" s="86" t="s">
        <v>137</v>
      </c>
      <c r="R22" s="88"/>
      <c r="X22" s="187" t="s">
        <v>151</v>
      </c>
      <c r="Y22" s="188"/>
      <c r="Z22" s="189">
        <f>V18</f>
        <v>31</v>
      </c>
    </row>
    <row r="23" ht="15.75" customHeight="1">
      <c r="I23" s="86"/>
      <c r="R23" s="88"/>
      <c r="X23" s="190" t="s">
        <v>152</v>
      </c>
      <c r="Y23" s="191"/>
      <c r="Z23" s="192">
        <f>AB18</f>
        <v>883.9</v>
      </c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  <c r="S1" s="4"/>
      <c r="T1" s="4"/>
      <c r="U1" s="4"/>
      <c r="V1" s="5"/>
      <c r="W1" s="4"/>
      <c r="X1" s="4"/>
      <c r="Y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0" t="s">
        <v>140</v>
      </c>
      <c r="R2" s="11" t="s">
        <v>16</v>
      </c>
      <c r="S2" s="11" t="s">
        <v>17</v>
      </c>
      <c r="T2" s="10" t="s">
        <v>18</v>
      </c>
      <c r="U2" s="10" t="s">
        <v>19</v>
      </c>
      <c r="V2" s="12" t="s">
        <v>20</v>
      </c>
      <c r="W2" s="10" t="s">
        <v>21</v>
      </c>
      <c r="X2" s="11" t="s">
        <v>22</v>
      </c>
      <c r="Y2" s="13" t="s">
        <v>23</v>
      </c>
    </row>
    <row r="3">
      <c r="A3" s="14">
        <v>4.5</v>
      </c>
      <c r="B3" s="14">
        <v>9.5</v>
      </c>
      <c r="C3" s="14">
        <v>14.5</v>
      </c>
      <c r="D3" s="15" t="s">
        <v>24</v>
      </c>
      <c r="E3" s="15">
        <v>0.045</v>
      </c>
      <c r="F3" s="15">
        <f>(A3+B3)*C3</f>
        <v>203</v>
      </c>
      <c r="G3" s="15">
        <f>(A3+B3)/E3</f>
        <v>311.1111111</v>
      </c>
      <c r="H3" s="15">
        <f>C3/10</f>
        <v>1.45</v>
      </c>
      <c r="I3" s="15">
        <v>4.0</v>
      </c>
      <c r="J3" s="16">
        <f>H3*G3/60</f>
        <v>7.518518519</v>
      </c>
      <c r="K3" s="16">
        <f>J3+I3</f>
        <v>11.51851852</v>
      </c>
      <c r="L3" s="17">
        <v>225.0</v>
      </c>
      <c r="M3" s="18">
        <f>L3/60</f>
        <v>3.75</v>
      </c>
      <c r="N3" s="18">
        <f>ROUNDUP(K3*M3,1)</f>
        <v>43.2</v>
      </c>
      <c r="O3" s="19" t="s">
        <v>153</v>
      </c>
      <c r="P3" s="20">
        <v>10.0</v>
      </c>
      <c r="Q3" s="171">
        <f>N3*P3</f>
        <v>432</v>
      </c>
      <c r="R3" s="21">
        <f>IF(Q3&gt;X3, Q3, X3)</f>
        <v>432</v>
      </c>
      <c r="S3" s="22">
        <v>125.0</v>
      </c>
      <c r="T3" s="23">
        <v>0.02</v>
      </c>
      <c r="U3" s="21">
        <f>R3+S3</f>
        <v>557</v>
      </c>
      <c r="V3" s="18">
        <f>ROUNDUP(U3*T3,0)</f>
        <v>12</v>
      </c>
      <c r="W3" s="21">
        <f>U3+V3</f>
        <v>569</v>
      </c>
      <c r="X3" s="24">
        <v>225.0</v>
      </c>
      <c r="Y3" s="25">
        <f>ROUNDDOWN(X3/N3,0)</f>
        <v>5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3"/>
      <c r="R4" s="28"/>
      <c r="S4" s="29"/>
      <c r="T4" s="30"/>
      <c r="U4" s="28"/>
      <c r="V4" s="31"/>
      <c r="W4" s="28"/>
      <c r="X4" s="32"/>
      <c r="Y4" s="26"/>
    </row>
    <row r="5">
      <c r="A5" s="3"/>
      <c r="B5" s="33" t="s">
        <v>28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  <c r="S5" s="36"/>
      <c r="T5" s="37"/>
      <c r="U5" s="35"/>
      <c r="V5" s="38"/>
      <c r="W5" s="35"/>
      <c r="X5" s="34"/>
      <c r="Y5" s="39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10" t="s">
        <v>140</v>
      </c>
      <c r="R6" s="43" t="s">
        <v>16</v>
      </c>
      <c r="S6" s="44" t="s">
        <v>17</v>
      </c>
      <c r="T6" s="45" t="s">
        <v>18</v>
      </c>
      <c r="U6" s="43" t="s">
        <v>19</v>
      </c>
      <c r="V6" s="46" t="s">
        <v>20</v>
      </c>
      <c r="W6" s="43" t="s">
        <v>21</v>
      </c>
      <c r="X6" s="11" t="s">
        <v>22</v>
      </c>
      <c r="Y6" s="13" t="s">
        <v>23</v>
      </c>
    </row>
    <row r="7">
      <c r="A7" s="3"/>
      <c r="B7" s="14">
        <v>0.375</v>
      </c>
      <c r="C7" s="14">
        <v>16.69</v>
      </c>
      <c r="D7" s="193" t="s">
        <v>24</v>
      </c>
      <c r="E7" s="47">
        <v>0.045</v>
      </c>
      <c r="F7" s="47">
        <f>B7*3.14</f>
        <v>1.1775</v>
      </c>
      <c r="G7" s="48">
        <f>F7/E7</f>
        <v>26.16666667</v>
      </c>
      <c r="H7" s="47">
        <f>C7/10</f>
        <v>1.669</v>
      </c>
      <c r="I7" s="47">
        <v>3.0</v>
      </c>
      <c r="J7" s="16">
        <f>H7*G7/60</f>
        <v>0.7278694444</v>
      </c>
      <c r="K7" s="49">
        <f>J7+I7</f>
        <v>3.727869444</v>
      </c>
      <c r="L7" s="194">
        <v>225.0</v>
      </c>
      <c r="M7" s="195">
        <f>L7/60</f>
        <v>3.75</v>
      </c>
      <c r="N7" s="21">
        <f>ROUNDUP(K7*M7,1)</f>
        <v>14</v>
      </c>
      <c r="O7" s="9" t="s">
        <v>153</v>
      </c>
      <c r="P7" s="20">
        <v>50.0</v>
      </c>
      <c r="Q7" s="171">
        <f>N7*P7</f>
        <v>700</v>
      </c>
      <c r="R7" s="21">
        <f>IF(Q7&gt;X7, Q7, X7)</f>
        <v>700</v>
      </c>
      <c r="S7" s="22">
        <v>0.0</v>
      </c>
      <c r="T7" s="23">
        <v>0.02</v>
      </c>
      <c r="U7" s="21">
        <f>R7+S7</f>
        <v>700</v>
      </c>
      <c r="V7" s="18">
        <f>ROUNDUP(U7*T7,0)</f>
        <v>14</v>
      </c>
      <c r="W7" s="21">
        <f>U7+V7</f>
        <v>714</v>
      </c>
      <c r="X7" s="24">
        <v>225.0</v>
      </c>
      <c r="Y7" s="25">
        <f>ROUNDDOWN(X7/N7,0)</f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71"/>
    <col customWidth="1" min="5" max="6" width="9.14"/>
    <col customWidth="1" min="7" max="7" width="21.0"/>
    <col customWidth="1" min="8" max="12" width="9.14"/>
    <col customWidth="1" min="13" max="13" width="13.43"/>
    <col customWidth="1" min="14" max="14" width="9.14"/>
    <col customWidth="1" min="15" max="15" width="15.29"/>
    <col customWidth="1" min="16" max="16" width="11.29"/>
    <col customWidth="1" min="17" max="17" width="16.43"/>
    <col customWidth="1" min="18" max="18" width="8.71"/>
    <col customWidth="1" min="19" max="19" width="14.29"/>
    <col customWidth="1" min="20" max="20" width="23.0"/>
    <col customWidth="1" min="21" max="22" width="12.0"/>
    <col customWidth="1" min="23" max="23" width="10.86"/>
    <col customWidth="1" min="24" max="24" width="13.71"/>
    <col customWidth="1" min="25" max="26" width="8.71"/>
  </cols>
  <sheetData>
    <row r="2">
      <c r="A2" s="196" t="s">
        <v>154</v>
      </c>
      <c r="B2" s="197"/>
      <c r="C2" s="197"/>
      <c r="D2" s="197"/>
      <c r="E2" s="197"/>
      <c r="F2" s="197"/>
      <c r="G2" s="197"/>
      <c r="H2" s="197"/>
      <c r="I2" s="197"/>
      <c r="J2" s="2"/>
      <c r="K2" s="2"/>
      <c r="L2" s="2"/>
      <c r="M2" s="2"/>
      <c r="N2" s="2"/>
      <c r="O2" s="32"/>
      <c r="P2" s="32"/>
      <c r="Q2" s="3"/>
      <c r="R2" s="3"/>
      <c r="S2" s="4"/>
      <c r="T2" s="4"/>
      <c r="U2" s="4"/>
      <c r="V2" s="4"/>
      <c r="W2" s="5"/>
      <c r="X2" s="4"/>
      <c r="Y2" s="4"/>
      <c r="Z2" s="4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131" t="s">
        <v>155</v>
      </c>
      <c r="O3" s="198" t="s">
        <v>156</v>
      </c>
      <c r="P3" s="198" t="s">
        <v>157</v>
      </c>
      <c r="Q3" s="108"/>
      <c r="R3" s="10" t="s">
        <v>15</v>
      </c>
      <c r="S3" s="11" t="s">
        <v>16</v>
      </c>
      <c r="T3" s="11" t="s">
        <v>17</v>
      </c>
      <c r="U3" s="10" t="s">
        <v>18</v>
      </c>
      <c r="V3" s="10" t="s">
        <v>19</v>
      </c>
      <c r="W3" s="12" t="s">
        <v>20</v>
      </c>
      <c r="X3" s="10" t="s">
        <v>21</v>
      </c>
      <c r="Y3" s="11" t="s">
        <v>22</v>
      </c>
      <c r="Z3" s="13" t="s">
        <v>23</v>
      </c>
    </row>
    <row r="4">
      <c r="A4" s="14">
        <v>10.0</v>
      </c>
      <c r="B4" s="14">
        <v>10.0</v>
      </c>
      <c r="C4" s="14">
        <v>50.0</v>
      </c>
      <c r="D4" s="15" t="s">
        <v>24</v>
      </c>
      <c r="E4" s="15">
        <v>0.075</v>
      </c>
      <c r="F4" s="193">
        <f>(A4+B4)*C4</f>
        <v>1000</v>
      </c>
      <c r="G4" s="193">
        <f>(A4+B4)/E4</f>
        <v>266.6666667</v>
      </c>
      <c r="H4" s="193">
        <f>C4/10</f>
        <v>5</v>
      </c>
      <c r="I4" s="15">
        <v>4.0</v>
      </c>
      <c r="J4" s="16">
        <f>H4*G4/60</f>
        <v>22.22222222</v>
      </c>
      <c r="K4" s="16">
        <f>J4+I4</f>
        <v>26.22222222</v>
      </c>
      <c r="L4" s="17">
        <v>225.0</v>
      </c>
      <c r="M4" s="18">
        <f>L4/60</f>
        <v>3.75</v>
      </c>
      <c r="N4" s="18">
        <f>ROUNDUP(K4*M4,1)</f>
        <v>98.4</v>
      </c>
      <c r="O4" s="199">
        <f>G38</f>
        <v>171.875</v>
      </c>
      <c r="P4" s="200">
        <f>IF(N4&gt;O4, N4, O4)</f>
        <v>171.875</v>
      </c>
      <c r="Q4" s="19" t="s">
        <v>158</v>
      </c>
      <c r="R4" s="20">
        <v>150.0</v>
      </c>
      <c r="S4" s="21">
        <f>P4*R4</f>
        <v>25781.25</v>
      </c>
      <c r="T4" s="22">
        <v>0.0</v>
      </c>
      <c r="U4" s="23">
        <v>0.02</v>
      </c>
      <c r="V4" s="21">
        <f>S4+T4</f>
        <v>25781.25</v>
      </c>
      <c r="W4" s="18">
        <f>ROUNDUP(V4*U4,0)</f>
        <v>516</v>
      </c>
      <c r="X4" s="21">
        <f>V4+W4</f>
        <v>26297.25</v>
      </c>
      <c r="Y4" s="24">
        <v>225.0</v>
      </c>
      <c r="Z4" s="25">
        <f>ROUNDDOWN(Y4/N4,0)</f>
        <v>2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Q5" s="27"/>
      <c r="R5" s="3"/>
      <c r="S5" s="28"/>
      <c r="T5" s="29"/>
      <c r="U5" s="30"/>
      <c r="V5" s="28"/>
      <c r="W5" s="31"/>
      <c r="X5" s="28"/>
      <c r="Y5" s="32"/>
      <c r="Z5" s="26"/>
    </row>
    <row r="6">
      <c r="A6" s="196" t="s">
        <v>159</v>
      </c>
      <c r="B6" s="197"/>
      <c r="C6" s="201"/>
      <c r="D6" s="197"/>
      <c r="E6" s="197"/>
      <c r="F6" s="197"/>
      <c r="G6" s="197"/>
      <c r="H6" s="197"/>
      <c r="I6" s="197"/>
      <c r="J6" s="2"/>
      <c r="K6" s="2"/>
      <c r="L6" s="2"/>
      <c r="M6" s="2"/>
      <c r="N6" s="2"/>
      <c r="O6" s="32"/>
      <c r="P6" s="32"/>
      <c r="Q6" s="3"/>
      <c r="R6" s="3"/>
      <c r="S6" s="4"/>
      <c r="T6" s="4"/>
      <c r="U6" s="4"/>
      <c r="V6" s="4"/>
      <c r="W6" s="5"/>
      <c r="X6" s="4"/>
      <c r="Y6" s="4"/>
      <c r="Z6" s="4"/>
    </row>
    <row r="7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  <c r="N7" s="131" t="s">
        <v>155</v>
      </c>
      <c r="O7" s="198" t="s">
        <v>156</v>
      </c>
      <c r="P7" s="198" t="s">
        <v>157</v>
      </c>
      <c r="Q7" s="108"/>
      <c r="R7" s="10" t="s">
        <v>15</v>
      </c>
      <c r="S7" s="11" t="s">
        <v>16</v>
      </c>
      <c r="T7" s="11" t="s">
        <v>17</v>
      </c>
      <c r="U7" s="10" t="s">
        <v>18</v>
      </c>
      <c r="V7" s="10" t="s">
        <v>19</v>
      </c>
      <c r="W7" s="12" t="s">
        <v>20</v>
      </c>
      <c r="X7" s="10" t="s">
        <v>21</v>
      </c>
      <c r="Y7" s="11" t="s">
        <v>22</v>
      </c>
      <c r="Z7" s="13" t="s">
        <v>23</v>
      </c>
    </row>
    <row r="8">
      <c r="A8" s="14">
        <v>10.0</v>
      </c>
      <c r="B8" s="14">
        <v>10.0</v>
      </c>
      <c r="C8" s="14">
        <v>50.0</v>
      </c>
      <c r="D8" s="15" t="s">
        <v>24</v>
      </c>
      <c r="E8" s="15">
        <v>0.06</v>
      </c>
      <c r="F8" s="193">
        <f>(A8+B8)*C8</f>
        <v>1000</v>
      </c>
      <c r="G8" s="193">
        <f>(A8+B8)/E8</f>
        <v>333.3333333</v>
      </c>
      <c r="H8" s="193">
        <f>C8/10</f>
        <v>5</v>
      </c>
      <c r="I8" s="15">
        <v>4.0</v>
      </c>
      <c r="J8" s="16">
        <f>H8*G8/60</f>
        <v>27.77777778</v>
      </c>
      <c r="K8" s="16">
        <f>J8+I8</f>
        <v>31.77777778</v>
      </c>
      <c r="L8" s="17">
        <v>225.0</v>
      </c>
      <c r="M8" s="18">
        <f>L8/60</f>
        <v>3.75</v>
      </c>
      <c r="N8" s="18">
        <f>ROUNDUP(K8*M8,1)</f>
        <v>119.2</v>
      </c>
      <c r="O8" s="199">
        <f>G39</f>
        <v>200.5208333</v>
      </c>
      <c r="P8" s="200">
        <f>IF(N8&gt;O8, N8, O8)</f>
        <v>200.5208333</v>
      </c>
      <c r="Q8" s="19" t="s">
        <v>160</v>
      </c>
      <c r="R8" s="20">
        <v>10.0</v>
      </c>
      <c r="S8" s="21">
        <f>P8*R8</f>
        <v>2005.208333</v>
      </c>
      <c r="T8" s="22">
        <v>0.0</v>
      </c>
      <c r="U8" s="23">
        <v>0.02</v>
      </c>
      <c r="V8" s="21">
        <f>S8+T8</f>
        <v>2005.208333</v>
      </c>
      <c r="W8" s="18">
        <f>ROUNDUP(V8*U8,0)</f>
        <v>41</v>
      </c>
      <c r="X8" s="21">
        <f>V8+W8</f>
        <v>2046.208333</v>
      </c>
      <c r="Y8" s="24">
        <v>225.0</v>
      </c>
      <c r="Z8" s="25">
        <f>ROUNDDOWN(Y8/N8,0)</f>
        <v>1</v>
      </c>
    </row>
    <row r="11">
      <c r="A11" s="202" t="s">
        <v>161</v>
      </c>
      <c r="B11" s="197"/>
      <c r="C11" s="197"/>
      <c r="D11" s="197"/>
      <c r="E11" s="197"/>
      <c r="F11" s="197"/>
      <c r="G11" s="197"/>
      <c r="H11" s="197"/>
      <c r="I11" s="197"/>
      <c r="J11" s="2"/>
      <c r="K11" s="2"/>
      <c r="L11" s="2"/>
      <c r="M11" s="2"/>
      <c r="N11" s="2"/>
      <c r="O11" s="32"/>
      <c r="P11" s="32"/>
      <c r="Q11" s="3"/>
      <c r="R11" s="3"/>
      <c r="S11" s="4"/>
      <c r="T11" s="4"/>
      <c r="U11" s="4"/>
      <c r="V11" s="4"/>
      <c r="W11" s="5"/>
      <c r="X11" s="4"/>
      <c r="Y11" s="4"/>
      <c r="Z11" s="4"/>
    </row>
    <row r="12">
      <c r="A12" s="7" t="s">
        <v>1</v>
      </c>
      <c r="B12" s="7" t="s">
        <v>2</v>
      </c>
      <c r="C12" s="7" t="s">
        <v>3</v>
      </c>
      <c r="D12" s="7" t="s">
        <v>4</v>
      </c>
      <c r="E12" s="7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7" t="s">
        <v>13</v>
      </c>
      <c r="N12" s="131" t="s">
        <v>155</v>
      </c>
      <c r="O12" s="198" t="s">
        <v>156</v>
      </c>
      <c r="P12" s="198" t="s">
        <v>157</v>
      </c>
      <c r="Q12" s="108"/>
      <c r="R12" s="10" t="s">
        <v>15</v>
      </c>
      <c r="S12" s="11" t="s">
        <v>16</v>
      </c>
      <c r="T12" s="11" t="s">
        <v>17</v>
      </c>
      <c r="U12" s="10" t="s">
        <v>18</v>
      </c>
      <c r="V12" s="10" t="s">
        <v>19</v>
      </c>
      <c r="W12" s="12" t="s">
        <v>20</v>
      </c>
      <c r="X12" s="10" t="s">
        <v>21</v>
      </c>
      <c r="Y12" s="11" t="s">
        <v>22</v>
      </c>
      <c r="Z12" s="13" t="s">
        <v>23</v>
      </c>
    </row>
    <row r="13">
      <c r="A13" s="14">
        <v>10.0</v>
      </c>
      <c r="B13" s="14">
        <v>10.0</v>
      </c>
      <c r="C13" s="14">
        <v>50.0</v>
      </c>
      <c r="D13" s="15" t="s">
        <v>24</v>
      </c>
      <c r="E13" s="15">
        <v>0.065</v>
      </c>
      <c r="F13" s="193">
        <f>(A13+B13)*C13</f>
        <v>1000</v>
      </c>
      <c r="G13" s="193">
        <f>(A13+B13)/E13</f>
        <v>307.6923077</v>
      </c>
      <c r="H13" s="193">
        <f>C13/10</f>
        <v>5</v>
      </c>
      <c r="I13" s="15">
        <v>4.0</v>
      </c>
      <c r="J13" s="16">
        <f>H13*G13/60</f>
        <v>25.64102564</v>
      </c>
      <c r="K13" s="16">
        <f>J13+I13</f>
        <v>29.64102564</v>
      </c>
      <c r="L13" s="17">
        <v>225.0</v>
      </c>
      <c r="M13" s="18">
        <f>L13/60</f>
        <v>3.75</v>
      </c>
      <c r="N13" s="18">
        <f>ROUNDUP(K13*M13,1)</f>
        <v>111.2</v>
      </c>
      <c r="O13" s="199">
        <f>W38</f>
        <v>176.6</v>
      </c>
      <c r="P13" s="200">
        <f>IF(N13&gt;O13, N13, O13)</f>
        <v>176.6</v>
      </c>
      <c r="Q13" s="19" t="s">
        <v>158</v>
      </c>
      <c r="R13" s="20">
        <v>8.0</v>
      </c>
      <c r="S13" s="21">
        <f>P13*R13</f>
        <v>1412.8</v>
      </c>
      <c r="T13" s="22">
        <v>0.0</v>
      </c>
      <c r="U13" s="23">
        <v>0.02</v>
      </c>
      <c r="V13" s="21">
        <f>S13+T13</f>
        <v>1412.8</v>
      </c>
      <c r="W13" s="18">
        <f>ROUNDUP(V13*U13,0)</f>
        <v>29</v>
      </c>
      <c r="X13" s="21">
        <f>V13+W13</f>
        <v>1441.8</v>
      </c>
      <c r="Y13" s="24">
        <v>225.0</v>
      </c>
      <c r="Z13" s="25">
        <f>ROUNDDOWN(Y13/N13,0)</f>
        <v>2</v>
      </c>
    </row>
    <row r="14">
      <c r="A14" s="3"/>
      <c r="B14" s="3"/>
      <c r="C14" s="3">
        <v>2.0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Q14" s="27"/>
      <c r="R14" s="3"/>
      <c r="S14" s="28"/>
      <c r="T14" s="29"/>
      <c r="U14" s="30"/>
      <c r="V14" s="28"/>
      <c r="W14" s="31"/>
      <c r="X14" s="28"/>
      <c r="Y14" s="32"/>
      <c r="Z14" s="26"/>
    </row>
    <row r="15">
      <c r="A15" s="202" t="s">
        <v>162</v>
      </c>
      <c r="B15" s="197"/>
      <c r="C15" s="197"/>
      <c r="D15" s="197"/>
      <c r="E15" s="197"/>
      <c r="F15" s="197"/>
      <c r="G15" s="197"/>
      <c r="H15" s="197"/>
      <c r="I15" s="197"/>
      <c r="J15" s="2"/>
      <c r="K15" s="2"/>
      <c r="L15" s="2"/>
      <c r="M15" s="2"/>
      <c r="N15" s="2"/>
      <c r="O15" s="32"/>
      <c r="P15" s="32"/>
      <c r="Q15" s="3"/>
      <c r="R15" s="3"/>
      <c r="S15" s="4"/>
      <c r="T15" s="4"/>
      <c r="U15" s="4"/>
      <c r="V15" s="4"/>
      <c r="W15" s="5"/>
      <c r="X15" s="4"/>
      <c r="Y15" s="4"/>
      <c r="Z15" s="4"/>
    </row>
    <row r="16">
      <c r="A16" s="7" t="s">
        <v>1</v>
      </c>
      <c r="B16" s="7" t="s">
        <v>2</v>
      </c>
      <c r="C16" s="7" t="s">
        <v>3</v>
      </c>
      <c r="D16" s="7" t="s">
        <v>4</v>
      </c>
      <c r="E16" s="7" t="s">
        <v>5</v>
      </c>
      <c r="F16" s="7" t="s">
        <v>6</v>
      </c>
      <c r="G16" s="7" t="s">
        <v>7</v>
      </c>
      <c r="H16" s="7" t="s">
        <v>8</v>
      </c>
      <c r="I16" s="7" t="s">
        <v>9</v>
      </c>
      <c r="J16" s="7" t="s">
        <v>10</v>
      </c>
      <c r="K16" s="7" t="s">
        <v>11</v>
      </c>
      <c r="L16" s="7" t="s">
        <v>12</v>
      </c>
      <c r="M16" s="7" t="s">
        <v>13</v>
      </c>
      <c r="N16" s="131" t="s">
        <v>155</v>
      </c>
      <c r="O16" s="198" t="s">
        <v>156</v>
      </c>
      <c r="P16" s="198" t="s">
        <v>157</v>
      </c>
      <c r="Q16" s="108"/>
      <c r="R16" s="10" t="s">
        <v>15</v>
      </c>
      <c r="S16" s="11" t="s">
        <v>16</v>
      </c>
      <c r="T16" s="11" t="s">
        <v>17</v>
      </c>
      <c r="U16" s="10" t="s">
        <v>18</v>
      </c>
      <c r="V16" s="10" t="s">
        <v>19</v>
      </c>
      <c r="W16" s="12" t="s">
        <v>20</v>
      </c>
      <c r="X16" s="10" t="s">
        <v>21</v>
      </c>
      <c r="Y16" s="11" t="s">
        <v>22</v>
      </c>
      <c r="Z16" s="13" t="s">
        <v>23</v>
      </c>
    </row>
    <row r="17">
      <c r="A17" s="14">
        <v>10.0</v>
      </c>
      <c r="B17" s="14">
        <v>10.0</v>
      </c>
      <c r="C17" s="14">
        <v>50.0</v>
      </c>
      <c r="D17" s="15" t="s">
        <v>24</v>
      </c>
      <c r="E17" s="15">
        <v>0.05</v>
      </c>
      <c r="F17" s="193">
        <f>(A17+B17)*C17</f>
        <v>1000</v>
      </c>
      <c r="G17" s="193">
        <f>(A17+B17)/E17</f>
        <v>400</v>
      </c>
      <c r="H17" s="193">
        <f>C17/10</f>
        <v>5</v>
      </c>
      <c r="I17" s="15">
        <v>4.0</v>
      </c>
      <c r="J17" s="16">
        <f>H17*G17/60</f>
        <v>33.33333333</v>
      </c>
      <c r="K17" s="16">
        <f>J17+I17</f>
        <v>37.33333333</v>
      </c>
      <c r="L17" s="17">
        <v>225.0</v>
      </c>
      <c r="M17" s="18">
        <f>L17/60</f>
        <v>3.75</v>
      </c>
      <c r="N17" s="18">
        <f>ROUNDUP(K17*M17,1)</f>
        <v>140</v>
      </c>
      <c r="O17" s="199">
        <f>W39</f>
        <v>220.7</v>
      </c>
      <c r="P17" s="200">
        <f>IF(N17&gt;O17, N17, O17)</f>
        <v>220.7</v>
      </c>
      <c r="Q17" s="19" t="s">
        <v>160</v>
      </c>
      <c r="R17" s="20">
        <v>2.0</v>
      </c>
      <c r="S17" s="21">
        <f>P17*R17</f>
        <v>441.4</v>
      </c>
      <c r="T17" s="22">
        <v>125.0</v>
      </c>
      <c r="U17" s="23">
        <v>0.02</v>
      </c>
      <c r="V17" s="21">
        <f>S17+T17</f>
        <v>566.4</v>
      </c>
      <c r="W17" s="18">
        <f>ROUNDUP(V17*U17,0)</f>
        <v>12</v>
      </c>
      <c r="X17" s="21">
        <f>V17+W17</f>
        <v>578.4</v>
      </c>
      <c r="Y17" s="24">
        <v>225.0</v>
      </c>
      <c r="Z17" s="25">
        <f>ROUNDDOWN(Y17/N17,0)</f>
        <v>1</v>
      </c>
    </row>
    <row r="21" ht="15.75" customHeight="1"/>
    <row r="22" ht="15.75" customHeight="1"/>
    <row r="23" ht="15.75" customHeight="1"/>
    <row r="24" ht="15.75" customHeight="1"/>
    <row r="25" ht="15.75" customHeight="1">
      <c r="A25" s="133" t="s">
        <v>28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134"/>
      <c r="S25" s="135"/>
      <c r="T25" s="136"/>
      <c r="U25" s="134"/>
      <c r="V25" s="137"/>
      <c r="W25" s="134"/>
      <c r="X25" s="84"/>
      <c r="Y25" s="138"/>
    </row>
    <row r="26" ht="15.75" customHeight="1">
      <c r="A26" s="40" t="s">
        <v>29</v>
      </c>
      <c r="B26" s="40" t="s">
        <v>3</v>
      </c>
      <c r="C26" s="7" t="s">
        <v>4</v>
      </c>
      <c r="D26" s="40" t="s">
        <v>5</v>
      </c>
      <c r="E26" s="41" t="s">
        <v>30</v>
      </c>
      <c r="F26" s="40" t="s">
        <v>31</v>
      </c>
      <c r="G26" s="40" t="s">
        <v>32</v>
      </c>
      <c r="H26" s="40" t="s">
        <v>33</v>
      </c>
      <c r="I26" s="40" t="s">
        <v>34</v>
      </c>
      <c r="J26" s="40" t="s">
        <v>35</v>
      </c>
      <c r="K26" s="7" t="s">
        <v>12</v>
      </c>
      <c r="L26" s="7" t="s">
        <v>13</v>
      </c>
      <c r="O26" s="42"/>
      <c r="P26" s="42" t="s">
        <v>36</v>
      </c>
      <c r="Q26" s="10" t="s">
        <v>15</v>
      </c>
      <c r="R26" s="43" t="s">
        <v>16</v>
      </c>
      <c r="S26" s="44" t="s">
        <v>17</v>
      </c>
      <c r="T26" s="45" t="s">
        <v>18</v>
      </c>
      <c r="U26" s="43" t="s">
        <v>19</v>
      </c>
      <c r="V26" s="46" t="s">
        <v>20</v>
      </c>
      <c r="W26" s="43" t="s">
        <v>21</v>
      </c>
      <c r="X26" s="11" t="s">
        <v>22</v>
      </c>
      <c r="Y26" s="13" t="s">
        <v>23</v>
      </c>
    </row>
    <row r="27" ht="15.75" customHeight="1">
      <c r="A27" s="14">
        <v>1.0</v>
      </c>
      <c r="B27" s="14">
        <v>19.75</v>
      </c>
      <c r="C27" s="15" t="s">
        <v>24</v>
      </c>
      <c r="D27" s="47">
        <v>0.065</v>
      </c>
      <c r="E27" s="47">
        <f>A27*3.14</f>
        <v>3.14</v>
      </c>
      <c r="F27" s="48">
        <f>E27/D27</f>
        <v>48.30769231</v>
      </c>
      <c r="G27" s="47">
        <f>B27/10</f>
        <v>1.975</v>
      </c>
      <c r="H27" s="47">
        <v>3.5</v>
      </c>
      <c r="I27" s="16">
        <f>G27*F27/60</f>
        <v>1.590128205</v>
      </c>
      <c r="J27" s="49">
        <f>I27+H27</f>
        <v>5.090128205</v>
      </c>
      <c r="K27" s="17">
        <v>225.0</v>
      </c>
      <c r="L27" s="18">
        <f>K27/60</f>
        <v>3.75</v>
      </c>
      <c r="O27" s="142"/>
      <c r="P27" s="21">
        <f>ROUNDUP(J27*L27,1)</f>
        <v>19.1</v>
      </c>
      <c r="Q27" s="20">
        <v>2.0</v>
      </c>
      <c r="R27" s="21">
        <f>P27*Q27</f>
        <v>38.2</v>
      </c>
      <c r="S27" s="22">
        <v>0.0</v>
      </c>
      <c r="T27" s="23">
        <v>0.02</v>
      </c>
      <c r="U27" s="21">
        <f>R27+S27</f>
        <v>38.2</v>
      </c>
      <c r="V27" s="18">
        <f>ROUNDUP(U27*T27,0)</f>
        <v>1</v>
      </c>
      <c r="W27" s="21">
        <f>U27+V27</f>
        <v>39.2</v>
      </c>
      <c r="X27" s="24">
        <v>225.0</v>
      </c>
      <c r="Y27" s="25">
        <f>ROUNDDOWN(X27/P27,0)</f>
        <v>11</v>
      </c>
    </row>
    <row r="28" ht="15.75" customHeight="1">
      <c r="A28" s="83"/>
      <c r="B28" s="84"/>
      <c r="C28" s="84"/>
      <c r="D28" s="84"/>
      <c r="E28" s="84"/>
      <c r="F28" s="84"/>
      <c r="G28" s="85"/>
    </row>
    <row r="29" ht="15.75" customHeight="1">
      <c r="A29" s="86"/>
      <c r="G29" s="88"/>
      <c r="Q29" s="83"/>
      <c r="R29" s="84"/>
      <c r="S29" s="84"/>
      <c r="T29" s="84"/>
      <c r="U29" s="84"/>
      <c r="V29" s="84"/>
      <c r="W29" s="85"/>
      <c r="Y29" s="54" t="s">
        <v>95</v>
      </c>
    </row>
    <row r="30" ht="15.75" customHeight="1">
      <c r="A30" s="86"/>
      <c r="G30" s="88"/>
      <c r="J30" s="83"/>
      <c r="K30" s="84"/>
      <c r="L30" s="203" t="s">
        <v>163</v>
      </c>
      <c r="M30" s="84"/>
      <c r="N30" s="84"/>
      <c r="O30" s="85"/>
      <c r="Q30" s="86"/>
      <c r="W30" s="88"/>
      <c r="Y30" s="54">
        <v>10000.0</v>
      </c>
    </row>
    <row r="31" ht="15.75" customHeight="1">
      <c r="A31" s="86" t="s">
        <v>59</v>
      </c>
      <c r="B31" s="54">
        <f>12^3</f>
        <v>1728</v>
      </c>
      <c r="C31" s="54" t="s">
        <v>60</v>
      </c>
      <c r="G31" s="88"/>
      <c r="J31" s="86"/>
      <c r="M31" s="54" t="s">
        <v>61</v>
      </c>
      <c r="N31" s="54">
        <v>62.42796</v>
      </c>
      <c r="O31" s="88"/>
      <c r="Q31" s="86" t="s">
        <v>59</v>
      </c>
      <c r="R31" s="54">
        <f>12^3</f>
        <v>1728</v>
      </c>
      <c r="S31" s="54" t="s">
        <v>60</v>
      </c>
      <c r="W31" s="88"/>
      <c r="Y31" s="54">
        <v>6000.0</v>
      </c>
    </row>
    <row r="32" ht="15.75" customHeight="1">
      <c r="A32" s="86"/>
      <c r="C32" s="54" t="s">
        <v>62</v>
      </c>
      <c r="E32" s="87">
        <v>495.0</v>
      </c>
      <c r="G32" s="88"/>
      <c r="J32" s="86" t="s">
        <v>63</v>
      </c>
      <c r="K32" s="54" t="s">
        <v>64</v>
      </c>
      <c r="L32" s="54" t="s">
        <v>65</v>
      </c>
      <c r="M32" s="54" t="s">
        <v>66</v>
      </c>
      <c r="O32" s="88"/>
      <c r="Q32" s="86"/>
      <c r="S32" s="54" t="s">
        <v>62</v>
      </c>
      <c r="U32" s="87">
        <v>305.0</v>
      </c>
      <c r="W32" s="88"/>
      <c r="Y32" s="54">
        <v>4000.0</v>
      </c>
    </row>
    <row r="33" ht="15.75" customHeight="1">
      <c r="A33" s="86"/>
      <c r="C33" s="54" t="s">
        <v>164</v>
      </c>
      <c r="E33" s="89">
        <v>0.12</v>
      </c>
      <c r="G33" s="88"/>
      <c r="J33" s="86" t="s">
        <v>69</v>
      </c>
      <c r="K33" s="54">
        <v>7075.0</v>
      </c>
      <c r="L33" s="54">
        <v>2.81</v>
      </c>
      <c r="M33" s="54">
        <f t="shared" ref="M33:M36" si="1">L33*$N$31</f>
        <v>175.4225676</v>
      </c>
      <c r="O33" s="88"/>
      <c r="Q33" s="86"/>
      <c r="S33" s="54" t="s">
        <v>164</v>
      </c>
      <c r="U33" s="89">
        <v>0.2</v>
      </c>
      <c r="W33" s="88"/>
    </row>
    <row r="34" ht="15.75" customHeight="1">
      <c r="A34" s="86"/>
      <c r="C34" s="54" t="s">
        <v>165</v>
      </c>
      <c r="E34" s="204">
        <v>0.14</v>
      </c>
      <c r="G34" s="88"/>
      <c r="J34" s="86" t="s">
        <v>69</v>
      </c>
      <c r="K34" s="54">
        <v>2219.0</v>
      </c>
      <c r="L34" s="54">
        <v>2.84</v>
      </c>
      <c r="M34" s="54">
        <f t="shared" si="1"/>
        <v>177.2954064</v>
      </c>
      <c r="O34" s="88"/>
      <c r="Q34" s="86"/>
      <c r="S34" s="54" t="s">
        <v>165</v>
      </c>
      <c r="U34" s="205">
        <v>0.25</v>
      </c>
      <c r="W34" s="88"/>
    </row>
    <row r="35" ht="15.75" customHeight="1">
      <c r="A35" s="86"/>
      <c r="G35" s="88"/>
      <c r="J35" s="86" t="s">
        <v>69</v>
      </c>
      <c r="K35" s="54">
        <v>6061.0</v>
      </c>
      <c r="L35" s="54">
        <v>2.7</v>
      </c>
      <c r="M35" s="54">
        <f t="shared" si="1"/>
        <v>168.555492</v>
      </c>
      <c r="O35" s="88"/>
      <c r="Q35" s="86"/>
      <c r="W35" s="88"/>
    </row>
    <row r="36" ht="15.75" customHeight="1">
      <c r="A36" s="86"/>
      <c r="G36" s="88"/>
      <c r="J36" s="86" t="s">
        <v>69</v>
      </c>
      <c r="K36" s="54">
        <v>7050.0</v>
      </c>
      <c r="L36" s="54">
        <v>2.83</v>
      </c>
      <c r="M36" s="54">
        <f t="shared" si="1"/>
        <v>176.6711268</v>
      </c>
      <c r="O36" s="88"/>
      <c r="Q36" s="86"/>
      <c r="W36" s="88"/>
    </row>
    <row r="37" ht="15.75" customHeight="1">
      <c r="A37" s="90" t="s">
        <v>70</v>
      </c>
      <c r="B37" s="91" t="s">
        <v>166</v>
      </c>
      <c r="C37" s="91" t="s">
        <v>72</v>
      </c>
      <c r="D37" s="91" t="s">
        <v>73</v>
      </c>
      <c r="E37" s="91" t="s">
        <v>74</v>
      </c>
      <c r="F37" s="91" t="s">
        <v>75</v>
      </c>
      <c r="G37" s="92" t="s">
        <v>76</v>
      </c>
      <c r="H37" s="91"/>
      <c r="I37" s="91"/>
      <c r="J37" s="90" t="s">
        <v>77</v>
      </c>
      <c r="K37" s="91"/>
      <c r="L37" s="91"/>
      <c r="M37" s="91">
        <v>494.21</v>
      </c>
      <c r="N37" s="91" t="s">
        <v>78</v>
      </c>
      <c r="O37" s="92"/>
      <c r="P37" s="91"/>
      <c r="Q37" s="90" t="s">
        <v>70</v>
      </c>
      <c r="R37" s="91" t="s">
        <v>166</v>
      </c>
      <c r="S37" s="91" t="s">
        <v>72</v>
      </c>
      <c r="T37" s="91" t="s">
        <v>73</v>
      </c>
      <c r="U37" s="91" t="s">
        <v>74</v>
      </c>
      <c r="V37" s="91" t="s">
        <v>75</v>
      </c>
      <c r="W37" s="92" t="s">
        <v>76</v>
      </c>
    </row>
    <row r="38" ht="15.75" customHeight="1">
      <c r="A38" s="93">
        <f t="shared" ref="A38:C38" si="2">A4</f>
        <v>10</v>
      </c>
      <c r="B38" s="50">
        <f t="shared" si="2"/>
        <v>10</v>
      </c>
      <c r="C38" s="50">
        <f t="shared" si="2"/>
        <v>50</v>
      </c>
      <c r="D38" s="54">
        <f t="shared" ref="D38:D42" si="5">A38*B38*C38</f>
        <v>5000</v>
      </c>
      <c r="E38" s="54">
        <f t="shared" ref="E38:E42" si="6">D38/$B$31</f>
        <v>2.893518519</v>
      </c>
      <c r="F38" s="54">
        <f t="shared" ref="F38:F42" si="7">E38*$E$32</f>
        <v>1432.291667</v>
      </c>
      <c r="G38" s="94">
        <f>F38*$E$33</f>
        <v>171.875</v>
      </c>
      <c r="J38" s="86" t="s">
        <v>79</v>
      </c>
      <c r="M38" s="54">
        <v>283.39</v>
      </c>
      <c r="N38" s="54" t="s">
        <v>80</v>
      </c>
      <c r="O38" s="88"/>
      <c r="Q38" s="93">
        <f t="shared" ref="Q38:S38" si="3">A13</f>
        <v>10</v>
      </c>
      <c r="R38" s="50">
        <f t="shared" si="3"/>
        <v>10</v>
      </c>
      <c r="S38" s="50">
        <f t="shared" si="3"/>
        <v>50</v>
      </c>
      <c r="T38" s="54">
        <f t="shared" ref="T38:T42" si="9">Q38*R38*S38</f>
        <v>5000</v>
      </c>
      <c r="U38" s="54">
        <f t="shared" ref="U38:U42" si="10">T38/$B$31</f>
        <v>2.893518519</v>
      </c>
      <c r="V38" s="54">
        <f t="shared" ref="V38:V39" si="11">U38*$U$32</f>
        <v>882.5231481</v>
      </c>
      <c r="W38" s="94">
        <f>ROUNDUP(V38*$U$33,1)</f>
        <v>176.6</v>
      </c>
    </row>
    <row r="39" ht="15.75" customHeight="1">
      <c r="A39" s="95">
        <f>+A8</f>
        <v>10</v>
      </c>
      <c r="B39" s="96">
        <f t="shared" ref="B39:C39" si="4">B8</f>
        <v>10</v>
      </c>
      <c r="C39" s="96">
        <f t="shared" si="4"/>
        <v>50</v>
      </c>
      <c r="D39" s="54">
        <f t="shared" si="5"/>
        <v>5000</v>
      </c>
      <c r="E39" s="54">
        <f t="shared" si="6"/>
        <v>2.893518519</v>
      </c>
      <c r="F39" s="54">
        <f t="shared" si="7"/>
        <v>1432.291667</v>
      </c>
      <c r="G39" s="97">
        <f>F39*$E$34</f>
        <v>200.5208333</v>
      </c>
      <c r="J39" s="86" t="s">
        <v>81</v>
      </c>
      <c r="M39" s="54">
        <v>490.0</v>
      </c>
      <c r="O39" s="88"/>
      <c r="Q39" s="95">
        <f t="shared" ref="Q39:S39" si="8">A17</f>
        <v>10</v>
      </c>
      <c r="R39" s="96">
        <f t="shared" si="8"/>
        <v>10</v>
      </c>
      <c r="S39" s="96">
        <f t="shared" si="8"/>
        <v>50</v>
      </c>
      <c r="T39" s="54">
        <f t="shared" si="9"/>
        <v>5000</v>
      </c>
      <c r="U39" s="54">
        <f t="shared" si="10"/>
        <v>2.893518519</v>
      </c>
      <c r="V39" s="54">
        <f t="shared" si="11"/>
        <v>882.5231481</v>
      </c>
      <c r="W39" s="97">
        <f>ROUNDUP(V39*$U$34,1)</f>
        <v>220.7</v>
      </c>
    </row>
    <row r="40" ht="15.75" customHeight="1">
      <c r="A40" s="98">
        <v>5.625</v>
      </c>
      <c r="B40" s="99">
        <v>5.75</v>
      </c>
      <c r="C40" s="99">
        <v>9.0</v>
      </c>
      <c r="D40" s="54">
        <f t="shared" si="5"/>
        <v>291.09375</v>
      </c>
      <c r="E40" s="54">
        <f t="shared" si="6"/>
        <v>0.1684570313</v>
      </c>
      <c r="F40" s="54">
        <f t="shared" si="7"/>
        <v>83.38623047</v>
      </c>
      <c r="G40" s="100">
        <f t="shared" ref="G40:G42" si="12">F40*$E$33</f>
        <v>10.00634766</v>
      </c>
      <c r="J40" s="86" t="s">
        <v>82</v>
      </c>
      <c r="M40" s="54">
        <v>1204.41</v>
      </c>
      <c r="O40" s="88"/>
      <c r="Q40" s="98">
        <v>5.625</v>
      </c>
      <c r="R40" s="99">
        <v>5.75</v>
      </c>
      <c r="S40" s="99">
        <v>9.0</v>
      </c>
      <c r="T40" s="54">
        <f t="shared" si="9"/>
        <v>291.09375</v>
      </c>
      <c r="U40" s="54">
        <f t="shared" si="10"/>
        <v>0.1684570313</v>
      </c>
      <c r="V40" s="54">
        <f t="shared" ref="V40:V42" si="13">U40*$E$32</f>
        <v>83.38623047</v>
      </c>
      <c r="W40" s="100">
        <f t="shared" ref="W40:W42" si="14">V40*$E$33</f>
        <v>10.00634766</v>
      </c>
    </row>
    <row r="41" ht="15.75" customHeight="1">
      <c r="A41" s="101">
        <v>11.75</v>
      </c>
      <c r="B41" s="102">
        <v>5.75</v>
      </c>
      <c r="C41" s="102">
        <v>55.875</v>
      </c>
      <c r="D41" s="54">
        <f t="shared" si="5"/>
        <v>3775.054688</v>
      </c>
      <c r="E41" s="54">
        <f t="shared" si="6"/>
        <v>2.184638129</v>
      </c>
      <c r="F41" s="54">
        <f t="shared" si="7"/>
        <v>1081.395874</v>
      </c>
      <c r="G41" s="103">
        <f t="shared" si="12"/>
        <v>129.7675049</v>
      </c>
      <c r="J41" s="86" t="s">
        <v>83</v>
      </c>
      <c r="M41" s="54">
        <v>568.5</v>
      </c>
      <c r="O41" s="88"/>
      <c r="Q41" s="101">
        <v>11.75</v>
      </c>
      <c r="R41" s="102">
        <v>5.75</v>
      </c>
      <c r="S41" s="102">
        <v>55.875</v>
      </c>
      <c r="T41" s="54">
        <f t="shared" si="9"/>
        <v>3775.054688</v>
      </c>
      <c r="U41" s="54">
        <f t="shared" si="10"/>
        <v>2.184638129</v>
      </c>
      <c r="V41" s="54">
        <f t="shared" si="13"/>
        <v>1081.395874</v>
      </c>
      <c r="W41" s="103">
        <f t="shared" si="14"/>
        <v>129.7675049</v>
      </c>
    </row>
    <row r="42" ht="15.75" customHeight="1">
      <c r="A42" s="104">
        <v>10.0</v>
      </c>
      <c r="B42" s="105">
        <v>10.0</v>
      </c>
      <c r="C42" s="105">
        <v>10.0</v>
      </c>
      <c r="D42" s="106">
        <f t="shared" si="5"/>
        <v>1000</v>
      </c>
      <c r="E42" s="106">
        <f t="shared" si="6"/>
        <v>0.5787037037</v>
      </c>
      <c r="F42" s="106">
        <f t="shared" si="7"/>
        <v>286.4583333</v>
      </c>
      <c r="G42" s="107">
        <f t="shared" si="12"/>
        <v>34.375</v>
      </c>
      <c r="J42" s="167"/>
      <c r="K42" s="106"/>
      <c r="L42" s="106"/>
      <c r="M42" s="106"/>
      <c r="N42" s="106"/>
      <c r="O42" s="169"/>
      <c r="Q42" s="104">
        <v>10.0</v>
      </c>
      <c r="R42" s="105">
        <v>10.0</v>
      </c>
      <c r="S42" s="105">
        <v>10.0</v>
      </c>
      <c r="T42" s="106">
        <f t="shared" si="9"/>
        <v>1000</v>
      </c>
      <c r="U42" s="106">
        <f t="shared" si="10"/>
        <v>0.5787037037</v>
      </c>
      <c r="V42" s="106">
        <f t="shared" si="13"/>
        <v>286.4583333</v>
      </c>
      <c r="W42" s="107">
        <f t="shared" si="14"/>
        <v>34.375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4">
    <cfRule type="expression" dxfId="3" priority="1">
      <formula>$F$38&gt;$Y$30</formula>
    </cfRule>
  </conditionalFormatting>
  <conditionalFormatting sqref="P8">
    <cfRule type="expression" dxfId="3" priority="2">
      <formula>$F$39&gt;$Y$30</formula>
    </cfRule>
  </conditionalFormatting>
  <conditionalFormatting sqref="P13">
    <cfRule type="expression" dxfId="3" priority="3">
      <formula>$V$38&gt;$Y$30</formula>
    </cfRule>
  </conditionalFormatting>
  <conditionalFormatting sqref="P13">
    <cfRule type="expression" dxfId="2" priority="4">
      <formula>$V$38&gt;$Y$30</formula>
    </cfRule>
  </conditionalFormatting>
  <conditionalFormatting sqref="P17">
    <cfRule type="expression" dxfId="3" priority="5">
      <formula>$V$39&gt;$Y$30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22.14"/>
    <col customWidth="1" min="5" max="5" width="8.71"/>
    <col customWidth="1" min="6" max="6" width="9.14"/>
    <col customWidth="1" min="7" max="7" width="10.86"/>
    <col customWidth="1" min="8" max="8" width="9.14"/>
    <col customWidth="1" min="9" max="9" width="8.71"/>
    <col customWidth="1" hidden="1" min="10" max="11" width="9.14"/>
    <col customWidth="1" hidden="1" min="12" max="12" width="8.71"/>
    <col customWidth="1" hidden="1" min="13" max="13" width="9.14"/>
    <col customWidth="1" min="14" max="14" width="12.14"/>
    <col customWidth="1" min="15" max="15" width="11.43"/>
    <col customWidth="1" min="16" max="16" width="14.29"/>
    <col customWidth="1" min="17" max="18" width="8.71"/>
    <col customWidth="1" hidden="1" min="19" max="19" width="11.29"/>
    <col customWidth="1" min="20" max="20" width="14.14"/>
    <col customWidth="1" min="21" max="21" width="8.71"/>
    <col customWidth="1" hidden="1" min="22" max="22" width="8.71"/>
    <col customWidth="1" min="23" max="23" width="11.43"/>
    <col customWidth="1" min="24" max="24" width="10.86"/>
    <col customWidth="1" min="25" max="25" width="11.86"/>
    <col customWidth="1" min="26" max="27" width="8.71"/>
  </cols>
  <sheetData>
    <row r="1">
      <c r="A1" s="196" t="s">
        <v>154</v>
      </c>
      <c r="B1" s="197"/>
      <c r="C1" s="197"/>
      <c r="D1" s="197"/>
      <c r="E1" s="197"/>
      <c r="F1" s="197"/>
      <c r="G1" s="197"/>
      <c r="H1" s="197"/>
      <c r="I1" s="197"/>
      <c r="J1" s="2"/>
      <c r="K1" s="2"/>
      <c r="L1" s="2"/>
      <c r="M1" s="2"/>
      <c r="N1" s="2"/>
      <c r="O1" s="32"/>
      <c r="P1" s="32"/>
      <c r="Q1" s="3"/>
      <c r="R1" s="3"/>
      <c r="S1" s="3"/>
      <c r="T1" s="4"/>
      <c r="U1" s="4"/>
      <c r="V1" s="4"/>
      <c r="W1" s="4"/>
      <c r="X1" s="5"/>
      <c r="Y1" s="4"/>
      <c r="Z1" s="4"/>
      <c r="AA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131" t="s">
        <v>155</v>
      </c>
      <c r="O2" s="131" t="s">
        <v>156</v>
      </c>
      <c r="P2" s="198" t="s">
        <v>157</v>
      </c>
      <c r="Q2" s="108"/>
      <c r="R2" s="10" t="s">
        <v>15</v>
      </c>
      <c r="S2" s="13" t="s">
        <v>140</v>
      </c>
      <c r="T2" s="11" t="s">
        <v>16</v>
      </c>
      <c r="U2" s="11" t="s">
        <v>17</v>
      </c>
      <c r="V2" s="10" t="s">
        <v>18</v>
      </c>
      <c r="W2" s="10" t="s">
        <v>19</v>
      </c>
      <c r="X2" s="12" t="s">
        <v>20</v>
      </c>
      <c r="Y2" s="10" t="s">
        <v>21</v>
      </c>
      <c r="Z2" s="11" t="s">
        <v>22</v>
      </c>
      <c r="AA2" s="13" t="s">
        <v>23</v>
      </c>
    </row>
    <row r="3">
      <c r="A3" s="14">
        <v>1.0</v>
      </c>
      <c r="B3" s="14">
        <v>36.0</v>
      </c>
      <c r="C3" s="14">
        <v>48.0</v>
      </c>
      <c r="D3" s="15" t="s">
        <v>24</v>
      </c>
      <c r="E3" s="15">
        <v>0.075</v>
      </c>
      <c r="F3" s="193">
        <f>(A3+B3)*C3</f>
        <v>1776</v>
      </c>
      <c r="G3" s="193">
        <f>(A3+B3)/E3</f>
        <v>493.3333333</v>
      </c>
      <c r="H3" s="193">
        <f>C3/10</f>
        <v>4.8</v>
      </c>
      <c r="I3" s="15">
        <v>5.0</v>
      </c>
      <c r="J3" s="16">
        <f>H3*G3/60</f>
        <v>39.46666667</v>
      </c>
      <c r="K3" s="16">
        <f>J3+I3</f>
        <v>44.46666667</v>
      </c>
      <c r="L3" s="17">
        <v>225.0</v>
      </c>
      <c r="M3" s="18">
        <f>L3/60</f>
        <v>3.75</v>
      </c>
      <c r="N3" s="18">
        <f>ROUNDUP(K3*M3,1)</f>
        <v>166.8</v>
      </c>
      <c r="O3" s="206">
        <f>ROUNDUP(G37, 1)</f>
        <v>51.5</v>
      </c>
      <c r="P3" s="200">
        <f>IF(N3&gt;O3, N3, O3)</f>
        <v>166.8</v>
      </c>
      <c r="Q3" s="19" t="s">
        <v>158</v>
      </c>
      <c r="R3" s="20">
        <v>2.0</v>
      </c>
      <c r="S3" s="207">
        <f>P3*R3</f>
        <v>333.6</v>
      </c>
      <c r="T3" s="21">
        <f>IF(S3&gt;Z3, S3, Z3)</f>
        <v>333.6</v>
      </c>
      <c r="U3" s="22">
        <v>125.0</v>
      </c>
      <c r="V3" s="23">
        <v>0.02</v>
      </c>
      <c r="W3" s="21">
        <f>T3+U3</f>
        <v>458.6</v>
      </c>
      <c r="X3" s="18">
        <f>ROUNDUP(W3*V3,0)</f>
        <v>10</v>
      </c>
      <c r="Y3" s="21">
        <f>W3+X3</f>
        <v>468.6</v>
      </c>
      <c r="Z3" s="24">
        <v>225.0</v>
      </c>
      <c r="AA3" s="25">
        <f>ROUNDDOWN(Z3/N3,0)</f>
        <v>1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27"/>
      <c r="R4" s="3"/>
      <c r="S4" s="3"/>
      <c r="T4" s="28"/>
      <c r="U4" s="29"/>
      <c r="V4" s="30"/>
      <c r="W4" s="28"/>
      <c r="X4" s="31"/>
      <c r="Y4" s="28"/>
      <c r="Z4" s="32"/>
      <c r="AA4" s="26"/>
    </row>
    <row r="5">
      <c r="A5" s="196" t="s">
        <v>159</v>
      </c>
      <c r="B5" s="197"/>
      <c r="C5" s="201"/>
      <c r="D5" s="197"/>
      <c r="E5" s="197"/>
      <c r="F5" s="197"/>
      <c r="G5" s="197"/>
      <c r="H5" s="197"/>
      <c r="I5" s="197"/>
      <c r="J5" s="2"/>
      <c r="K5" s="2"/>
      <c r="L5" s="2"/>
      <c r="M5" s="2"/>
      <c r="N5" s="2"/>
      <c r="O5" s="32"/>
      <c r="P5" s="32"/>
      <c r="Q5" s="3"/>
      <c r="R5" s="3"/>
      <c r="S5" s="3"/>
      <c r="T5" s="4"/>
      <c r="U5" s="4"/>
      <c r="V5" s="4"/>
      <c r="W5" s="4"/>
      <c r="X5" s="5"/>
      <c r="Y5" s="4"/>
      <c r="Z5" s="4"/>
      <c r="AA5" s="4"/>
    </row>
    <row r="6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131" t="s">
        <v>155</v>
      </c>
      <c r="O6" s="131" t="s">
        <v>156</v>
      </c>
      <c r="P6" s="198" t="s">
        <v>157</v>
      </c>
      <c r="Q6" s="108"/>
      <c r="R6" s="10" t="s">
        <v>15</v>
      </c>
      <c r="S6" s="10" t="s">
        <v>140</v>
      </c>
      <c r="T6" s="11" t="s">
        <v>16</v>
      </c>
      <c r="U6" s="11" t="s">
        <v>17</v>
      </c>
      <c r="V6" s="10" t="s">
        <v>18</v>
      </c>
      <c r="W6" s="10" t="s">
        <v>19</v>
      </c>
      <c r="X6" s="12" t="s">
        <v>20</v>
      </c>
      <c r="Y6" s="10" t="s">
        <v>21</v>
      </c>
      <c r="Z6" s="11" t="s">
        <v>22</v>
      </c>
      <c r="AA6" s="13" t="s">
        <v>23</v>
      </c>
    </row>
    <row r="7">
      <c r="A7" s="14">
        <v>3.0</v>
      </c>
      <c r="B7" s="14">
        <v>37.0</v>
      </c>
      <c r="C7" s="14">
        <v>120.0</v>
      </c>
      <c r="D7" s="15" t="s">
        <v>24</v>
      </c>
      <c r="E7" s="15">
        <v>0.055</v>
      </c>
      <c r="F7" s="193">
        <f>(A7+B7)*C7</f>
        <v>4800</v>
      </c>
      <c r="G7" s="193">
        <f>(A7+B7)/E7</f>
        <v>727.2727273</v>
      </c>
      <c r="H7" s="193">
        <f>C7/10</f>
        <v>12</v>
      </c>
      <c r="I7" s="15">
        <v>5.0</v>
      </c>
      <c r="J7" s="16">
        <f>H7*G7/60</f>
        <v>145.4545455</v>
      </c>
      <c r="K7" s="16">
        <f>J7+I7</f>
        <v>150.4545455</v>
      </c>
      <c r="L7" s="17">
        <v>225.0</v>
      </c>
      <c r="M7" s="18">
        <f>L7/60</f>
        <v>3.75</v>
      </c>
      <c r="N7" s="18">
        <f>ROUNDUP(K7*M7,1)</f>
        <v>564.3</v>
      </c>
      <c r="O7" s="206">
        <f>ROUNDUP(G38, 1)</f>
        <v>476.4</v>
      </c>
      <c r="P7" s="200">
        <f>IF(N7&gt;O7, N7, O7)</f>
        <v>564.3</v>
      </c>
      <c r="Q7" s="19" t="s">
        <v>160</v>
      </c>
      <c r="R7" s="20">
        <v>12.0</v>
      </c>
      <c r="S7" s="207">
        <f>P7*R7</f>
        <v>6771.6</v>
      </c>
      <c r="T7" s="21">
        <f>IF(S7&gt;Z7, S7, Z7)</f>
        <v>6771.6</v>
      </c>
      <c r="U7" s="22">
        <v>125.0</v>
      </c>
      <c r="V7" s="23">
        <v>0.02</v>
      </c>
      <c r="W7" s="21">
        <f>T7+U7</f>
        <v>6896.6</v>
      </c>
      <c r="X7" s="18">
        <f>ROUNDUP(W7*V7,0)</f>
        <v>138</v>
      </c>
      <c r="Y7" s="21">
        <f>W7+X7</f>
        <v>7034.6</v>
      </c>
      <c r="Z7" s="24">
        <v>225.0</v>
      </c>
      <c r="AA7" s="25">
        <f>ROUNDDOWN(Z7/N7,0)</f>
        <v>0</v>
      </c>
    </row>
    <row r="10">
      <c r="A10" s="208" t="s">
        <v>167</v>
      </c>
      <c r="B10" s="197"/>
      <c r="C10" s="197"/>
      <c r="D10" s="197"/>
      <c r="E10" s="197"/>
      <c r="F10" s="197"/>
      <c r="G10" s="197"/>
      <c r="H10" s="197"/>
      <c r="I10" s="2"/>
      <c r="J10" s="2"/>
      <c r="K10" s="2"/>
      <c r="L10" s="2"/>
      <c r="M10" s="2"/>
      <c r="N10" s="2"/>
      <c r="O10" s="32"/>
      <c r="P10" s="32"/>
      <c r="Q10" s="3"/>
      <c r="R10" s="3"/>
      <c r="S10" s="3"/>
      <c r="T10" s="4"/>
      <c r="U10" s="4"/>
      <c r="V10" s="4"/>
      <c r="W10" s="4"/>
      <c r="X10" s="5"/>
      <c r="Y10" s="4"/>
      <c r="Z10" s="4"/>
      <c r="AA10" s="4"/>
    </row>
    <row r="11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131" t="s">
        <v>155</v>
      </c>
      <c r="O11" s="131" t="s">
        <v>156</v>
      </c>
      <c r="P11" s="198" t="s">
        <v>157</v>
      </c>
      <c r="Q11" s="108"/>
      <c r="R11" s="10" t="s">
        <v>15</v>
      </c>
      <c r="S11" s="10" t="s">
        <v>140</v>
      </c>
      <c r="T11" s="11" t="s">
        <v>16</v>
      </c>
      <c r="U11" s="11" t="s">
        <v>17</v>
      </c>
      <c r="V11" s="10" t="s">
        <v>18</v>
      </c>
      <c r="W11" s="10" t="s">
        <v>19</v>
      </c>
      <c r="X11" s="12" t="s">
        <v>20</v>
      </c>
      <c r="Y11" s="10" t="s">
        <v>21</v>
      </c>
      <c r="Z11" s="11" t="s">
        <v>22</v>
      </c>
      <c r="AA11" s="13" t="s">
        <v>23</v>
      </c>
    </row>
    <row r="12">
      <c r="A12" s="14">
        <v>2.5</v>
      </c>
      <c r="B12" s="14">
        <v>60.0</v>
      </c>
      <c r="C12" s="14">
        <v>108.0</v>
      </c>
      <c r="D12" s="15" t="s">
        <v>24</v>
      </c>
      <c r="E12" s="15">
        <v>0.075</v>
      </c>
      <c r="F12" s="193">
        <f>(A12+B12)*C12</f>
        <v>6750</v>
      </c>
      <c r="G12" s="193">
        <f>(A12+B12)/E12</f>
        <v>833.3333333</v>
      </c>
      <c r="H12" s="193">
        <f>C12/10</f>
        <v>10.8</v>
      </c>
      <c r="I12" s="15">
        <v>6.0</v>
      </c>
      <c r="J12" s="16">
        <f>H12*G12/60</f>
        <v>150</v>
      </c>
      <c r="K12" s="16">
        <f>J12+I12</f>
        <v>156</v>
      </c>
      <c r="L12" s="17">
        <v>225.0</v>
      </c>
      <c r="M12" s="18">
        <f>L12/60</f>
        <v>3.75</v>
      </c>
      <c r="N12" s="18">
        <f>ROUNDUP(K12*M12,1)</f>
        <v>585</v>
      </c>
      <c r="O12" s="206">
        <f>ROUNDUP(X37, 1)</f>
        <v>532.5</v>
      </c>
      <c r="P12" s="200">
        <f>IF(N12&gt;O12, N12, O12)</f>
        <v>585</v>
      </c>
      <c r="Q12" s="19" t="s">
        <v>158</v>
      </c>
      <c r="R12" s="20">
        <v>1.0</v>
      </c>
      <c r="S12" s="207">
        <f>P12*R12</f>
        <v>585</v>
      </c>
      <c r="T12" s="21">
        <f>IF(S12&gt;Z12, S12, Z12)</f>
        <v>585</v>
      </c>
      <c r="U12" s="22">
        <v>0.0</v>
      </c>
      <c r="V12" s="23">
        <v>0.02</v>
      </c>
      <c r="W12" s="21">
        <f>T12+U12</f>
        <v>585</v>
      </c>
      <c r="X12" s="18">
        <f>ROUNDUP(W12*V12,0)</f>
        <v>12</v>
      </c>
      <c r="Y12" s="21">
        <f>W12+X12</f>
        <v>597</v>
      </c>
      <c r="Z12" s="24">
        <v>225.0</v>
      </c>
      <c r="AA12" s="25">
        <f>ROUNDDOWN(Z12/N12,0)</f>
        <v>0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Q13" s="27"/>
      <c r="R13" s="3"/>
      <c r="S13" s="3"/>
      <c r="T13" s="28"/>
      <c r="U13" s="29"/>
      <c r="V13" s="30"/>
      <c r="W13" s="28"/>
      <c r="X13" s="31"/>
      <c r="Y13" s="28"/>
      <c r="Z13" s="32"/>
      <c r="AA13" s="26"/>
    </row>
    <row r="14">
      <c r="A14" s="208" t="s">
        <v>168</v>
      </c>
      <c r="B14" s="197"/>
      <c r="C14" s="197"/>
      <c r="D14" s="197"/>
      <c r="E14" s="197"/>
      <c r="F14" s="197"/>
      <c r="G14" s="197"/>
      <c r="H14" s="197"/>
      <c r="I14" s="2"/>
      <c r="J14" s="2"/>
      <c r="K14" s="2"/>
      <c r="L14" s="2"/>
      <c r="M14" s="2"/>
      <c r="N14" s="2"/>
      <c r="O14" s="32"/>
      <c r="P14" s="32"/>
      <c r="Q14" s="3"/>
      <c r="R14" s="3"/>
      <c r="S14" s="3"/>
      <c r="T14" s="4"/>
      <c r="U14" s="4"/>
      <c r="V14" s="4"/>
      <c r="W14" s="4"/>
      <c r="X14" s="5"/>
      <c r="Y14" s="4"/>
      <c r="Z14" s="4"/>
      <c r="AA14" s="4"/>
    </row>
    <row r="15">
      <c r="A15" s="7" t="s">
        <v>1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131" t="s">
        <v>155</v>
      </c>
      <c r="O15" s="131" t="s">
        <v>156</v>
      </c>
      <c r="P15" s="198" t="s">
        <v>157</v>
      </c>
      <c r="Q15" s="108"/>
      <c r="R15" s="10" t="s">
        <v>15</v>
      </c>
      <c r="S15" s="10" t="s">
        <v>140</v>
      </c>
      <c r="T15" s="11" t="s">
        <v>16</v>
      </c>
      <c r="U15" s="11" t="s">
        <v>17</v>
      </c>
      <c r="V15" s="10" t="s">
        <v>18</v>
      </c>
      <c r="W15" s="10" t="s">
        <v>19</v>
      </c>
      <c r="X15" s="12" t="s">
        <v>20</v>
      </c>
      <c r="Y15" s="10" t="s">
        <v>21</v>
      </c>
      <c r="Z15" s="11" t="s">
        <v>22</v>
      </c>
      <c r="AA15" s="13" t="s">
        <v>23</v>
      </c>
    </row>
    <row r="16">
      <c r="A16" s="14">
        <v>1.5</v>
      </c>
      <c r="B16" s="14">
        <v>16.0</v>
      </c>
      <c r="C16" s="14">
        <v>48.0</v>
      </c>
      <c r="D16" s="15" t="s">
        <v>24</v>
      </c>
      <c r="E16" s="15">
        <v>0.055</v>
      </c>
      <c r="F16" s="193">
        <f>(A16+B16)*C16</f>
        <v>840</v>
      </c>
      <c r="G16" s="193">
        <f>(A16+B16)/E16</f>
        <v>318.1818182</v>
      </c>
      <c r="H16" s="193">
        <f>C16/10</f>
        <v>4.8</v>
      </c>
      <c r="I16" s="15">
        <v>4.0</v>
      </c>
      <c r="J16" s="16">
        <f>H16*G16/60</f>
        <v>25.45454545</v>
      </c>
      <c r="K16" s="16">
        <f>J16+I16</f>
        <v>29.45454545</v>
      </c>
      <c r="L16" s="17">
        <v>225.0</v>
      </c>
      <c r="M16" s="18">
        <f>L16/60</f>
        <v>3.75</v>
      </c>
      <c r="N16" s="18">
        <f>ROUNDUP(K16*M16,1)</f>
        <v>110.5</v>
      </c>
      <c r="O16" s="206">
        <f>ROUNDUP(X38, 1)</f>
        <v>45.5</v>
      </c>
      <c r="P16" s="200">
        <f>IF(N16&gt;O16, N16, O16)</f>
        <v>110.5</v>
      </c>
      <c r="Q16" s="19" t="s">
        <v>160</v>
      </c>
      <c r="R16" s="20">
        <v>1.0</v>
      </c>
      <c r="S16" s="207">
        <f>P16*R16</f>
        <v>110.5</v>
      </c>
      <c r="T16" s="21">
        <f>IF(S16&gt;Z16, S16, Z16)</f>
        <v>225</v>
      </c>
      <c r="U16" s="22">
        <v>125.0</v>
      </c>
      <c r="V16" s="23">
        <v>0.02</v>
      </c>
      <c r="W16" s="21">
        <f>T16+U16</f>
        <v>350</v>
      </c>
      <c r="X16" s="18">
        <f>ROUNDUP(W16*V16,0)</f>
        <v>7</v>
      </c>
      <c r="Y16" s="21">
        <f>W16+X16</f>
        <v>357</v>
      </c>
      <c r="Z16" s="24">
        <v>225.0</v>
      </c>
      <c r="AA16" s="25">
        <f>ROUNDDOWN(Z16/N16,0)</f>
        <v>2</v>
      </c>
    </row>
    <row r="21" ht="15.75" customHeight="1"/>
    <row r="22" ht="15.75" customHeight="1"/>
    <row r="23" ht="15.75" customHeight="1"/>
    <row r="24" ht="15.75" customHeight="1">
      <c r="A24" s="133" t="s">
        <v>28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134"/>
      <c r="S24" s="134"/>
      <c r="T24" s="135"/>
      <c r="U24" s="136"/>
      <c r="V24" s="134"/>
      <c r="W24" s="137"/>
      <c r="X24" s="134"/>
      <c r="Y24" s="84"/>
      <c r="Z24" s="138"/>
    </row>
    <row r="25" ht="15.75" customHeight="1">
      <c r="A25" s="40" t="s">
        <v>29</v>
      </c>
      <c r="B25" s="40" t="s">
        <v>3</v>
      </c>
      <c r="C25" s="7" t="s">
        <v>4</v>
      </c>
      <c r="D25" s="40" t="s">
        <v>5</v>
      </c>
      <c r="E25" s="41" t="s">
        <v>30</v>
      </c>
      <c r="F25" s="40" t="s">
        <v>31</v>
      </c>
      <c r="G25" s="40" t="s">
        <v>32</v>
      </c>
      <c r="H25" s="40" t="s">
        <v>33</v>
      </c>
      <c r="I25" s="40" t="s">
        <v>34</v>
      </c>
      <c r="J25" s="40" t="s">
        <v>35</v>
      </c>
      <c r="K25" s="7" t="s">
        <v>12</v>
      </c>
      <c r="L25" s="7" t="s">
        <v>13</v>
      </c>
      <c r="M25" s="42" t="s">
        <v>36</v>
      </c>
      <c r="N25" s="42"/>
      <c r="O25" s="42"/>
      <c r="P25" s="11"/>
      <c r="Q25" s="10" t="s">
        <v>15</v>
      </c>
      <c r="R25" s="43" t="s">
        <v>16</v>
      </c>
      <c r="S25" s="43"/>
      <c r="T25" s="44" t="s">
        <v>17</v>
      </c>
      <c r="U25" s="45" t="s">
        <v>18</v>
      </c>
      <c r="V25" s="43" t="s">
        <v>19</v>
      </c>
      <c r="W25" s="46" t="s">
        <v>20</v>
      </c>
      <c r="X25" s="43" t="s">
        <v>21</v>
      </c>
      <c r="Y25" s="11" t="s">
        <v>22</v>
      </c>
      <c r="Z25" s="13" t="s">
        <v>23</v>
      </c>
    </row>
    <row r="26" ht="15.75" customHeight="1">
      <c r="A26" s="14">
        <v>2.875</v>
      </c>
      <c r="B26" s="14">
        <v>19.8</v>
      </c>
      <c r="C26" s="15" t="s">
        <v>24</v>
      </c>
      <c r="D26" s="47">
        <v>0.065</v>
      </c>
      <c r="E26" s="47">
        <f>A26*3.14</f>
        <v>9.0275</v>
      </c>
      <c r="F26" s="48">
        <f>E26/D26</f>
        <v>138.8846154</v>
      </c>
      <c r="G26" s="47">
        <f>B26/10</f>
        <v>1.98</v>
      </c>
      <c r="H26" s="47">
        <v>3.0</v>
      </c>
      <c r="I26" s="16">
        <f>G26*F26/60</f>
        <v>4.583192308</v>
      </c>
      <c r="J26" s="49">
        <f>I26+H26</f>
        <v>7.583192308</v>
      </c>
      <c r="K26" s="17">
        <v>225.0</v>
      </c>
      <c r="L26" s="18">
        <f>K26/60</f>
        <v>3.75</v>
      </c>
      <c r="M26" s="21">
        <f>ROUNDUP(J26*L26,1)</f>
        <v>28.5</v>
      </c>
      <c r="N26" s="142"/>
      <c r="O26" s="142"/>
      <c r="P26" s="106" t="s">
        <v>169</v>
      </c>
      <c r="Q26" s="20">
        <v>12.0</v>
      </c>
      <c r="R26" s="21">
        <f>M26*Q26</f>
        <v>342</v>
      </c>
      <c r="S26" s="21"/>
      <c r="T26" s="22">
        <v>125.0</v>
      </c>
      <c r="U26" s="23">
        <v>0.02</v>
      </c>
      <c r="V26" s="21">
        <f>R26+T26</f>
        <v>467</v>
      </c>
      <c r="W26" s="18">
        <f>ROUNDUP(V26*U26,0)</f>
        <v>10</v>
      </c>
      <c r="X26" s="21">
        <f>V26+W26</f>
        <v>477</v>
      </c>
      <c r="Y26" s="24">
        <v>225.0</v>
      </c>
      <c r="Z26" s="25">
        <f>ROUNDDOWN(Y26/M26,0)</f>
        <v>7</v>
      </c>
    </row>
    <row r="27" ht="15.75" customHeight="1">
      <c r="A27" s="83"/>
      <c r="B27" s="84"/>
      <c r="C27" s="84"/>
      <c r="D27" s="84"/>
      <c r="E27" s="84"/>
      <c r="F27" s="84"/>
      <c r="G27" s="85"/>
    </row>
    <row r="28" ht="15.75" customHeight="1">
      <c r="A28" s="86"/>
      <c r="G28" s="88"/>
      <c r="Q28" s="83"/>
      <c r="R28" s="84"/>
      <c r="S28" s="84"/>
      <c r="T28" s="84"/>
      <c r="U28" s="84"/>
      <c r="V28" s="84"/>
      <c r="W28" s="84"/>
      <c r="X28" s="85"/>
      <c r="Z28" s="54" t="s">
        <v>95</v>
      </c>
    </row>
    <row r="29" ht="15.75" customHeight="1">
      <c r="A29" s="86"/>
      <c r="G29" s="88"/>
      <c r="J29" s="83"/>
      <c r="K29" s="84"/>
      <c r="L29" s="203" t="s">
        <v>163</v>
      </c>
      <c r="M29" s="84"/>
      <c r="N29" s="84"/>
      <c r="O29" s="85"/>
      <c r="Q29" s="86"/>
      <c r="X29" s="88"/>
      <c r="Z29" s="209">
        <v>10000.0</v>
      </c>
    </row>
    <row r="30" ht="15.75" customHeight="1">
      <c r="A30" s="86" t="s">
        <v>59</v>
      </c>
      <c r="B30" s="54">
        <f>12^3</f>
        <v>1728</v>
      </c>
      <c r="C30" s="54" t="s">
        <v>60</v>
      </c>
      <c r="G30" s="88"/>
      <c r="J30" s="86"/>
      <c r="M30" s="54" t="s">
        <v>61</v>
      </c>
      <c r="N30" s="54">
        <v>62.42796</v>
      </c>
      <c r="O30" s="88"/>
      <c r="Q30" s="86" t="s">
        <v>59</v>
      </c>
      <c r="R30" s="54">
        <f>12^3</f>
        <v>1728</v>
      </c>
      <c r="T30" s="54" t="s">
        <v>60</v>
      </c>
      <c r="X30" s="88"/>
      <c r="Z30" s="54">
        <v>6000.0</v>
      </c>
    </row>
    <row r="31" ht="15.75" customHeight="1">
      <c r="A31" s="86"/>
      <c r="C31" s="54" t="s">
        <v>62</v>
      </c>
      <c r="E31" s="87">
        <v>515.0</v>
      </c>
      <c r="G31" s="88"/>
      <c r="J31" s="86" t="s">
        <v>63</v>
      </c>
      <c r="K31" s="54" t="s">
        <v>64</v>
      </c>
      <c r="L31" s="54" t="s">
        <v>65</v>
      </c>
      <c r="M31" s="54" t="s">
        <v>66</v>
      </c>
      <c r="O31" s="88"/>
      <c r="Q31" s="86"/>
      <c r="T31" s="54" t="s">
        <v>62</v>
      </c>
      <c r="V31" s="87">
        <v>568.0</v>
      </c>
      <c r="X31" s="88"/>
      <c r="Z31" s="54">
        <v>4000.0</v>
      </c>
    </row>
    <row r="32" ht="15.75" customHeight="1">
      <c r="A32" s="86"/>
      <c r="C32" s="54" t="s">
        <v>164</v>
      </c>
      <c r="E32" s="89">
        <v>0.1</v>
      </c>
      <c r="G32" s="88"/>
      <c r="J32" s="86" t="s">
        <v>69</v>
      </c>
      <c r="K32" s="54">
        <v>7075.0</v>
      </c>
      <c r="L32" s="54">
        <v>2.81</v>
      </c>
      <c r="M32" s="54">
        <f t="shared" ref="M32:M35" si="1">L32*$N$30</f>
        <v>175.4225676</v>
      </c>
      <c r="O32" s="88"/>
      <c r="Q32" s="86"/>
      <c r="T32" s="54" t="s">
        <v>164</v>
      </c>
      <c r="V32" s="89">
        <v>0.1</v>
      </c>
      <c r="X32" s="88"/>
    </row>
    <row r="33" ht="15.75" customHeight="1">
      <c r="A33" s="86"/>
      <c r="C33" s="54" t="s">
        <v>165</v>
      </c>
      <c r="E33" s="204">
        <v>0.12</v>
      </c>
      <c r="G33" s="88"/>
      <c r="J33" s="86" t="s">
        <v>69</v>
      </c>
      <c r="K33" s="54">
        <v>2219.0</v>
      </c>
      <c r="L33" s="54">
        <v>2.84</v>
      </c>
      <c r="M33" s="54">
        <f t="shared" si="1"/>
        <v>177.2954064</v>
      </c>
      <c r="O33" s="88"/>
      <c r="Q33" s="86"/>
      <c r="T33" s="54" t="s">
        <v>165</v>
      </c>
      <c r="V33" s="205">
        <v>0.12</v>
      </c>
      <c r="X33" s="88"/>
    </row>
    <row r="34" ht="15.75" customHeight="1">
      <c r="A34" s="86"/>
      <c r="G34" s="88"/>
      <c r="J34" s="86" t="s">
        <v>69</v>
      </c>
      <c r="K34" s="54">
        <v>6061.0</v>
      </c>
      <c r="L34" s="54">
        <v>2.7</v>
      </c>
      <c r="M34" s="54">
        <f t="shared" si="1"/>
        <v>168.555492</v>
      </c>
      <c r="O34" s="88"/>
      <c r="Q34" s="86"/>
      <c r="X34" s="88"/>
    </row>
    <row r="35" ht="15.75" customHeight="1">
      <c r="A35" s="86"/>
      <c r="G35" s="88"/>
      <c r="J35" s="86" t="s">
        <v>69</v>
      </c>
      <c r="K35" s="54">
        <v>7050.0</v>
      </c>
      <c r="L35" s="54">
        <v>2.83</v>
      </c>
      <c r="M35" s="54">
        <f t="shared" si="1"/>
        <v>176.6711268</v>
      </c>
      <c r="O35" s="88"/>
      <c r="Q35" s="86"/>
      <c r="X35" s="88"/>
    </row>
    <row r="36" ht="15.75" customHeight="1">
      <c r="A36" s="90" t="s">
        <v>70</v>
      </c>
      <c r="B36" s="91" t="s">
        <v>166</v>
      </c>
      <c r="C36" s="91" t="s">
        <v>72</v>
      </c>
      <c r="D36" s="91" t="s">
        <v>73</v>
      </c>
      <c r="E36" s="91" t="s">
        <v>74</v>
      </c>
      <c r="F36" s="91" t="s">
        <v>75</v>
      </c>
      <c r="G36" s="92" t="s">
        <v>76</v>
      </c>
      <c r="H36" s="91"/>
      <c r="I36" s="91"/>
      <c r="J36" s="90" t="s">
        <v>77</v>
      </c>
      <c r="K36" s="91"/>
      <c r="L36" s="91"/>
      <c r="M36" s="91">
        <v>494.21</v>
      </c>
      <c r="N36" s="91" t="s">
        <v>78</v>
      </c>
      <c r="O36" s="92"/>
      <c r="P36" s="91"/>
      <c r="Q36" s="90" t="s">
        <v>70</v>
      </c>
      <c r="R36" s="91" t="s">
        <v>166</v>
      </c>
      <c r="S36" s="91"/>
      <c r="T36" s="91" t="s">
        <v>72</v>
      </c>
      <c r="U36" s="91" t="s">
        <v>73</v>
      </c>
      <c r="V36" s="91" t="s">
        <v>74</v>
      </c>
      <c r="W36" s="91" t="s">
        <v>75</v>
      </c>
      <c r="X36" s="92" t="s">
        <v>76</v>
      </c>
    </row>
    <row r="37" ht="15.75" customHeight="1">
      <c r="A37" s="93">
        <f t="shared" ref="A37:C37" si="2">A3</f>
        <v>1</v>
      </c>
      <c r="B37" s="50">
        <f t="shared" si="2"/>
        <v>36</v>
      </c>
      <c r="C37" s="50">
        <f t="shared" si="2"/>
        <v>48</v>
      </c>
      <c r="D37" s="54">
        <f t="shared" ref="D37:D41" si="5">A37*B37*C37</f>
        <v>1728</v>
      </c>
      <c r="E37" s="54">
        <f t="shared" ref="E37:E41" si="6">D37/$B$30</f>
        <v>1</v>
      </c>
      <c r="F37" s="54">
        <f t="shared" ref="F37:F41" si="7">E37*$E$31</f>
        <v>515</v>
      </c>
      <c r="G37" s="94">
        <f>F37*$E$32</f>
        <v>51.5</v>
      </c>
      <c r="J37" s="86" t="s">
        <v>79</v>
      </c>
      <c r="M37" s="54">
        <v>283.39</v>
      </c>
      <c r="N37" s="54" t="s">
        <v>80</v>
      </c>
      <c r="O37" s="88"/>
      <c r="Q37" s="93">
        <f t="shared" ref="Q37:R37" si="3">A12</f>
        <v>2.5</v>
      </c>
      <c r="R37" s="50">
        <f t="shared" si="3"/>
        <v>60</v>
      </c>
      <c r="S37" s="50"/>
      <c r="T37" s="50">
        <f>C12</f>
        <v>108</v>
      </c>
      <c r="U37" s="54">
        <f t="shared" ref="U37:U41" si="9">Q37*R37*T37</f>
        <v>16200</v>
      </c>
      <c r="V37" s="54">
        <f t="shared" ref="V37:V41" si="10">U37/$B$30</f>
        <v>9.375</v>
      </c>
      <c r="W37" s="54">
        <f t="shared" ref="W37:W38" si="11">V37*$V$31</f>
        <v>5325</v>
      </c>
      <c r="X37" s="94">
        <f>W37*$V$32</f>
        <v>532.5</v>
      </c>
    </row>
    <row r="38" ht="15.75" customHeight="1">
      <c r="A38" s="95">
        <f>+A7</f>
        <v>3</v>
      </c>
      <c r="B38" s="96">
        <f t="shared" ref="B38:C38" si="4">B7</f>
        <v>37</v>
      </c>
      <c r="C38" s="96">
        <f t="shared" si="4"/>
        <v>120</v>
      </c>
      <c r="D38" s="54">
        <f t="shared" si="5"/>
        <v>13320</v>
      </c>
      <c r="E38" s="54">
        <f t="shared" si="6"/>
        <v>7.708333333</v>
      </c>
      <c r="F38" s="54">
        <f t="shared" si="7"/>
        <v>3969.791667</v>
      </c>
      <c r="G38" s="97">
        <f>F38*$E$33</f>
        <v>476.375</v>
      </c>
      <c r="J38" s="86" t="s">
        <v>81</v>
      </c>
      <c r="M38" s="54">
        <v>490.0</v>
      </c>
      <c r="O38" s="88"/>
      <c r="Q38" s="95">
        <f t="shared" ref="Q38:R38" si="8">A16</f>
        <v>1.5</v>
      </c>
      <c r="R38" s="96">
        <f t="shared" si="8"/>
        <v>16</v>
      </c>
      <c r="S38" s="96"/>
      <c r="T38" s="96">
        <f>C16</f>
        <v>48</v>
      </c>
      <c r="U38" s="54">
        <f t="shared" si="9"/>
        <v>1152</v>
      </c>
      <c r="V38" s="54">
        <f t="shared" si="10"/>
        <v>0.6666666667</v>
      </c>
      <c r="W38" s="54">
        <f t="shared" si="11"/>
        <v>378.6666667</v>
      </c>
      <c r="X38" s="97">
        <f>W38*$V$33</f>
        <v>45.44</v>
      </c>
    </row>
    <row r="39" ht="15.75" customHeight="1">
      <c r="A39" s="98">
        <v>5.625</v>
      </c>
      <c r="B39" s="99">
        <v>5.75</v>
      </c>
      <c r="C39" s="99">
        <v>9.0</v>
      </c>
      <c r="D39" s="54">
        <f t="shared" si="5"/>
        <v>291.09375</v>
      </c>
      <c r="E39" s="54">
        <f t="shared" si="6"/>
        <v>0.1684570313</v>
      </c>
      <c r="F39" s="54">
        <f t="shared" si="7"/>
        <v>86.75537109</v>
      </c>
      <c r="G39" s="100">
        <f t="shared" ref="G39:G41" si="12">F39*$E$32</f>
        <v>8.675537109</v>
      </c>
      <c r="J39" s="86" t="s">
        <v>82</v>
      </c>
      <c r="M39" s="54">
        <v>1204.41</v>
      </c>
      <c r="O39" s="88"/>
      <c r="Q39" s="98">
        <v>5.625</v>
      </c>
      <c r="R39" s="99">
        <v>5.75</v>
      </c>
      <c r="S39" s="99"/>
      <c r="T39" s="99">
        <v>9.0</v>
      </c>
      <c r="U39" s="54">
        <f t="shared" si="9"/>
        <v>291.09375</v>
      </c>
      <c r="V39" s="54">
        <f t="shared" si="10"/>
        <v>0.1684570313</v>
      </c>
      <c r="W39" s="54">
        <f t="shared" ref="W39:W41" si="13">V39*$E$31</f>
        <v>86.75537109</v>
      </c>
      <c r="X39" s="100">
        <f t="shared" ref="X39:X41" si="14">W39*$E$32</f>
        <v>8.675537109</v>
      </c>
    </row>
    <row r="40" ht="15.75" customHeight="1">
      <c r="A40" s="101">
        <v>11.75</v>
      </c>
      <c r="B40" s="102">
        <v>5.75</v>
      </c>
      <c r="C40" s="102">
        <v>55.875</v>
      </c>
      <c r="D40" s="54">
        <f t="shared" si="5"/>
        <v>3775.054688</v>
      </c>
      <c r="E40" s="54">
        <f t="shared" si="6"/>
        <v>2.184638129</v>
      </c>
      <c r="F40" s="54">
        <f t="shared" si="7"/>
        <v>1125.088637</v>
      </c>
      <c r="G40" s="103">
        <f t="shared" si="12"/>
        <v>112.5088637</v>
      </c>
      <c r="J40" s="86" t="s">
        <v>83</v>
      </c>
      <c r="M40" s="54">
        <v>568.5</v>
      </c>
      <c r="O40" s="88"/>
      <c r="Q40" s="101">
        <v>11.75</v>
      </c>
      <c r="R40" s="102">
        <v>5.75</v>
      </c>
      <c r="S40" s="102"/>
      <c r="T40" s="102">
        <v>55.875</v>
      </c>
      <c r="U40" s="54">
        <f t="shared" si="9"/>
        <v>3775.054688</v>
      </c>
      <c r="V40" s="54">
        <f t="shared" si="10"/>
        <v>2.184638129</v>
      </c>
      <c r="W40" s="54">
        <f t="shared" si="13"/>
        <v>1125.088637</v>
      </c>
      <c r="X40" s="103">
        <f t="shared" si="14"/>
        <v>112.5088637</v>
      </c>
    </row>
    <row r="41" ht="15.75" customHeight="1">
      <c r="A41" s="104">
        <v>10.0</v>
      </c>
      <c r="B41" s="105">
        <v>10.0</v>
      </c>
      <c r="C41" s="105">
        <v>10.0</v>
      </c>
      <c r="D41" s="106">
        <f t="shared" si="5"/>
        <v>1000</v>
      </c>
      <c r="E41" s="106">
        <f t="shared" si="6"/>
        <v>0.5787037037</v>
      </c>
      <c r="F41" s="106">
        <f t="shared" si="7"/>
        <v>298.0324074</v>
      </c>
      <c r="G41" s="107">
        <f t="shared" si="12"/>
        <v>29.80324074</v>
      </c>
      <c r="J41" s="167"/>
      <c r="K41" s="106"/>
      <c r="L41" s="106"/>
      <c r="M41" s="106"/>
      <c r="N41" s="106"/>
      <c r="O41" s="169"/>
      <c r="Q41" s="104">
        <v>10.0</v>
      </c>
      <c r="R41" s="105">
        <v>10.0</v>
      </c>
      <c r="S41" s="105"/>
      <c r="T41" s="105">
        <v>10.0</v>
      </c>
      <c r="U41" s="106">
        <f t="shared" si="9"/>
        <v>1000</v>
      </c>
      <c r="V41" s="106">
        <f t="shared" si="10"/>
        <v>0.5787037037</v>
      </c>
      <c r="W41" s="106">
        <f t="shared" si="13"/>
        <v>298.0324074</v>
      </c>
      <c r="X41" s="107">
        <f t="shared" si="14"/>
        <v>29.80324074</v>
      </c>
    </row>
    <row r="42" ht="15.75" customHeight="1"/>
    <row r="43" ht="15.75" customHeight="1"/>
    <row r="44" ht="15.75" customHeight="1">
      <c r="A44" s="9" t="s">
        <v>85</v>
      </c>
      <c r="B44" s="108" t="s">
        <v>86</v>
      </c>
      <c r="C44" s="9" t="s">
        <v>87</v>
      </c>
      <c r="D44" s="9" t="s">
        <v>88</v>
      </c>
      <c r="E44" s="9" t="s">
        <v>89</v>
      </c>
      <c r="F44" s="108" t="s">
        <v>90</v>
      </c>
      <c r="G44" s="9" t="s">
        <v>91</v>
      </c>
      <c r="H44" s="9" t="s">
        <v>67</v>
      </c>
      <c r="I44" s="108" t="s">
        <v>92</v>
      </c>
      <c r="K44" s="55" t="s">
        <v>93</v>
      </c>
      <c r="L44" s="55" t="s">
        <v>94</v>
      </c>
      <c r="O44" s="11" t="s">
        <v>95</v>
      </c>
    </row>
    <row r="45" ht="15.75" customHeight="1">
      <c r="A45" s="109" t="s">
        <v>96</v>
      </c>
      <c r="B45" s="110">
        <v>13.0</v>
      </c>
      <c r="C45" s="87">
        <v>60.0</v>
      </c>
      <c r="D45" s="110">
        <f t="shared" ref="D45:D49" si="15">B45/2</f>
        <v>6.5</v>
      </c>
      <c r="E45" s="87">
        <v>3.14159265359</v>
      </c>
      <c r="F45" s="87">
        <f t="shared" ref="F45:F49" si="16">E45*(D45^2)</f>
        <v>132.7322896</v>
      </c>
      <c r="G45" s="87">
        <f t="shared" ref="G45:G49" si="17">F45*C45</f>
        <v>7963.937377</v>
      </c>
      <c r="H45" s="87">
        <v>0.283</v>
      </c>
      <c r="I45" s="111">
        <f t="shared" ref="I45:I49" si="18">G45*H45</f>
        <v>2253.794278</v>
      </c>
      <c r="K45" s="112">
        <v>0.14</v>
      </c>
      <c r="L45" s="113">
        <f t="shared" ref="L45:L49" si="19">ROUND(K45*I45, 2)</f>
        <v>315.53</v>
      </c>
      <c r="O45" s="9">
        <v>6000.0</v>
      </c>
    </row>
    <row r="46" ht="15.75" customHeight="1">
      <c r="A46" s="114" t="s">
        <v>97</v>
      </c>
      <c r="B46" s="115">
        <v>10.5</v>
      </c>
      <c r="C46" s="116">
        <v>144.0</v>
      </c>
      <c r="D46" s="115">
        <f t="shared" si="15"/>
        <v>5.25</v>
      </c>
      <c r="E46" s="116">
        <v>3.14159265359</v>
      </c>
      <c r="F46" s="116">
        <f t="shared" si="16"/>
        <v>86.59014751</v>
      </c>
      <c r="G46" s="116">
        <f t="shared" si="17"/>
        <v>12468.98124</v>
      </c>
      <c r="H46" s="116">
        <v>0.29</v>
      </c>
      <c r="I46" s="117">
        <f t="shared" si="18"/>
        <v>3616.00456</v>
      </c>
      <c r="K46" s="112">
        <v>0.14</v>
      </c>
      <c r="L46" s="113">
        <f t="shared" si="19"/>
        <v>506.24</v>
      </c>
    </row>
    <row r="47" ht="15.75" customHeight="1">
      <c r="A47" s="118" t="s">
        <v>98</v>
      </c>
      <c r="B47" s="119">
        <v>13.0</v>
      </c>
      <c r="C47" s="120">
        <v>148.0</v>
      </c>
      <c r="D47" s="119">
        <f t="shared" si="15"/>
        <v>6.5</v>
      </c>
      <c r="E47" s="120">
        <v>3.14159265359</v>
      </c>
      <c r="F47" s="120">
        <f t="shared" si="16"/>
        <v>132.7322896</v>
      </c>
      <c r="G47" s="120">
        <f t="shared" si="17"/>
        <v>19644.37886</v>
      </c>
      <c r="H47" s="120">
        <v>0.1</v>
      </c>
      <c r="I47" s="121">
        <f t="shared" si="18"/>
        <v>1964.437886</v>
      </c>
      <c r="K47" s="112">
        <v>0.15</v>
      </c>
      <c r="L47" s="113">
        <f t="shared" si="19"/>
        <v>294.67</v>
      </c>
    </row>
    <row r="48" ht="15.75" customHeight="1">
      <c r="A48" s="122" t="s">
        <v>99</v>
      </c>
      <c r="B48" s="123">
        <v>13.0</v>
      </c>
      <c r="C48" s="124">
        <v>148.0</v>
      </c>
      <c r="D48" s="123">
        <f t="shared" si="15"/>
        <v>6.5</v>
      </c>
      <c r="E48" s="124">
        <v>3.14159265359</v>
      </c>
      <c r="F48" s="124">
        <f t="shared" si="16"/>
        <v>132.7322896</v>
      </c>
      <c r="G48" s="124">
        <f t="shared" si="17"/>
        <v>19644.37886</v>
      </c>
      <c r="H48" s="124">
        <v>0.16</v>
      </c>
      <c r="I48" s="125">
        <f t="shared" si="18"/>
        <v>3143.100618</v>
      </c>
      <c r="K48" s="112">
        <v>0.2</v>
      </c>
      <c r="L48" s="113">
        <f t="shared" si="19"/>
        <v>628.62</v>
      </c>
    </row>
    <row r="49" ht="15.75" customHeight="1">
      <c r="A49" s="126" t="s">
        <v>100</v>
      </c>
      <c r="B49" s="127">
        <v>6.02</v>
      </c>
      <c r="C49" s="128">
        <v>165.875</v>
      </c>
      <c r="D49" s="127">
        <f t="shared" si="15"/>
        <v>3.01</v>
      </c>
      <c r="E49" s="128">
        <v>3.14159265359</v>
      </c>
      <c r="F49" s="128">
        <f t="shared" si="16"/>
        <v>28.4631436</v>
      </c>
      <c r="G49" s="128">
        <f t="shared" si="17"/>
        <v>4721.323945</v>
      </c>
      <c r="H49" s="128">
        <v>0.2965</v>
      </c>
      <c r="I49" s="129">
        <f t="shared" si="18"/>
        <v>1399.87255</v>
      </c>
      <c r="K49" s="112">
        <v>0.16</v>
      </c>
      <c r="L49" s="113">
        <f t="shared" si="19"/>
        <v>223.98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45:I49">
    <cfRule type="cellIs" dxfId="0" priority="1" operator="greaterThan">
      <formula>$Q$24</formula>
    </cfRule>
  </conditionalFormatting>
  <conditionalFormatting sqref="I49">
    <cfRule type="cellIs" dxfId="0" priority="2" operator="greaterThan">
      <formula>6296.819819</formula>
    </cfRule>
  </conditionalFormatting>
  <conditionalFormatting sqref="I49">
    <cfRule type="cellIs" dxfId="1" priority="3" operator="greaterThan">
      <formula>$Q$24</formula>
    </cfRule>
  </conditionalFormatting>
  <conditionalFormatting sqref="L49">
    <cfRule type="cellIs" dxfId="0" priority="4" operator="greaterThan">
      <formula>960</formula>
    </cfRule>
  </conditionalFormatting>
  <conditionalFormatting sqref="L49">
    <cfRule type="cellIs" dxfId="2" priority="5" operator="greaterThan">
      <formula>960</formula>
    </cfRule>
  </conditionalFormatting>
  <conditionalFormatting sqref="L49">
    <cfRule type="expression" dxfId="2" priority="6">
      <formula>$K$28</formula>
    </cfRule>
  </conditionalFormatting>
  <conditionalFormatting sqref="L49">
    <cfRule type="expression" dxfId="2" priority="7">
      <formula>"IF K28 IS RED"</formula>
    </cfRule>
  </conditionalFormatting>
  <conditionalFormatting sqref="P3">
    <cfRule type="expression" dxfId="3" priority="8">
      <formula>$F$37&gt;$Z$29</formula>
    </cfRule>
  </conditionalFormatting>
  <conditionalFormatting sqref="P3">
    <cfRule type="expression" dxfId="2" priority="9">
      <formula>$W$37&gt;$Z$29</formula>
    </cfRule>
  </conditionalFormatting>
  <conditionalFormatting sqref="P7">
    <cfRule type="expression" dxfId="3" priority="10">
      <formula>$F$38&gt;$Z$29</formula>
    </cfRule>
  </conditionalFormatting>
  <conditionalFormatting sqref="P12">
    <cfRule type="expression" dxfId="3" priority="11">
      <formula>$W$37&gt;$Z$29</formula>
    </cfRule>
  </conditionalFormatting>
  <conditionalFormatting sqref="P16">
    <cfRule type="expression" dxfId="3" priority="12">
      <formula>$W$38&gt;$Z$29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3.29"/>
    <col customWidth="1" hidden="1" min="4" max="4" width="13.29"/>
    <col customWidth="1" min="5" max="5" width="13.29"/>
    <col customWidth="1" hidden="1" min="6" max="6" width="21.0"/>
    <col customWidth="1" hidden="1" min="7" max="7" width="22.71"/>
    <col customWidth="1" hidden="1" min="8" max="8" width="14.86"/>
    <col customWidth="1" min="9" max="9" width="11.57"/>
    <col customWidth="1" hidden="1" min="10" max="10" width="12.43"/>
    <col customWidth="1" hidden="1" min="11" max="13" width="26.0"/>
    <col customWidth="1" min="14" max="14" width="18.57"/>
    <col customWidth="1" min="15" max="15" width="16.43"/>
    <col customWidth="1" min="16" max="16" width="13.86"/>
    <col customWidth="1" min="17" max="17" width="11.86"/>
    <col customWidth="1" min="18" max="18" width="14.71"/>
    <col customWidth="1" hidden="1" min="19" max="19" width="8.71"/>
    <col customWidth="1" min="20" max="20" width="10.57"/>
    <col customWidth="1" min="21" max="21" width="20.29"/>
    <col customWidth="1" min="22" max="22" width="13.14"/>
    <col customWidth="1" min="23" max="23" width="12.29"/>
    <col customWidth="1" min="24" max="24" width="10.43"/>
    <col customWidth="1" min="25" max="27" width="9.14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4"/>
      <c r="S1" s="4"/>
      <c r="T1" s="4"/>
      <c r="U1" s="5"/>
      <c r="V1" s="4"/>
      <c r="W1" s="4"/>
      <c r="X1" s="4"/>
      <c r="Y1" s="4"/>
      <c r="Z1" s="3"/>
      <c r="AA1" s="3"/>
    </row>
    <row r="2" ht="30.0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1" t="s">
        <v>16</v>
      </c>
      <c r="R2" s="11" t="s">
        <v>17</v>
      </c>
      <c r="S2" s="10" t="s">
        <v>18</v>
      </c>
      <c r="T2" s="10" t="s">
        <v>19</v>
      </c>
      <c r="U2" s="12" t="s">
        <v>20</v>
      </c>
      <c r="V2" s="10" t="s">
        <v>21</v>
      </c>
      <c r="W2" s="11" t="s">
        <v>22</v>
      </c>
      <c r="X2" s="13" t="s">
        <v>23</v>
      </c>
      <c r="Y2" s="3"/>
      <c r="Z2" s="3"/>
      <c r="AA2" s="3"/>
    </row>
    <row r="3">
      <c r="A3" s="14">
        <v>2.0</v>
      </c>
      <c r="B3" s="14">
        <v>3.0</v>
      </c>
      <c r="C3" s="14">
        <v>7.0</v>
      </c>
      <c r="D3" s="15" t="s">
        <v>24</v>
      </c>
      <c r="E3" s="15">
        <v>0.065</v>
      </c>
      <c r="F3" s="15">
        <f>(A3+B3)*C3</f>
        <v>35</v>
      </c>
      <c r="G3" s="15">
        <f>(A3+B3)/E3</f>
        <v>76.92307692</v>
      </c>
      <c r="H3" s="15">
        <f>C3/10</f>
        <v>0.7</v>
      </c>
      <c r="I3" s="15">
        <v>3.0</v>
      </c>
      <c r="J3" s="16">
        <f>H3*G3/60</f>
        <v>0.8974358974</v>
      </c>
      <c r="K3" s="16">
        <f>J3+I3</f>
        <v>3.897435897</v>
      </c>
      <c r="L3" s="17">
        <v>225.0</v>
      </c>
      <c r="M3" s="18">
        <f>L3/60</f>
        <v>3.75</v>
      </c>
      <c r="N3" s="18">
        <f>ROUNDUP(K3*M3,1)</f>
        <v>14.7</v>
      </c>
      <c r="O3" s="19" t="s">
        <v>170</v>
      </c>
      <c r="P3" s="20">
        <v>55.0</v>
      </c>
      <c r="Q3" s="21">
        <f>N3*P3</f>
        <v>808.5</v>
      </c>
      <c r="R3" s="22">
        <v>0.0</v>
      </c>
      <c r="S3" s="23">
        <v>0.02</v>
      </c>
      <c r="T3" s="21">
        <f>Q3+R3</f>
        <v>808.5</v>
      </c>
      <c r="U3" s="18">
        <f>ROUNDUP(T3*S3,0)</f>
        <v>17</v>
      </c>
      <c r="V3" s="21">
        <f>T3+U3</f>
        <v>825.5</v>
      </c>
      <c r="W3" s="24">
        <v>225.0</v>
      </c>
      <c r="X3" s="25">
        <f>ROUNDDOWN(W3/N3,0)</f>
        <v>15</v>
      </c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28"/>
      <c r="R4" s="29"/>
      <c r="S4" s="30"/>
      <c r="T4" s="28"/>
      <c r="U4" s="31"/>
      <c r="V4" s="28"/>
      <c r="W4" s="32"/>
      <c r="X4" s="26"/>
      <c r="Y4" s="3"/>
      <c r="Z4" s="3"/>
      <c r="AA4" s="3"/>
    </row>
    <row r="5">
      <c r="A5" s="3"/>
      <c r="B5" s="133" t="s">
        <v>28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8"/>
      <c r="R5" s="29"/>
      <c r="S5" s="30"/>
      <c r="T5" s="28"/>
      <c r="U5" s="31"/>
      <c r="V5" s="28"/>
      <c r="W5" s="3"/>
      <c r="X5" s="26"/>
      <c r="Y5" s="3"/>
      <c r="Z5" s="3"/>
      <c r="AA5" s="3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43" t="s">
        <v>16</v>
      </c>
      <c r="R6" s="44" t="s">
        <v>17</v>
      </c>
      <c r="S6" s="45" t="s">
        <v>18</v>
      </c>
      <c r="T6" s="43" t="s">
        <v>19</v>
      </c>
      <c r="U6" s="46" t="s">
        <v>20</v>
      </c>
      <c r="V6" s="43" t="s">
        <v>21</v>
      </c>
      <c r="W6" s="11" t="s">
        <v>22</v>
      </c>
      <c r="X6" s="13" t="s">
        <v>23</v>
      </c>
      <c r="Y6" s="3"/>
      <c r="Z6" s="3"/>
      <c r="AA6" s="3"/>
    </row>
    <row r="7">
      <c r="A7" s="3"/>
      <c r="B7" s="14">
        <v>2.0</v>
      </c>
      <c r="C7" s="14">
        <v>70.0</v>
      </c>
      <c r="D7" s="193" t="s">
        <v>24</v>
      </c>
      <c r="E7" s="47">
        <v>0.065</v>
      </c>
      <c r="F7" s="47">
        <f>B7*3.14</f>
        <v>6.28</v>
      </c>
      <c r="G7" s="48">
        <f>F7/E7</f>
        <v>96.61538462</v>
      </c>
      <c r="H7" s="47">
        <f>C7/10</f>
        <v>7</v>
      </c>
      <c r="I7" s="47">
        <v>3.5</v>
      </c>
      <c r="J7" s="16">
        <f>H7*G7/60</f>
        <v>11.27179487</v>
      </c>
      <c r="K7" s="49">
        <f>J7+I7</f>
        <v>14.77179487</v>
      </c>
      <c r="L7" s="194">
        <v>225.0</v>
      </c>
      <c r="M7" s="195">
        <f>L7/60</f>
        <v>3.75</v>
      </c>
      <c r="N7" s="21">
        <f>ROUNDUP(K7*M7,1)</f>
        <v>55.4</v>
      </c>
      <c r="O7" s="3" t="s">
        <v>170</v>
      </c>
      <c r="P7" s="20">
        <v>6.0</v>
      </c>
      <c r="Q7" s="21">
        <f>N7*P7</f>
        <v>332.4</v>
      </c>
      <c r="R7" s="22">
        <v>0.0</v>
      </c>
      <c r="S7" s="23">
        <v>0.02</v>
      </c>
      <c r="T7" s="21">
        <f>Q7+R7</f>
        <v>332.4</v>
      </c>
      <c r="U7" s="18">
        <f>ROUNDUP(T7*S7,0)</f>
        <v>7</v>
      </c>
      <c r="V7" s="21">
        <f>T7+U7</f>
        <v>339.4</v>
      </c>
      <c r="W7" s="24">
        <v>225.0</v>
      </c>
      <c r="X7" s="25">
        <f>ROUNDDOWN(W7/N7,0)</f>
        <v>4</v>
      </c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26"/>
      <c r="V8" s="3"/>
      <c r="W8" s="3"/>
      <c r="X8" s="3"/>
      <c r="Y8" s="3"/>
      <c r="Z8" s="3"/>
      <c r="AA8" s="3"/>
    </row>
    <row r="9">
      <c r="A9" s="83"/>
      <c r="B9" s="164" t="s">
        <v>126</v>
      </c>
      <c r="C9" s="85"/>
      <c r="D9" s="3"/>
      <c r="E9" s="3"/>
      <c r="F9" s="3"/>
      <c r="G9" s="3"/>
      <c r="H9" s="3"/>
      <c r="I9" s="83"/>
      <c r="J9" s="84"/>
      <c r="K9" s="84"/>
      <c r="L9" s="84"/>
      <c r="M9" s="84"/>
      <c r="N9" s="164" t="s">
        <v>127</v>
      </c>
      <c r="O9" s="84"/>
      <c r="P9" s="84"/>
      <c r="Q9" s="84"/>
      <c r="R9" s="85"/>
      <c r="S9" s="3"/>
      <c r="T9" s="3"/>
      <c r="U9" s="26"/>
      <c r="V9" s="3"/>
      <c r="W9" s="3"/>
      <c r="X9" s="3"/>
      <c r="Y9" s="3"/>
      <c r="Z9" s="3"/>
      <c r="AA9" s="3"/>
    </row>
    <row r="10">
      <c r="A10" s="86" t="s">
        <v>22</v>
      </c>
      <c r="C10" s="165">
        <v>225.0</v>
      </c>
      <c r="D10" s="3"/>
      <c r="E10" s="3"/>
      <c r="F10" s="3"/>
      <c r="G10" s="3"/>
      <c r="H10" s="3"/>
      <c r="I10" s="86" t="s">
        <v>128</v>
      </c>
      <c r="R10" s="88"/>
      <c r="S10" s="3"/>
      <c r="T10" s="3"/>
      <c r="U10" s="26"/>
      <c r="V10" s="3"/>
      <c r="W10" s="3"/>
      <c r="X10" s="3"/>
      <c r="Y10" s="3"/>
      <c r="Z10" s="3"/>
      <c r="AA10" s="3"/>
    </row>
    <row r="11">
      <c r="A11" s="86" t="s">
        <v>129</v>
      </c>
      <c r="C11" s="165">
        <v>125.0</v>
      </c>
      <c r="D11" s="3"/>
      <c r="E11" s="3"/>
      <c r="F11" s="3"/>
      <c r="G11" s="3"/>
      <c r="H11" s="3"/>
      <c r="I11" s="86" t="s">
        <v>130</v>
      </c>
      <c r="R11" s="88"/>
      <c r="S11" s="3"/>
      <c r="T11" s="3"/>
      <c r="U11" s="26"/>
      <c r="V11" s="3"/>
      <c r="W11" s="3"/>
      <c r="X11" s="3"/>
      <c r="Y11" s="3"/>
      <c r="Z11" s="3"/>
      <c r="AA11" s="3"/>
    </row>
    <row r="12">
      <c r="A12" s="86" t="s">
        <v>20</v>
      </c>
      <c r="C12" s="166" t="s">
        <v>131</v>
      </c>
      <c r="D12" s="3"/>
      <c r="E12" s="3"/>
      <c r="F12" s="3"/>
      <c r="G12" s="3"/>
      <c r="H12" s="3"/>
      <c r="I12" s="86"/>
      <c r="R12" s="88"/>
      <c r="S12" s="3"/>
      <c r="T12" s="3"/>
      <c r="U12" s="26"/>
      <c r="V12" s="3"/>
      <c r="W12" s="3"/>
      <c r="X12" s="3"/>
      <c r="Y12" s="3"/>
      <c r="Z12" s="3"/>
      <c r="AA12" s="3"/>
    </row>
    <row r="13">
      <c r="A13" s="86" t="s">
        <v>132</v>
      </c>
      <c r="C13" s="166" t="s">
        <v>133</v>
      </c>
      <c r="D13" s="3"/>
      <c r="E13" s="3"/>
      <c r="F13" s="3"/>
      <c r="G13" s="3"/>
      <c r="H13" s="3"/>
      <c r="I13" s="86" t="s">
        <v>134</v>
      </c>
      <c r="R13" s="88"/>
      <c r="S13" s="3"/>
      <c r="T13" s="3"/>
      <c r="U13" s="26"/>
      <c r="V13" s="3"/>
      <c r="W13" s="3"/>
      <c r="X13" s="3"/>
      <c r="Y13" s="3"/>
      <c r="Z13" s="3"/>
      <c r="AA13" s="3"/>
    </row>
    <row r="14">
      <c r="A14" s="167" t="s">
        <v>135</v>
      </c>
      <c r="B14" s="106"/>
      <c r="C14" s="168" t="s">
        <v>171</v>
      </c>
      <c r="D14" s="3"/>
      <c r="E14" s="3"/>
      <c r="F14" s="3"/>
      <c r="G14" s="3"/>
      <c r="H14" s="3"/>
      <c r="I14" s="86" t="s">
        <v>137</v>
      </c>
      <c r="R14" s="88"/>
      <c r="S14" s="3"/>
      <c r="T14" s="3"/>
      <c r="U14" s="26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86"/>
      <c r="R15" s="88"/>
      <c r="S15" s="3"/>
      <c r="T15" s="3"/>
      <c r="U15" s="26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86" t="s">
        <v>138</v>
      </c>
      <c r="R16" s="88"/>
      <c r="S16" s="3"/>
      <c r="T16" s="3"/>
      <c r="U16" s="26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167" t="s">
        <v>139</v>
      </c>
      <c r="J17" s="106"/>
      <c r="K17" s="106"/>
      <c r="L17" s="106"/>
      <c r="M17" s="106"/>
      <c r="N17" s="106"/>
      <c r="O17" s="106"/>
      <c r="P17" s="106"/>
      <c r="Q17" s="106"/>
      <c r="R17" s="169"/>
      <c r="S17" s="3"/>
      <c r="T17" s="3"/>
      <c r="U17" s="26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6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26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26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6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6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6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6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26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26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26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26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26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26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6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26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6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26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6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26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26"/>
      <c r="V37" s="3"/>
      <c r="W37" s="3"/>
      <c r="X37" s="3"/>
      <c r="Y37" s="3"/>
      <c r="Z37" s="3"/>
      <c r="AA37" s="3"/>
    </row>
    <row r="38" ht="28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6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6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6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26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26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26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6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26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26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26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26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26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26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26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26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6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26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6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6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26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26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26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26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6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6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26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26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26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26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6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6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6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6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26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6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26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26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26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26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26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26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26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26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26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26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26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26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26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26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26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26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26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26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26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26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26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26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26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26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26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26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26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26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26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26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26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26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26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26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26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26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26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6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6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6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26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26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26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6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6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6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6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6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6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6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6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6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6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6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6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6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6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6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6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6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6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6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6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6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6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6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6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6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6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6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6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6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6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6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6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6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6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6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6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6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6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6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6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6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6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6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6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6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6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6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6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6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6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6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6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6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6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6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6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6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6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6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6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6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6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6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6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6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6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6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6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6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6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6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6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6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6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6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6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6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6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6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6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6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6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6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6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6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6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6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6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6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6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6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6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6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6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6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6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6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6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6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6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6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6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6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6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6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6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6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6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6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6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6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6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6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6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6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6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6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6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6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6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6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6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6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6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6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6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6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6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6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6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6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6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6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6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6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6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6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6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6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6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6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6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6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6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6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6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6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6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6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6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6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6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6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6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6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6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6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6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6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6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6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6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6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6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6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6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6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6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6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6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6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6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6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6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6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6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6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6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6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6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6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6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6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6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6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6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6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6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6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6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6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6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6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6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6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6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6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6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6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6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6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6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6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6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6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6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6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6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6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6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6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6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6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6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6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6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6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6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6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6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6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6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6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6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6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6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6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6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6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6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6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6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6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6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6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6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6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6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6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6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6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6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6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6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6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6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6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6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6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6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26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26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26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26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26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26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26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26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26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26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26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26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26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26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26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26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26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26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26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26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26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26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26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26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26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26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26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26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26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26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26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26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26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26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26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26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26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26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26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26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26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26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26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26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26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26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26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26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26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26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26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26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26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26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26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26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26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26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26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26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26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26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26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26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26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26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26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26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26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26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26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26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26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26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26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26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26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26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26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26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26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26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26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26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26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26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26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26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26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26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26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26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26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26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26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26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26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26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26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26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26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26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26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26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26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26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26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26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26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26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26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26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26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26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26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26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26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26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26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26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26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26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26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26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26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26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26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26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26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26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26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26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26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26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26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26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26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26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26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26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26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26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26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26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26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26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26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26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26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26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26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26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26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26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26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26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26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26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26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26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26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26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26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26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26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26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26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26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26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26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26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26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26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26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26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26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26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26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26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26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26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26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26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26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26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26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26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26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26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26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26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26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26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26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26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26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26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26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26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26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26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26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26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26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26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26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26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26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26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26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26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26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26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26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26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26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26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26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26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26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26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26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26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26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26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26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26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26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26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26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26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26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26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26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26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26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26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26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26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26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26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26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26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26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26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26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26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26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26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26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26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26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26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26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26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26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26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26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26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26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26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26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26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26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26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26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26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26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26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26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26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26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26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26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26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26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26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26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26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26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26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26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26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26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26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26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26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26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26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26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26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26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26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26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26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26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26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26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26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26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26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26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26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26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26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26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26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26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26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26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26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26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26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26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26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26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26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26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26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26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26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26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26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26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26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26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26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26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26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26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26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26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26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26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26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26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26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26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26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26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26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6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26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26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26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26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26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26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26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26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26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26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26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26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26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26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26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26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26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26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26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26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26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26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26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26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26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26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26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26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26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26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26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26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26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26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26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26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26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26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26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26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26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26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26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26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26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26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26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26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26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26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26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26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26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26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26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26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26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26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26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26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26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26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26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6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26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26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26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26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26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26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26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26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26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26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26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26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26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26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26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26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26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26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26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26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26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26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26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26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26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26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26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26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26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26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26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26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26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26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26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26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26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26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26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26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26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26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26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26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26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26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26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26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26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26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26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26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26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26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6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26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26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26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26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26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26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26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26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26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26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26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26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26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26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26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6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26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26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26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26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26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26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26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26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26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26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26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26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26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26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26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26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26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26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26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26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26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26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26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26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26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26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26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26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6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26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26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26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26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26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26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26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6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26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26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26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26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26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6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26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26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26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26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26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26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26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26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26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26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26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26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26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26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26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26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26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26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26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26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26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26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26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26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26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26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26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26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26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26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26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26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26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26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26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26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26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26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26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26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26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26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26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26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26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26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26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26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26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26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26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26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26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26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26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26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26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26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26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26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26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26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26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26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26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26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26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26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26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26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26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26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26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26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26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26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26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26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26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26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26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26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26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26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26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26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26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26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26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26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26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26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26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26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26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26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26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26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26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26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26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26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26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26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26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26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26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26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26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26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26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26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26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26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26"/>
      <c r="V1000" s="3"/>
      <c r="W1000" s="3"/>
      <c r="X1000" s="3"/>
      <c r="Y1000" s="3"/>
      <c r="Z1000" s="3"/>
      <c r="AA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13" width="8.71"/>
    <col customWidth="1" min="14" max="16" width="8.71"/>
    <col customWidth="1" hidden="1" min="17" max="17" width="8.71"/>
    <col customWidth="1" min="18" max="18" width="8.71"/>
    <col customWidth="1" hidden="1" min="19" max="19" width="10.57"/>
    <col customWidth="1" min="20" max="20" width="12.0"/>
    <col customWidth="1" min="21" max="21" width="10.57"/>
    <col customWidth="1" min="22" max="22" width="8.71"/>
    <col customWidth="1" min="23" max="23" width="9.86"/>
    <col customWidth="1" min="24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0.5</v>
      </c>
      <c r="B3" s="14">
        <v>1.1</v>
      </c>
      <c r="C3" s="14">
        <v>6.3</v>
      </c>
      <c r="D3" s="15">
        <v>0.125</v>
      </c>
      <c r="E3" s="15">
        <v>0.065</v>
      </c>
      <c r="F3" s="15">
        <f>(A3+B3)*C3</f>
        <v>10.08</v>
      </c>
      <c r="G3" s="15">
        <f>(A3+B3)/E3</f>
        <v>24.61538462</v>
      </c>
      <c r="H3" s="15">
        <f>C3/10</f>
        <v>0.63</v>
      </c>
      <c r="I3" s="15">
        <v>3.0</v>
      </c>
      <c r="J3" s="16">
        <f>H3*G3/60</f>
        <v>0.2584615385</v>
      </c>
      <c r="K3" s="16">
        <f>J3+I3</f>
        <v>3.258461538</v>
      </c>
      <c r="L3" s="17">
        <v>225.0</v>
      </c>
      <c r="M3" s="18">
        <f>L3/60</f>
        <v>3.75</v>
      </c>
      <c r="N3" s="18">
        <f>ROUNDUP(K3*M3,1)</f>
        <v>12.3</v>
      </c>
      <c r="O3" s="106"/>
      <c r="P3" s="22">
        <v>125.0</v>
      </c>
      <c r="Q3" s="151">
        <v>0.02</v>
      </c>
      <c r="R3" s="20">
        <v>28.0</v>
      </c>
      <c r="S3" s="171">
        <f>N3*R3</f>
        <v>344.4</v>
      </c>
      <c r="T3" s="161">
        <f>IF(S3&gt;Y3, S3, Y3)</f>
        <v>344.4</v>
      </c>
      <c r="U3" s="161">
        <f>T3+P3</f>
        <v>469.4</v>
      </c>
      <c r="V3" s="21">
        <f>ROUNDUP(U3*Q3,0)</f>
        <v>10</v>
      </c>
      <c r="W3" s="21">
        <f>U3+V3</f>
        <v>479.4</v>
      </c>
      <c r="X3" s="9"/>
      <c r="Y3" s="24">
        <v>225.0</v>
      </c>
      <c r="Z3" s="152">
        <f>ROUNDDOWN(Y3/N3,0)</f>
        <v>18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49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210">
        <v>3.0</v>
      </c>
      <c r="C6" s="14">
        <v>6.4</v>
      </c>
      <c r="D6" s="15" t="s">
        <v>24</v>
      </c>
      <c r="E6" s="47">
        <v>0.05</v>
      </c>
      <c r="F6" s="47">
        <f>B6*3.14</f>
        <v>9.42</v>
      </c>
      <c r="G6" s="48">
        <f>F6/E6</f>
        <v>188.4</v>
      </c>
      <c r="H6" s="47">
        <f>C6/10</f>
        <v>0.64</v>
      </c>
      <c r="I6" s="47">
        <v>3.0</v>
      </c>
      <c r="J6" s="16">
        <f>H6*G6/60</f>
        <v>2.0096</v>
      </c>
      <c r="K6" s="49">
        <f>J6+I6</f>
        <v>5.0096</v>
      </c>
      <c r="L6" s="17">
        <v>225.0</v>
      </c>
      <c r="M6" s="18">
        <f>L6/60</f>
        <v>3.75</v>
      </c>
      <c r="N6" s="21">
        <f>ROUNDUP(K6*M6,1)</f>
        <v>18.8</v>
      </c>
      <c r="O6" s="106"/>
      <c r="P6" s="22">
        <v>125.0</v>
      </c>
      <c r="Q6" s="151">
        <v>0.02</v>
      </c>
      <c r="R6" s="20">
        <v>18.0</v>
      </c>
      <c r="S6" s="211">
        <f>+N6*R6</f>
        <v>338.4</v>
      </c>
      <c r="T6" s="161">
        <f>IF(S6&gt;Y6, S6, Y6)</f>
        <v>338.4</v>
      </c>
      <c r="U6" s="161">
        <f>T6+P6</f>
        <v>463.4</v>
      </c>
      <c r="V6" s="21">
        <f>ROUNDUP(U6*Q6,0)</f>
        <v>10</v>
      </c>
      <c r="W6" s="21">
        <f>U6+V6</f>
        <v>473.4</v>
      </c>
      <c r="X6" s="106"/>
      <c r="Y6" s="162">
        <v>225.0</v>
      </c>
      <c r="Z6" s="163">
        <f>ROUNDDOWN(Y6/N6,0)</f>
        <v>11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172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1.5</v>
      </c>
      <c r="B11" s="14">
        <v>36.0</v>
      </c>
      <c r="C11" s="14">
        <v>96.0</v>
      </c>
      <c r="D11" s="15">
        <v>0.125</v>
      </c>
      <c r="E11" s="15">
        <v>0.065</v>
      </c>
      <c r="F11" s="15">
        <f>(A11+B11)*C11</f>
        <v>3600</v>
      </c>
      <c r="G11" s="15">
        <f>(A11+B11)/E11</f>
        <v>576.9230769</v>
      </c>
      <c r="H11" s="15">
        <f>C11/10</f>
        <v>9.6</v>
      </c>
      <c r="I11" s="15">
        <v>3.0</v>
      </c>
      <c r="J11" s="16">
        <f>H11*G11/60</f>
        <v>92.30769231</v>
      </c>
      <c r="K11" s="16">
        <f>J11+I11</f>
        <v>95.30769231</v>
      </c>
      <c r="L11" s="17">
        <v>250.0</v>
      </c>
      <c r="M11" s="18">
        <f>L11/60</f>
        <v>4.166666667</v>
      </c>
      <c r="N11" s="18">
        <f>ROUNDUP(K11*M11,1)</f>
        <v>397.2</v>
      </c>
      <c r="O11" s="106"/>
      <c r="P11" s="22">
        <v>125.0</v>
      </c>
      <c r="Q11" s="151">
        <v>0.02</v>
      </c>
      <c r="R11" s="20">
        <v>1.0</v>
      </c>
      <c r="S11" s="171">
        <f>N11*R11</f>
        <v>397.2</v>
      </c>
      <c r="T11" s="161">
        <f>IF(S11&gt;Y11, S11, Y11)</f>
        <v>397.2</v>
      </c>
      <c r="U11" s="161">
        <f>T11+P11</f>
        <v>522.2</v>
      </c>
      <c r="V11" s="21">
        <f>ROUNDUP(U11*Q11,0)</f>
        <v>11</v>
      </c>
      <c r="W11" s="21">
        <f>U11+V11</f>
        <v>533.2</v>
      </c>
      <c r="X11" s="9"/>
      <c r="Y11" s="24">
        <v>250.0</v>
      </c>
      <c r="Z11" s="152">
        <f>ROUNDDOWN(Y11/N11,0)</f>
        <v>0</v>
      </c>
    </row>
    <row r="12">
      <c r="A12" s="3"/>
      <c r="B12" s="153" t="s">
        <v>173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49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1.25</v>
      </c>
      <c r="C14" s="14">
        <v>36.0</v>
      </c>
      <c r="D14" s="15" t="s">
        <v>24</v>
      </c>
      <c r="E14" s="47">
        <v>0.05</v>
      </c>
      <c r="F14" s="47">
        <f>B14*3.14</f>
        <v>3.925</v>
      </c>
      <c r="G14" s="48">
        <f>F14/E14</f>
        <v>78.5</v>
      </c>
      <c r="H14" s="47">
        <f>C14/10</f>
        <v>3.6</v>
      </c>
      <c r="I14" s="47">
        <v>3.0</v>
      </c>
      <c r="J14" s="16">
        <f>H14*G14/60</f>
        <v>4.71</v>
      </c>
      <c r="K14" s="49">
        <f>J14+I14</f>
        <v>7.71</v>
      </c>
      <c r="L14" s="17">
        <v>250.0</v>
      </c>
      <c r="M14" s="18">
        <f>L14/60</f>
        <v>4.166666667</v>
      </c>
      <c r="N14" s="21">
        <f>ROUNDUP(K14*M14,1)</f>
        <v>32.2</v>
      </c>
      <c r="O14" s="106"/>
      <c r="P14" s="22">
        <v>125.0</v>
      </c>
      <c r="Q14" s="151">
        <v>0.02</v>
      </c>
      <c r="R14" s="20">
        <v>10.0</v>
      </c>
      <c r="S14" s="172">
        <f>N14*R14</f>
        <v>322</v>
      </c>
      <c r="T14" s="161">
        <f>IF(S14&gt;Y14, S14, Y14)</f>
        <v>322</v>
      </c>
      <c r="U14" s="161">
        <f>T14+P14</f>
        <v>447</v>
      </c>
      <c r="V14" s="21">
        <f>ROUNDUP(U14*Q14,0)</f>
        <v>9</v>
      </c>
      <c r="W14" s="21">
        <f>U14+V14</f>
        <v>456</v>
      </c>
      <c r="X14" s="106"/>
      <c r="Y14" s="162">
        <v>250.0</v>
      </c>
      <c r="Z14" s="163">
        <f>ROUNDDOWN(Y14/N14,0)</f>
        <v>7</v>
      </c>
    </row>
    <row r="17">
      <c r="A17" s="83"/>
      <c r="B17" s="164" t="s">
        <v>126</v>
      </c>
      <c r="C17" s="85"/>
      <c r="N17" s="212" t="s">
        <v>127</v>
      </c>
      <c r="O17" s="213"/>
      <c r="P17" s="213"/>
      <c r="Q17" s="213"/>
      <c r="R17" s="213"/>
      <c r="S17" s="213"/>
      <c r="T17" s="213"/>
      <c r="U17" s="213"/>
      <c r="V17" s="213"/>
      <c r="W17" s="214"/>
    </row>
    <row r="18">
      <c r="A18" s="86" t="s">
        <v>22</v>
      </c>
      <c r="C18" s="165">
        <v>225.0</v>
      </c>
      <c r="N18" s="86" t="s">
        <v>128</v>
      </c>
      <c r="W18" s="88"/>
    </row>
    <row r="19">
      <c r="A19" s="86" t="s">
        <v>129</v>
      </c>
      <c r="C19" s="165">
        <v>125.0</v>
      </c>
      <c r="N19" s="86" t="s">
        <v>130</v>
      </c>
      <c r="W19" s="88"/>
    </row>
    <row r="20">
      <c r="A20" s="86" t="s">
        <v>20</v>
      </c>
      <c r="C20" s="88" t="s">
        <v>131</v>
      </c>
      <c r="N20" s="86"/>
      <c r="W20" s="88"/>
    </row>
    <row r="21" ht="15.75" customHeight="1">
      <c r="A21" s="86" t="s">
        <v>132</v>
      </c>
      <c r="C21" s="88" t="s">
        <v>133</v>
      </c>
      <c r="N21" s="86" t="s">
        <v>134</v>
      </c>
      <c r="W21" s="88"/>
    </row>
    <row r="22" ht="15.75" customHeight="1">
      <c r="A22" s="167" t="s">
        <v>135</v>
      </c>
      <c r="B22" s="106"/>
      <c r="C22" s="107">
        <v>100.0</v>
      </c>
      <c r="N22" s="86" t="s">
        <v>137</v>
      </c>
      <c r="W22" s="88"/>
    </row>
    <row r="23" ht="15.75" customHeight="1">
      <c r="N23" s="86"/>
      <c r="W23" s="88"/>
    </row>
    <row r="24" ht="15.75" customHeight="1">
      <c r="N24" s="86" t="s">
        <v>138</v>
      </c>
      <c r="W24" s="88"/>
    </row>
    <row r="25" ht="15.75" customHeight="1">
      <c r="N25" s="167" t="s">
        <v>139</v>
      </c>
      <c r="O25" s="106"/>
      <c r="P25" s="106"/>
      <c r="Q25" s="106"/>
      <c r="R25" s="106"/>
      <c r="S25" s="106"/>
      <c r="T25" s="106"/>
      <c r="U25" s="106"/>
      <c r="V25" s="106"/>
      <c r="W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N17:W17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3" width="8.71"/>
    <col customWidth="1" min="4" max="4" width="12.0"/>
    <col customWidth="1" min="5" max="5" width="8.71"/>
    <col customWidth="1" min="6" max="6" width="10.86"/>
    <col customWidth="1" min="7" max="7" width="11.57"/>
    <col customWidth="1" min="8" max="8" width="8.71"/>
    <col customWidth="1" min="9" max="9" width="10.57"/>
    <col customWidth="1" min="10" max="10" width="8.71"/>
    <col customWidth="1" min="11" max="11" width="11.0"/>
    <col customWidth="1" hidden="1" min="12" max="13" width="8.71"/>
    <col customWidth="1" min="14" max="23" width="8.71"/>
    <col customWidth="1" hidden="1" min="24" max="25" width="8.71"/>
    <col customWidth="1" min="26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  <c r="S1" s="4"/>
      <c r="T1" s="4"/>
      <c r="U1" s="4"/>
      <c r="V1" s="5"/>
      <c r="W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0" t="s">
        <v>140</v>
      </c>
      <c r="R2" s="11" t="s">
        <v>16</v>
      </c>
      <c r="S2" s="11" t="s">
        <v>17</v>
      </c>
      <c r="T2" s="10" t="s">
        <v>18</v>
      </c>
      <c r="U2" s="10" t="s">
        <v>19</v>
      </c>
      <c r="V2" s="12" t="s">
        <v>20</v>
      </c>
      <c r="W2" s="10" t="s">
        <v>21</v>
      </c>
    </row>
    <row r="3">
      <c r="A3" s="14">
        <v>4.5</v>
      </c>
      <c r="B3" s="14">
        <v>9.5</v>
      </c>
      <c r="C3" s="14">
        <v>14.5</v>
      </c>
      <c r="D3" s="15" t="s">
        <v>24</v>
      </c>
      <c r="E3" s="15">
        <v>0.045</v>
      </c>
      <c r="F3" s="15">
        <f>(A3+B3)*C3</f>
        <v>203</v>
      </c>
      <c r="G3" s="15">
        <f>(A3+B3)/E3</f>
        <v>311.1111111</v>
      </c>
      <c r="H3" s="15">
        <f>C3/10</f>
        <v>1.45</v>
      </c>
      <c r="I3" s="15">
        <v>4.0</v>
      </c>
      <c r="J3" s="16">
        <f>H3*G3/60</f>
        <v>7.518518519</v>
      </c>
      <c r="K3" s="16">
        <f>J3+I3</f>
        <v>11.51851852</v>
      </c>
      <c r="L3" s="17">
        <v>225.0</v>
      </c>
      <c r="M3" s="18">
        <f>L3/60</f>
        <v>3.75</v>
      </c>
      <c r="N3" s="18">
        <f>ROUNDUP(K3*M3,1)</f>
        <v>43.2</v>
      </c>
      <c r="O3" s="19"/>
      <c r="P3" s="20">
        <v>10.0</v>
      </c>
      <c r="Q3" s="171">
        <f>N3*P3</f>
        <v>432</v>
      </c>
      <c r="R3" s="21">
        <f>IF(Q3&gt;X3, Q3, X3)</f>
        <v>432</v>
      </c>
      <c r="S3" s="22">
        <v>125.0</v>
      </c>
      <c r="T3" s="23">
        <v>0.02</v>
      </c>
      <c r="U3" s="21">
        <f>R3+S3</f>
        <v>557</v>
      </c>
      <c r="V3" s="18">
        <f>ROUNDUP(U3*T3,0)</f>
        <v>12</v>
      </c>
      <c r="W3" s="21">
        <f>U3+V3</f>
        <v>569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3"/>
      <c r="R4" s="28"/>
      <c r="S4" s="29"/>
      <c r="T4" s="30"/>
      <c r="U4" s="28"/>
      <c r="V4" s="31"/>
      <c r="W4" s="28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6"/>
      <c r="W5" s="3"/>
    </row>
    <row r="6">
      <c r="A6" s="83"/>
      <c r="B6" s="164" t="s">
        <v>126</v>
      </c>
      <c r="C6" s="85"/>
      <c r="D6" s="3"/>
      <c r="E6" s="3"/>
      <c r="F6" s="3"/>
      <c r="G6" s="3"/>
      <c r="H6" s="3"/>
      <c r="I6" s="3"/>
      <c r="J6" s="3"/>
      <c r="K6" s="3"/>
      <c r="L6" s="3"/>
      <c r="M6" s="3"/>
      <c r="N6" s="83"/>
      <c r="O6" s="84"/>
      <c r="P6" s="84"/>
      <c r="Q6" s="84"/>
      <c r="R6" s="84"/>
      <c r="S6" s="164" t="s">
        <v>127</v>
      </c>
      <c r="T6" s="84"/>
      <c r="U6" s="84"/>
      <c r="V6" s="84"/>
      <c r="W6" s="85"/>
    </row>
    <row r="7">
      <c r="A7" s="86" t="s">
        <v>22</v>
      </c>
      <c r="C7" s="215">
        <v>225.0</v>
      </c>
      <c r="D7" s="3"/>
      <c r="E7" s="3"/>
      <c r="F7" s="3"/>
      <c r="G7" s="3"/>
      <c r="H7" s="3"/>
      <c r="I7" s="3"/>
      <c r="J7" s="3"/>
      <c r="K7" s="3"/>
      <c r="L7" s="3"/>
      <c r="M7" s="3"/>
      <c r="N7" s="86" t="s">
        <v>128</v>
      </c>
      <c r="W7" s="88"/>
    </row>
    <row r="8">
      <c r="A8" s="86" t="s">
        <v>129</v>
      </c>
      <c r="B8" s="216" t="s">
        <v>131</v>
      </c>
      <c r="C8" s="215">
        <v>100.0</v>
      </c>
      <c r="D8" s="3"/>
      <c r="E8" s="3"/>
      <c r="F8" s="3"/>
      <c r="G8" s="3"/>
      <c r="H8" s="3"/>
      <c r="I8" s="3"/>
      <c r="J8" s="3"/>
      <c r="K8" s="3"/>
      <c r="L8" s="3"/>
      <c r="M8" s="3"/>
      <c r="N8" s="86" t="s">
        <v>130</v>
      </c>
      <c r="W8" s="88"/>
    </row>
    <row r="9">
      <c r="A9" s="86" t="s">
        <v>20</v>
      </c>
      <c r="C9" s="166" t="s">
        <v>131</v>
      </c>
      <c r="D9" s="3"/>
      <c r="E9" s="3"/>
      <c r="F9" s="3"/>
      <c r="G9" s="3"/>
      <c r="H9" s="3"/>
      <c r="I9" s="3"/>
      <c r="J9" s="3"/>
      <c r="K9" s="3"/>
      <c r="L9" s="3"/>
      <c r="M9" s="3"/>
      <c r="N9" s="86"/>
      <c r="W9" s="88"/>
    </row>
    <row r="10">
      <c r="A10" s="86" t="s">
        <v>132</v>
      </c>
      <c r="C10" s="166" t="s">
        <v>133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86" t="s">
        <v>134</v>
      </c>
      <c r="W10" s="88"/>
    </row>
    <row r="11">
      <c r="A11" s="167" t="s">
        <v>135</v>
      </c>
      <c r="B11" s="106"/>
      <c r="C11" s="168" t="s">
        <v>143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86" t="s">
        <v>137</v>
      </c>
      <c r="W11" s="88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86"/>
      <c r="W12" s="88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86" t="s">
        <v>138</v>
      </c>
      <c r="W13" s="88"/>
    </row>
    <row r="14">
      <c r="A14" s="217" t="s">
        <v>174</v>
      </c>
      <c r="B14" s="218"/>
      <c r="D14" s="173" t="s">
        <v>148</v>
      </c>
      <c r="E14" s="174" t="s">
        <v>15</v>
      </c>
      <c r="F14" s="175" t="s">
        <v>16</v>
      </c>
      <c r="G14" s="175" t="s">
        <v>17</v>
      </c>
      <c r="H14" s="176" t="s">
        <v>18</v>
      </c>
      <c r="I14" s="176" t="s">
        <v>19</v>
      </c>
      <c r="J14" s="177" t="s">
        <v>20</v>
      </c>
      <c r="K14" s="178" t="s">
        <v>21</v>
      </c>
      <c r="L14" s="3"/>
      <c r="M14" s="3"/>
      <c r="N14" s="167" t="s">
        <v>139</v>
      </c>
      <c r="O14" s="106"/>
      <c r="P14" s="106"/>
      <c r="Q14" s="106"/>
      <c r="R14" s="106"/>
      <c r="S14" s="106"/>
      <c r="T14" s="106"/>
      <c r="U14" s="106"/>
      <c r="V14" s="106"/>
      <c r="W14" s="169"/>
    </row>
    <row r="15">
      <c r="A15" s="219" t="s">
        <v>175</v>
      </c>
      <c r="B15" s="220">
        <v>27.25</v>
      </c>
      <c r="D15" s="180">
        <v>28.75</v>
      </c>
      <c r="E15" s="181">
        <v>20.0</v>
      </c>
      <c r="F15" s="182">
        <f>IF(X17&gt;Y17,X17,Y17)</f>
        <v>575</v>
      </c>
      <c r="G15" s="183">
        <v>100.0</v>
      </c>
      <c r="H15" s="184">
        <v>0.02</v>
      </c>
      <c r="I15" s="182">
        <f>F15+G15</f>
        <v>675</v>
      </c>
      <c r="J15" s="185">
        <f>ROUNDUP(I15*H15,0)</f>
        <v>14</v>
      </c>
      <c r="K15" s="186">
        <f>I15+J15</f>
        <v>689</v>
      </c>
    </row>
    <row r="16">
      <c r="A16" s="221" t="s">
        <v>176</v>
      </c>
      <c r="B16" s="222">
        <v>26.95</v>
      </c>
      <c r="X16" s="54" t="s">
        <v>177</v>
      </c>
      <c r="Y16" s="54" t="s">
        <v>178</v>
      </c>
    </row>
    <row r="17">
      <c r="A17" s="219" t="s">
        <v>179</v>
      </c>
      <c r="B17" s="220">
        <v>26.15</v>
      </c>
      <c r="X17" s="28">
        <f>D15*E15</f>
        <v>575</v>
      </c>
      <c r="Y17" s="70">
        <v>225.0</v>
      </c>
    </row>
    <row r="18">
      <c r="A18" s="221" t="s">
        <v>180</v>
      </c>
      <c r="B18" s="222">
        <v>25.95</v>
      </c>
      <c r="G18" s="3"/>
      <c r="H18" s="3"/>
      <c r="I18" s="28"/>
    </row>
    <row r="19">
      <c r="A19" s="219" t="s">
        <v>181</v>
      </c>
      <c r="B19" s="220">
        <v>25.55</v>
      </c>
      <c r="G19" s="187" t="s">
        <v>151</v>
      </c>
      <c r="H19" s="188"/>
      <c r="I19" s="189">
        <f>E15</f>
        <v>20</v>
      </c>
    </row>
    <row r="20">
      <c r="A20" s="221" t="s">
        <v>182</v>
      </c>
      <c r="B20" s="222">
        <v>25.25</v>
      </c>
      <c r="G20" s="190" t="s">
        <v>152</v>
      </c>
      <c r="H20" s="191"/>
      <c r="I20" s="192">
        <f>K15</f>
        <v>689</v>
      </c>
    </row>
    <row r="21" ht="15.75" customHeight="1">
      <c r="A21" s="219" t="s">
        <v>183</v>
      </c>
      <c r="B21" s="220">
        <v>24.95</v>
      </c>
    </row>
    <row r="22" ht="15.75" customHeight="1">
      <c r="A22" s="221" t="s">
        <v>184</v>
      </c>
      <c r="B22" s="222">
        <v>25.0</v>
      </c>
    </row>
    <row r="23" ht="15.75" customHeight="1">
      <c r="A23" s="219" t="s">
        <v>185</v>
      </c>
      <c r="B23" s="220">
        <v>28.75</v>
      </c>
    </row>
    <row r="24" ht="15.75" customHeight="1">
      <c r="A24" s="221" t="s">
        <v>186</v>
      </c>
      <c r="B24" s="222">
        <v>30.15</v>
      </c>
      <c r="I24" s="54">
        <v>18.6</v>
      </c>
    </row>
    <row r="25" ht="15.75" customHeight="1">
      <c r="A25" s="219" t="s">
        <v>187</v>
      </c>
      <c r="B25" s="220">
        <v>32.75</v>
      </c>
    </row>
    <row r="26" ht="15.75" customHeight="1">
      <c r="A26" s="221" t="s">
        <v>188</v>
      </c>
      <c r="B26" s="222">
        <v>35.0</v>
      </c>
    </row>
    <row r="27" ht="15.75" customHeight="1">
      <c r="A27" s="219" t="s">
        <v>189</v>
      </c>
      <c r="B27" s="220">
        <v>36.75</v>
      </c>
    </row>
    <row r="28" ht="15.75" customHeight="1">
      <c r="A28" s="221" t="s">
        <v>190</v>
      </c>
      <c r="B28" s="222">
        <v>40.0</v>
      </c>
    </row>
    <row r="29" ht="15.75" customHeight="1">
      <c r="A29" s="219" t="s">
        <v>191</v>
      </c>
      <c r="B29" s="220">
        <v>44.25</v>
      </c>
    </row>
    <row r="30" ht="15.75" customHeight="1">
      <c r="A30" s="221" t="s">
        <v>192</v>
      </c>
      <c r="B30" s="222">
        <v>48.9</v>
      </c>
    </row>
    <row r="31" ht="15.75" customHeight="1">
      <c r="A31" s="219" t="s">
        <v>193</v>
      </c>
      <c r="B31" s="220">
        <v>50.85</v>
      </c>
    </row>
    <row r="32" ht="15.75" customHeight="1">
      <c r="A32" s="221" t="s">
        <v>194</v>
      </c>
      <c r="B32" s="222">
        <v>53.5</v>
      </c>
    </row>
    <row r="33" ht="15.75" customHeight="1">
      <c r="A33" s="219" t="s">
        <v>195</v>
      </c>
      <c r="B33" s="220">
        <v>56.75</v>
      </c>
    </row>
    <row r="34" ht="15.75" customHeight="1">
      <c r="A34" s="221" t="s">
        <v>196</v>
      </c>
      <c r="B34" s="222">
        <v>59.0</v>
      </c>
    </row>
    <row r="35" ht="15.75" customHeight="1">
      <c r="A35" s="219" t="s">
        <v>197</v>
      </c>
      <c r="B35" s="220">
        <v>63.25</v>
      </c>
    </row>
    <row r="36" ht="15.75" customHeight="1">
      <c r="A36" s="221" t="s">
        <v>198</v>
      </c>
      <c r="B36" s="222">
        <v>68.2</v>
      </c>
    </row>
    <row r="37" ht="15.75" customHeight="1">
      <c r="A37" s="219" t="s">
        <v>199</v>
      </c>
      <c r="B37" s="220">
        <v>72.75</v>
      </c>
    </row>
    <row r="38" ht="15.75" customHeight="1">
      <c r="A38" s="221" t="s">
        <v>200</v>
      </c>
      <c r="B38" s="222">
        <v>74.5</v>
      </c>
    </row>
    <row r="39" ht="15.75" customHeight="1">
      <c r="A39" s="219" t="s">
        <v>201</v>
      </c>
      <c r="B39" s="220">
        <v>79.9</v>
      </c>
    </row>
    <row r="40" ht="15.75" customHeight="1">
      <c r="A40" s="221" t="s">
        <v>202</v>
      </c>
      <c r="B40" s="222">
        <v>88.25</v>
      </c>
    </row>
    <row r="41" ht="15.75" customHeight="1">
      <c r="A41" s="219" t="s">
        <v>203</v>
      </c>
      <c r="B41" s="220">
        <v>96.9</v>
      </c>
    </row>
    <row r="42" ht="15.75" customHeight="1">
      <c r="A42" s="221" t="s">
        <v>204</v>
      </c>
      <c r="B42" s="222">
        <v>105.25</v>
      </c>
    </row>
    <row r="43" ht="15.75" customHeight="1">
      <c r="A43" s="219" t="s">
        <v>205</v>
      </c>
      <c r="B43" s="220">
        <v>119.95</v>
      </c>
    </row>
    <row r="44" ht="15.75" customHeight="1">
      <c r="A44" s="221" t="s">
        <v>206</v>
      </c>
      <c r="B44" s="222">
        <v>134.25</v>
      </c>
    </row>
    <row r="45" ht="15.75" customHeight="1">
      <c r="A45" s="219" t="s">
        <v>207</v>
      </c>
      <c r="B45" s="220">
        <v>158.25</v>
      </c>
    </row>
    <row r="46" ht="15.75" customHeight="1">
      <c r="A46" s="221" t="s">
        <v>208</v>
      </c>
      <c r="B46" s="222">
        <v>178.95</v>
      </c>
    </row>
    <row r="47" ht="15.75" customHeight="1">
      <c r="A47" s="219" t="s">
        <v>209</v>
      </c>
      <c r="B47" s="220">
        <v>192.5</v>
      </c>
    </row>
    <row r="48" ht="15.75" customHeight="1">
      <c r="A48" s="221" t="s">
        <v>210</v>
      </c>
      <c r="B48" s="222">
        <v>213.9</v>
      </c>
    </row>
    <row r="49" ht="15.75" customHeight="1">
      <c r="A49" s="219" t="s">
        <v>211</v>
      </c>
      <c r="B49" s="220">
        <v>226.65</v>
      </c>
    </row>
    <row r="50" ht="15.75" customHeight="1">
      <c r="A50" s="221" t="s">
        <v>212</v>
      </c>
      <c r="B50" s="222">
        <v>239.35</v>
      </c>
    </row>
    <row r="51" ht="15.75" customHeight="1">
      <c r="A51" s="219" t="s">
        <v>213</v>
      </c>
      <c r="B51" s="220">
        <v>252.3</v>
      </c>
    </row>
    <row r="52" ht="15.75" customHeight="1">
      <c r="A52" s="221" t="s">
        <v>214</v>
      </c>
      <c r="B52" s="222">
        <v>267.0</v>
      </c>
    </row>
    <row r="53" ht="15.75" customHeight="1">
      <c r="A53" s="219" t="s">
        <v>215</v>
      </c>
      <c r="B53" s="220">
        <v>278.5</v>
      </c>
    </row>
    <row r="54" ht="15.75" customHeight="1">
      <c r="A54" s="221" t="s">
        <v>216</v>
      </c>
      <c r="B54" s="222">
        <v>291.25</v>
      </c>
    </row>
    <row r="55" ht="15.75" customHeight="1">
      <c r="A55" s="219" t="s">
        <v>217</v>
      </c>
      <c r="B55" s="220">
        <v>303.5</v>
      </c>
    </row>
    <row r="56" ht="15.75" customHeight="1">
      <c r="A56" s="223" t="s">
        <v>218</v>
      </c>
      <c r="B56" s="224">
        <v>318.75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B14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8.71"/>
    <col customWidth="1" min="5" max="5" width="8.71"/>
    <col customWidth="1" hidden="1" min="6" max="8" width="8.71"/>
    <col customWidth="1" min="9" max="9" width="8.71"/>
    <col customWidth="1" hidden="1" min="10" max="13" width="8.71"/>
    <col customWidth="1" min="14" max="18" width="8.71"/>
    <col customWidth="1" hidden="1" min="19" max="19" width="10.43"/>
    <col customWidth="1" min="20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2.0</v>
      </c>
      <c r="B3" s="14">
        <v>17.25</v>
      </c>
      <c r="C3" s="14">
        <v>34.5</v>
      </c>
      <c r="D3" s="15">
        <v>0.125</v>
      </c>
      <c r="E3" s="15">
        <v>0.065</v>
      </c>
      <c r="F3" s="15">
        <f>(A3+B3)*C3</f>
        <v>664.125</v>
      </c>
      <c r="G3" s="15">
        <f>(A3+B3)/E3</f>
        <v>296.1538462</v>
      </c>
      <c r="H3" s="15">
        <f>C3/10</f>
        <v>3.45</v>
      </c>
      <c r="I3" s="15">
        <v>3.0</v>
      </c>
      <c r="J3" s="16">
        <f>H3*G3/60</f>
        <v>17.02884615</v>
      </c>
      <c r="K3" s="16">
        <f>J3+I3</f>
        <v>20.02884615</v>
      </c>
      <c r="L3" s="17">
        <v>225.0</v>
      </c>
      <c r="M3" s="18">
        <f>L3/60</f>
        <v>3.75</v>
      </c>
      <c r="N3" s="225">
        <f>ROUNDUP(K3*M3,1)</f>
        <v>75.2</v>
      </c>
      <c r="O3" s="106"/>
      <c r="P3" s="22">
        <v>0.0</v>
      </c>
      <c r="Q3" s="151">
        <v>0.02</v>
      </c>
      <c r="R3" s="20">
        <v>2.0</v>
      </c>
      <c r="S3" s="171">
        <f>N3*R3</f>
        <v>150.4</v>
      </c>
      <c r="T3" s="21">
        <f>IF(S3&gt;Y3, S3, Y3)</f>
        <v>225</v>
      </c>
      <c r="U3" s="21">
        <f>T3+P3</f>
        <v>225</v>
      </c>
      <c r="V3" s="21">
        <f>ROUNDUP(U3*Q3,0)</f>
        <v>5</v>
      </c>
      <c r="W3" s="226">
        <f>U3+V3</f>
        <v>230</v>
      </c>
      <c r="X3" s="9"/>
      <c r="Y3" s="24">
        <v>225.0</v>
      </c>
      <c r="Z3" s="152">
        <f>ROUNDDOWN(Y3/N3,0)</f>
        <v>2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49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42.125</v>
      </c>
      <c r="C6" s="14">
        <v>6.62</v>
      </c>
      <c r="D6" s="15" t="s">
        <v>24</v>
      </c>
      <c r="E6" s="47">
        <v>0.065</v>
      </c>
      <c r="F6" s="47">
        <f>B6*3.14</f>
        <v>132.2725</v>
      </c>
      <c r="G6" s="48">
        <f>F6/E6</f>
        <v>2034.961538</v>
      </c>
      <c r="H6" s="47">
        <f>C6/10</f>
        <v>0.662</v>
      </c>
      <c r="I6" s="47">
        <v>3.0</v>
      </c>
      <c r="J6" s="16">
        <f>H6*G6/60</f>
        <v>22.45240897</v>
      </c>
      <c r="K6" s="49">
        <f>J6+I6</f>
        <v>25.45240897</v>
      </c>
      <c r="L6" s="17">
        <v>225.0</v>
      </c>
      <c r="M6" s="18">
        <f>L6/60</f>
        <v>3.75</v>
      </c>
      <c r="N6" s="226">
        <f>ROUNDUP(K6*M6,1)</f>
        <v>95.5</v>
      </c>
      <c r="O6" s="106"/>
      <c r="P6" s="22">
        <v>125.0</v>
      </c>
      <c r="Q6" s="151">
        <v>0.02</v>
      </c>
      <c r="R6" s="20">
        <v>3.0</v>
      </c>
      <c r="S6" s="171">
        <f>N6*R6</f>
        <v>286.5</v>
      </c>
      <c r="T6" s="21">
        <f>IF(S6&gt;Y6, S6, Y6)</f>
        <v>286.5</v>
      </c>
      <c r="U6" s="21">
        <f>T6+P6</f>
        <v>411.5</v>
      </c>
      <c r="V6" s="21">
        <f>ROUNDUP(U6*Q6,0)</f>
        <v>9</v>
      </c>
      <c r="W6" s="226">
        <f>U6+V6</f>
        <v>420.5</v>
      </c>
      <c r="X6" s="106"/>
      <c r="Y6" s="162">
        <v>225.0</v>
      </c>
      <c r="Z6" s="163">
        <f>ROUNDDOWN(Y6/N6,0)</f>
        <v>2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219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1.5</v>
      </c>
      <c r="B11" s="14">
        <v>36.0</v>
      </c>
      <c r="C11" s="14">
        <v>20.0</v>
      </c>
      <c r="D11" s="15">
        <v>0.125</v>
      </c>
      <c r="E11" s="15">
        <v>0.065</v>
      </c>
      <c r="F11" s="15">
        <f>(A11+B11)*C11</f>
        <v>750</v>
      </c>
      <c r="G11" s="15">
        <f>(A11+B11)/E11</f>
        <v>576.9230769</v>
      </c>
      <c r="H11" s="15">
        <f>C11/10</f>
        <v>2</v>
      </c>
      <c r="I11" s="15">
        <v>3.0</v>
      </c>
      <c r="J11" s="16">
        <f>H11*G11/60</f>
        <v>19.23076923</v>
      </c>
      <c r="K11" s="16">
        <f>J11+I11</f>
        <v>22.23076923</v>
      </c>
      <c r="L11" s="17">
        <v>250.0</v>
      </c>
      <c r="M11" s="18">
        <f>L11/60</f>
        <v>4.166666667</v>
      </c>
      <c r="N11" s="225">
        <f>ROUNDUP(K11*M11,1)</f>
        <v>92.7</v>
      </c>
      <c r="O11" s="106"/>
      <c r="P11" s="22">
        <v>125.0</v>
      </c>
      <c r="Q11" s="151">
        <v>0.02</v>
      </c>
      <c r="R11" s="20">
        <v>1.0</v>
      </c>
      <c r="S11" s="171">
        <f>N11*R11</f>
        <v>92.7</v>
      </c>
      <c r="T11" s="21">
        <f>IF(S11&gt;Y11, S11, Y11)</f>
        <v>250</v>
      </c>
      <c r="U11" s="21">
        <f>T11+P11</f>
        <v>375</v>
      </c>
      <c r="V11" s="21">
        <f>ROUNDUP(U11*Q11,0)</f>
        <v>8</v>
      </c>
      <c r="W11" s="226">
        <f>U11+V11</f>
        <v>383</v>
      </c>
      <c r="X11" s="9"/>
      <c r="Y11" s="24">
        <v>250.0</v>
      </c>
      <c r="Z11" s="152">
        <f>ROUNDDOWN(Y11/N11,0)</f>
        <v>2</v>
      </c>
    </row>
    <row r="12">
      <c r="A12" s="3"/>
      <c r="B12" s="153" t="s">
        <v>220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49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2.0</v>
      </c>
      <c r="C14" s="14">
        <v>2.0</v>
      </c>
      <c r="D14" s="15" t="s">
        <v>24</v>
      </c>
      <c r="E14" s="47">
        <v>0.065</v>
      </c>
      <c r="F14" s="47">
        <f>B14*3.14</f>
        <v>6.28</v>
      </c>
      <c r="G14" s="48">
        <f>F14/E14</f>
        <v>96.61538462</v>
      </c>
      <c r="H14" s="47">
        <f>C14/10</f>
        <v>0.2</v>
      </c>
      <c r="I14" s="47">
        <v>3.0</v>
      </c>
      <c r="J14" s="16">
        <f>H14*G14/60</f>
        <v>0.3220512821</v>
      </c>
      <c r="K14" s="49">
        <f>J14+I14</f>
        <v>3.322051282</v>
      </c>
      <c r="L14" s="17">
        <v>250.0</v>
      </c>
      <c r="M14" s="18">
        <f>L14/60</f>
        <v>4.166666667</v>
      </c>
      <c r="N14" s="226">
        <f>ROUNDUP(K14*M14,1)</f>
        <v>13.9</v>
      </c>
      <c r="O14" s="106"/>
      <c r="P14" s="22">
        <v>125.0</v>
      </c>
      <c r="Q14" s="151">
        <v>0.02</v>
      </c>
      <c r="R14" s="20">
        <v>1.0</v>
      </c>
      <c r="S14" s="171">
        <f>N14*R14</f>
        <v>13.9</v>
      </c>
      <c r="T14" s="21">
        <f>IF(S14&gt;Y14, S14, Y14)</f>
        <v>250</v>
      </c>
      <c r="U14" s="21">
        <f>T14+P14</f>
        <v>375</v>
      </c>
      <c r="V14" s="21">
        <f>ROUNDUP(U14*Q14,0)</f>
        <v>8</v>
      </c>
      <c r="W14" s="226">
        <f>U14+V14</f>
        <v>383</v>
      </c>
      <c r="X14" s="106"/>
      <c r="Y14" s="162">
        <v>250.0</v>
      </c>
      <c r="Z14" s="163">
        <f>ROUNDDOWN(Y14/N14,0)</f>
        <v>17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W19" s="51"/>
    </row>
    <row r="20">
      <c r="A20" s="86" t="s">
        <v>20</v>
      </c>
      <c r="C20" s="166" t="s">
        <v>131</v>
      </c>
      <c r="I20" s="86"/>
      <c r="R20" s="88"/>
      <c r="W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W21" s="52"/>
    </row>
    <row r="22" ht="15.75" customHeight="1">
      <c r="A22" s="167" t="s">
        <v>135</v>
      </c>
      <c r="B22" s="106"/>
      <c r="C22" s="107">
        <v>100.0</v>
      </c>
      <c r="I22" s="86" t="s">
        <v>137</v>
      </c>
      <c r="R22" s="88"/>
      <c r="W22" s="52"/>
    </row>
    <row r="23" ht="15.75" customHeight="1">
      <c r="I23" s="86"/>
      <c r="R23" s="88"/>
      <c r="W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A32" s="83"/>
      <c r="B32" s="164" t="s">
        <v>126</v>
      </c>
      <c r="C32" s="85"/>
    </row>
    <row r="33" ht="15.75" customHeight="1">
      <c r="A33" s="86" t="s">
        <v>22</v>
      </c>
      <c r="C33" s="165">
        <v>225.0</v>
      </c>
    </row>
    <row r="34" ht="15.75" customHeight="1">
      <c r="A34" s="86" t="s">
        <v>129</v>
      </c>
      <c r="C34" s="165">
        <v>125.0</v>
      </c>
    </row>
    <row r="35" ht="15.75" customHeight="1">
      <c r="A35" s="86" t="s">
        <v>20</v>
      </c>
      <c r="C35" s="88" t="s">
        <v>131</v>
      </c>
    </row>
    <row r="36" ht="15.75" customHeight="1">
      <c r="A36" s="86" t="s">
        <v>132</v>
      </c>
      <c r="C36" s="88" t="s">
        <v>133</v>
      </c>
    </row>
    <row r="37" ht="15.75" customHeight="1">
      <c r="A37" s="167" t="s">
        <v>135</v>
      </c>
      <c r="B37" s="106"/>
      <c r="C37" s="107" t="s">
        <v>221</v>
      </c>
    </row>
    <row r="38" ht="15.75" customHeight="1">
      <c r="A38" s="86" t="s">
        <v>222</v>
      </c>
      <c r="C38" s="28">
        <v>75.0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8.71"/>
    <col customWidth="1" min="5" max="5" width="8.71"/>
    <col customWidth="1" hidden="1" min="6" max="8" width="8.71"/>
    <col customWidth="1" min="9" max="9" width="8.71"/>
    <col customWidth="1" hidden="1" min="10" max="11" width="8.71"/>
    <col customWidth="1" min="12" max="18" width="8.71"/>
    <col customWidth="1" hidden="1" min="19" max="19" width="8.71"/>
    <col customWidth="1" min="20" max="22" width="12.0"/>
    <col customWidth="1" min="23" max="23" width="10.57"/>
    <col customWidth="1" min="24" max="24" width="8.71"/>
    <col customWidth="1" min="25" max="25" width="12.57"/>
    <col customWidth="1" min="26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0.25</v>
      </c>
      <c r="B3" s="14">
        <v>36.0</v>
      </c>
      <c r="C3" s="14">
        <v>36.0</v>
      </c>
      <c r="D3" s="15">
        <v>0.125</v>
      </c>
      <c r="E3" s="15">
        <v>0.045</v>
      </c>
      <c r="F3" s="15">
        <f>(A3+B3)*C3</f>
        <v>1305</v>
      </c>
      <c r="G3" s="15">
        <f>(A3+B3)/E3</f>
        <v>805.5555556</v>
      </c>
      <c r="H3" s="15">
        <f>C3/10</f>
        <v>3.6</v>
      </c>
      <c r="I3" s="15">
        <v>3.0</v>
      </c>
      <c r="J3" s="16">
        <f>H3*G3/60</f>
        <v>48.33333333</v>
      </c>
      <c r="K3" s="16">
        <f>J3+I3</f>
        <v>51.33333333</v>
      </c>
      <c r="L3" s="17">
        <v>225.0</v>
      </c>
      <c r="M3" s="18">
        <f>L3/60</f>
        <v>3.75</v>
      </c>
      <c r="N3" s="225">
        <f>ROUNDUP(K3*M3,1)</f>
        <v>192.5</v>
      </c>
      <c r="O3" s="106"/>
      <c r="P3" s="22">
        <v>0.0</v>
      </c>
      <c r="Q3" s="151">
        <v>0.02</v>
      </c>
      <c r="R3" s="20">
        <v>50.0</v>
      </c>
      <c r="S3" s="171">
        <f>N3*R3</f>
        <v>9625</v>
      </c>
      <c r="T3" s="21">
        <f>IF(S3&gt;Y3, S3, Y3)</f>
        <v>9625</v>
      </c>
      <c r="U3" s="21">
        <f>T3+P3</f>
        <v>9625</v>
      </c>
      <c r="V3" s="21">
        <f>ROUNDUP(U3*Q3,0)</f>
        <v>193</v>
      </c>
      <c r="W3" s="226">
        <f>U3+V3</f>
        <v>9818</v>
      </c>
      <c r="X3" s="9"/>
      <c r="Y3" s="24">
        <v>225.0</v>
      </c>
      <c r="Z3" s="152">
        <f>ROUNDDOWN(Y3/N3,0)</f>
        <v>1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49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8.0</v>
      </c>
      <c r="C6" s="14">
        <v>3.0</v>
      </c>
      <c r="D6" s="15" t="s">
        <v>24</v>
      </c>
      <c r="E6" s="47">
        <v>0.045</v>
      </c>
      <c r="F6" s="47">
        <f>B6*3.14</f>
        <v>25.12</v>
      </c>
      <c r="G6" s="48">
        <f>F6/E6</f>
        <v>558.2222222</v>
      </c>
      <c r="H6" s="47">
        <f>C6/10</f>
        <v>0.3</v>
      </c>
      <c r="I6" s="47">
        <v>4.0</v>
      </c>
      <c r="J6" s="16">
        <f>H6*G6/60</f>
        <v>2.791111111</v>
      </c>
      <c r="K6" s="49">
        <f>J6+I6</f>
        <v>6.791111111</v>
      </c>
      <c r="L6" s="17">
        <v>225.0</v>
      </c>
      <c r="M6" s="18">
        <f>L6/60</f>
        <v>3.75</v>
      </c>
      <c r="N6" s="226">
        <f>ROUNDUP(K6*M6,1)</f>
        <v>25.5</v>
      </c>
      <c r="O6" s="106"/>
      <c r="P6" s="22">
        <v>125.0</v>
      </c>
      <c r="Q6" s="151">
        <v>0.02</v>
      </c>
      <c r="R6" s="20">
        <v>20.0</v>
      </c>
      <c r="S6" s="172">
        <f>N6*R6</f>
        <v>510</v>
      </c>
      <c r="T6" s="161">
        <f>IF(S6&gt;Y6, S6, Y6)</f>
        <v>510</v>
      </c>
      <c r="U6" s="161">
        <f>T6+P6</f>
        <v>635</v>
      </c>
      <c r="V6" s="21">
        <f>ROUNDUP(U6*Q6,0)</f>
        <v>13</v>
      </c>
      <c r="W6" s="226">
        <f>U6+V6</f>
        <v>648</v>
      </c>
      <c r="X6" s="106"/>
      <c r="Y6" s="162">
        <v>225.0</v>
      </c>
      <c r="Z6" s="163">
        <f>ROUNDDOWN(Y6/N6,0)</f>
        <v>8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223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1.5</v>
      </c>
      <c r="B11" s="14">
        <v>36.0</v>
      </c>
      <c r="C11" s="14">
        <v>20.0</v>
      </c>
      <c r="D11" s="15">
        <v>0.125</v>
      </c>
      <c r="E11" s="15">
        <v>0.045</v>
      </c>
      <c r="F11" s="15">
        <f>(A11+B11)*C11</f>
        <v>750</v>
      </c>
      <c r="G11" s="15">
        <f>(A11+B11)/E11</f>
        <v>833.3333333</v>
      </c>
      <c r="H11" s="15">
        <f>C11/10</f>
        <v>2</v>
      </c>
      <c r="I11" s="15">
        <v>3.0</v>
      </c>
      <c r="J11" s="16">
        <f>H11*G11/60</f>
        <v>27.77777778</v>
      </c>
      <c r="K11" s="16">
        <f>J11+I11</f>
        <v>30.77777778</v>
      </c>
      <c r="L11" s="17">
        <v>250.0</v>
      </c>
      <c r="M11" s="18">
        <f>L11/60</f>
        <v>4.166666667</v>
      </c>
      <c r="N11" s="225">
        <f>ROUNDUP(K11*M11,1)</f>
        <v>128.3</v>
      </c>
      <c r="O11" s="106"/>
      <c r="P11" s="22">
        <v>125.0</v>
      </c>
      <c r="Q11" s="151">
        <v>0.02</v>
      </c>
      <c r="R11" s="20">
        <v>1.0</v>
      </c>
      <c r="S11" s="171">
        <f>N11*R11</f>
        <v>128.3</v>
      </c>
      <c r="T11" s="161">
        <f>IF(S11&gt;Y11, S11, Y11)</f>
        <v>250</v>
      </c>
      <c r="U11" s="21">
        <f>T11+P11</f>
        <v>375</v>
      </c>
      <c r="V11" s="21">
        <f>ROUNDUP(U11*Q11,0)</f>
        <v>8</v>
      </c>
      <c r="W11" s="226">
        <f>U11+V11</f>
        <v>383</v>
      </c>
      <c r="X11" s="9"/>
      <c r="Y11" s="24">
        <v>250.0</v>
      </c>
      <c r="Z11" s="152">
        <f>ROUNDDOWN(Y11/N11,0)</f>
        <v>1</v>
      </c>
    </row>
    <row r="12">
      <c r="A12" s="3"/>
      <c r="B12" s="153" t="s">
        <v>224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49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10.0</v>
      </c>
      <c r="C14" s="14">
        <v>1.85</v>
      </c>
      <c r="D14" s="15" t="s">
        <v>24</v>
      </c>
      <c r="E14" s="47">
        <v>0.045</v>
      </c>
      <c r="F14" s="47">
        <f>B14*3.14</f>
        <v>31.4</v>
      </c>
      <c r="G14" s="48">
        <f>F14/E14</f>
        <v>697.7777778</v>
      </c>
      <c r="H14" s="47">
        <f>C14/10</f>
        <v>0.185</v>
      </c>
      <c r="I14" s="47">
        <v>4.0</v>
      </c>
      <c r="J14" s="16">
        <f>H14*G14/60</f>
        <v>2.151481481</v>
      </c>
      <c r="K14" s="49">
        <f>J14+I14</f>
        <v>6.151481481</v>
      </c>
      <c r="L14" s="17">
        <v>250.0</v>
      </c>
      <c r="M14" s="18">
        <f>L14/60</f>
        <v>4.166666667</v>
      </c>
      <c r="N14" s="226">
        <f>ROUNDUP(K14*M14,1)</f>
        <v>25.7</v>
      </c>
      <c r="O14" s="106"/>
      <c r="P14" s="22">
        <v>125.0</v>
      </c>
      <c r="Q14" s="151">
        <v>0.02</v>
      </c>
      <c r="R14" s="20">
        <v>1.0</v>
      </c>
      <c r="S14" s="172">
        <f>N14*R14</f>
        <v>25.7</v>
      </c>
      <c r="T14" s="161">
        <f>IF(S14&gt;Y14, S14, Y14)</f>
        <v>250</v>
      </c>
      <c r="U14" s="161">
        <f>T14+P14</f>
        <v>375</v>
      </c>
      <c r="V14" s="21">
        <f>ROUNDUP(U14*Q14,0)</f>
        <v>8</v>
      </c>
      <c r="W14" s="226">
        <f>U14+V14</f>
        <v>383</v>
      </c>
      <c r="X14" s="106"/>
      <c r="Y14" s="162">
        <v>250.0</v>
      </c>
      <c r="Z14" s="163">
        <f>ROUNDDOWN(Y14/N14,0)</f>
        <v>9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W19" s="51"/>
    </row>
    <row r="20">
      <c r="A20" s="86" t="s">
        <v>20</v>
      </c>
      <c r="C20" s="88" t="s">
        <v>131</v>
      </c>
      <c r="I20" s="86"/>
      <c r="R20" s="88"/>
      <c r="W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W21" s="52"/>
    </row>
    <row r="22" ht="15.75" customHeight="1">
      <c r="A22" s="167" t="s">
        <v>135</v>
      </c>
      <c r="B22" s="106"/>
      <c r="C22" s="107" t="s">
        <v>136</v>
      </c>
      <c r="I22" s="86" t="s">
        <v>137</v>
      </c>
      <c r="R22" s="88"/>
      <c r="W22" s="52"/>
    </row>
    <row r="23" ht="15.75" customHeight="1">
      <c r="I23" s="86"/>
      <c r="R23" s="88"/>
      <c r="W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13" width="9.14"/>
    <col customWidth="1" min="14" max="16" width="8.71"/>
    <col customWidth="1" min="17" max="17" width="10.43"/>
    <col customWidth="1" min="18" max="18" width="11.29"/>
    <col customWidth="1" min="19" max="20" width="8.71"/>
    <col customWidth="1" min="21" max="21" width="11.0"/>
    <col customWidth="1" min="22" max="22" width="8.71"/>
    <col customWidth="1" min="23" max="23" width="11.71"/>
    <col customWidth="1" min="24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  <c r="S1" s="4"/>
      <c r="T1" s="4"/>
      <c r="U1" s="4"/>
      <c r="V1" s="5"/>
      <c r="W1" s="4"/>
      <c r="X1" s="4"/>
      <c r="Y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0" t="s">
        <v>140</v>
      </c>
      <c r="R2" s="11" t="s">
        <v>16</v>
      </c>
      <c r="S2" s="11" t="s">
        <v>17</v>
      </c>
      <c r="T2" s="10" t="s">
        <v>18</v>
      </c>
      <c r="U2" s="10" t="s">
        <v>19</v>
      </c>
      <c r="V2" s="12" t="s">
        <v>20</v>
      </c>
      <c r="W2" s="10" t="s">
        <v>21</v>
      </c>
      <c r="X2" s="11" t="s">
        <v>22</v>
      </c>
      <c r="Y2" s="13" t="s">
        <v>23</v>
      </c>
    </row>
    <row r="3">
      <c r="A3" s="14">
        <v>5.0</v>
      </c>
      <c r="B3" s="14">
        <v>5.5</v>
      </c>
      <c r="C3" s="14">
        <v>11.0</v>
      </c>
      <c r="D3" s="15" t="s">
        <v>24</v>
      </c>
      <c r="E3" s="15">
        <v>0.085</v>
      </c>
      <c r="F3" s="15">
        <f>(A3+B3)*C3</f>
        <v>115.5</v>
      </c>
      <c r="G3" s="15">
        <f>(A3+B3)/E3</f>
        <v>123.5294118</v>
      </c>
      <c r="H3" s="15">
        <f>C3/10</f>
        <v>1.1</v>
      </c>
      <c r="I3" s="15">
        <v>3.0</v>
      </c>
      <c r="J3" s="16">
        <f>H3*G3/60</f>
        <v>2.264705882</v>
      </c>
      <c r="K3" s="16">
        <f>J3+I3</f>
        <v>5.264705882</v>
      </c>
      <c r="L3" s="17">
        <v>225.0</v>
      </c>
      <c r="M3" s="18">
        <f>L3/60</f>
        <v>3.75</v>
      </c>
      <c r="N3" s="18">
        <f>ROUNDUP(K3*M3,1)</f>
        <v>19.8</v>
      </c>
      <c r="O3" s="19" t="s">
        <v>225</v>
      </c>
      <c r="P3" s="20">
        <v>22.0</v>
      </c>
      <c r="Q3" s="171">
        <f>N3*P3</f>
        <v>435.6</v>
      </c>
      <c r="R3" s="21">
        <f>IF(Q3&gt;X3, Q3, X3)</f>
        <v>435.6</v>
      </c>
      <c r="S3" s="22">
        <v>0.0</v>
      </c>
      <c r="T3" s="23">
        <v>0.02</v>
      </c>
      <c r="U3" s="21">
        <f>R3+S3</f>
        <v>435.6</v>
      </c>
      <c r="V3" s="18">
        <f>ROUNDUP(U3*T3,0)</f>
        <v>9</v>
      </c>
      <c r="W3" s="21">
        <f>U3+V3</f>
        <v>444.6</v>
      </c>
      <c r="X3" s="24">
        <v>225.0</v>
      </c>
      <c r="Y3" s="25">
        <f>ROUNDDOWN(X3/N3,0)</f>
        <v>11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3"/>
      <c r="R4" s="28"/>
      <c r="S4" s="29"/>
      <c r="T4" s="30"/>
      <c r="U4" s="28"/>
      <c r="V4" s="31"/>
      <c r="W4" s="28"/>
      <c r="X4" s="32"/>
      <c r="Y4" s="26"/>
    </row>
    <row r="5">
      <c r="A5" s="3"/>
      <c r="B5" s="33" t="s">
        <v>28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  <c r="S5" s="36"/>
      <c r="T5" s="37"/>
      <c r="U5" s="35"/>
      <c r="V5" s="38"/>
      <c r="W5" s="35"/>
      <c r="X5" s="34"/>
      <c r="Y5" s="39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10" t="s">
        <v>140</v>
      </c>
      <c r="R6" s="43" t="s">
        <v>16</v>
      </c>
      <c r="S6" s="44" t="s">
        <v>17</v>
      </c>
      <c r="T6" s="45" t="s">
        <v>18</v>
      </c>
      <c r="U6" s="43" t="s">
        <v>19</v>
      </c>
      <c r="V6" s="46" t="s">
        <v>20</v>
      </c>
      <c r="W6" s="43" t="s">
        <v>21</v>
      </c>
      <c r="X6" s="11" t="s">
        <v>22</v>
      </c>
      <c r="Y6" s="13" t="s">
        <v>23</v>
      </c>
    </row>
    <row r="7">
      <c r="A7" s="3"/>
      <c r="B7" s="14">
        <v>2.5</v>
      </c>
      <c r="C7" s="14">
        <v>21.75</v>
      </c>
      <c r="D7" s="193" t="s">
        <v>24</v>
      </c>
      <c r="E7" s="47">
        <v>0.075</v>
      </c>
      <c r="F7" s="47">
        <f>B7*3.14</f>
        <v>7.85</v>
      </c>
      <c r="G7" s="48">
        <f>F7/E7</f>
        <v>104.6666667</v>
      </c>
      <c r="H7" s="47">
        <f>C7/10</f>
        <v>2.175</v>
      </c>
      <c r="I7" s="47">
        <v>3.0</v>
      </c>
      <c r="J7" s="16">
        <f>H7*G7/60</f>
        <v>3.794166667</v>
      </c>
      <c r="K7" s="49">
        <f>J7+I7</f>
        <v>6.794166667</v>
      </c>
      <c r="L7" s="194">
        <v>225.0</v>
      </c>
      <c r="M7" s="195">
        <f>L7/60</f>
        <v>3.75</v>
      </c>
      <c r="N7" s="21">
        <f>ROUNDUP(K7*M7,1)</f>
        <v>25.5</v>
      </c>
      <c r="O7" s="9" t="s">
        <v>225</v>
      </c>
      <c r="P7" s="20">
        <v>12.0</v>
      </c>
      <c r="Q7" s="171">
        <f>N7*P7</f>
        <v>306</v>
      </c>
      <c r="R7" s="21">
        <f>IF(Q7&gt;X7, Q7, X7)</f>
        <v>306</v>
      </c>
      <c r="S7" s="22">
        <v>0.0</v>
      </c>
      <c r="T7" s="23">
        <v>0.02</v>
      </c>
      <c r="U7" s="21">
        <f>R7+S7</f>
        <v>306</v>
      </c>
      <c r="V7" s="18">
        <f>ROUNDUP(U7*T7,0)</f>
        <v>7</v>
      </c>
      <c r="W7" s="21">
        <f>U7+V7</f>
        <v>313</v>
      </c>
      <c r="X7" s="24">
        <v>225.0</v>
      </c>
      <c r="Y7" s="25">
        <f>ROUNDDOWN(X7/N7,0)</f>
        <v>8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6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6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6"/>
      <c r="W10" s="3"/>
      <c r="X10" s="3"/>
      <c r="Y10" s="3"/>
    </row>
    <row r="11">
      <c r="A11" s="83"/>
      <c r="B11" s="164" t="s">
        <v>126</v>
      </c>
      <c r="C11" s="85"/>
      <c r="D11" s="3"/>
      <c r="E11" s="3"/>
      <c r="F11" s="3"/>
      <c r="G11" s="3"/>
      <c r="H11" s="3"/>
      <c r="I11" s="3"/>
      <c r="J11" s="3"/>
      <c r="K11" s="3"/>
      <c r="L11" s="3"/>
      <c r="M11" s="3"/>
      <c r="N11" s="83"/>
      <c r="O11" s="84"/>
      <c r="P11" s="84"/>
      <c r="Q11" s="84"/>
      <c r="R11" s="84"/>
      <c r="S11" s="164" t="s">
        <v>127</v>
      </c>
      <c r="T11" s="84"/>
      <c r="U11" s="84"/>
      <c r="V11" s="84"/>
      <c r="W11" s="85"/>
      <c r="X11" s="3"/>
      <c r="Y11" s="3"/>
    </row>
    <row r="12">
      <c r="A12" s="86" t="s">
        <v>22</v>
      </c>
      <c r="C12" s="215">
        <v>225.0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86" t="s">
        <v>128</v>
      </c>
      <c r="W12" s="88"/>
      <c r="X12" s="3"/>
      <c r="Y12" s="3"/>
    </row>
    <row r="13">
      <c r="A13" s="86" t="s">
        <v>129</v>
      </c>
      <c r="C13" s="215" t="s">
        <v>143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86" t="s">
        <v>130</v>
      </c>
      <c r="W13" s="88"/>
      <c r="X13" s="3"/>
      <c r="Y13" s="3"/>
    </row>
    <row r="14">
      <c r="A14" s="86" t="s">
        <v>20</v>
      </c>
      <c r="C14" s="166" t="s">
        <v>131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86"/>
      <c r="W14" s="88"/>
      <c r="X14" s="3"/>
      <c r="Y14" s="3"/>
    </row>
    <row r="15">
      <c r="A15" s="86" t="s">
        <v>132</v>
      </c>
      <c r="C15" s="166" t="s">
        <v>133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86" t="s">
        <v>134</v>
      </c>
      <c r="W15" s="88"/>
      <c r="X15" s="3"/>
      <c r="Y15" s="3"/>
    </row>
    <row r="16">
      <c r="A16" s="167" t="s">
        <v>135</v>
      </c>
      <c r="B16" s="106"/>
      <c r="C16" s="168" t="s">
        <v>143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86" t="s">
        <v>137</v>
      </c>
      <c r="W16" s="88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86"/>
      <c r="W17" s="88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86" t="s">
        <v>138</v>
      </c>
      <c r="W18" s="88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67" t="s">
        <v>139</v>
      </c>
      <c r="O19" s="106"/>
      <c r="P19" s="106"/>
      <c r="Q19" s="106"/>
      <c r="R19" s="106"/>
      <c r="S19" s="106"/>
      <c r="T19" s="106"/>
      <c r="U19" s="106"/>
      <c r="V19" s="106"/>
      <c r="W19" s="169"/>
      <c r="X19" s="3"/>
      <c r="Y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3" width="8.71"/>
    <col customWidth="1" min="4" max="4" width="15.86"/>
    <col customWidth="1" min="5" max="29" width="8.71"/>
  </cols>
  <sheetData>
    <row r="1">
      <c r="A1" s="227" t="s">
        <v>226</v>
      </c>
      <c r="B1" s="228"/>
      <c r="C1" s="228"/>
      <c r="D1" s="229"/>
      <c r="F1" s="33" t="s">
        <v>28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  <c r="W1" s="36"/>
      <c r="X1" s="37"/>
      <c r="Y1" s="35"/>
      <c r="Z1" s="38"/>
      <c r="AA1" s="35"/>
      <c r="AB1" s="34"/>
      <c r="AC1" s="39"/>
    </row>
    <row r="2">
      <c r="A2" s="230"/>
      <c r="B2" s="231"/>
      <c r="C2" s="231"/>
      <c r="D2" s="232"/>
      <c r="F2" s="40" t="s">
        <v>29</v>
      </c>
      <c r="G2" s="40" t="s">
        <v>3</v>
      </c>
      <c r="H2" s="7" t="s">
        <v>4</v>
      </c>
      <c r="I2" s="40" t="s">
        <v>5</v>
      </c>
      <c r="J2" s="41" t="s">
        <v>30</v>
      </c>
      <c r="K2" s="40" t="s">
        <v>31</v>
      </c>
      <c r="L2" s="40" t="s">
        <v>32</v>
      </c>
      <c r="M2" s="40" t="s">
        <v>33</v>
      </c>
      <c r="N2" s="40" t="s">
        <v>34</v>
      </c>
      <c r="O2" s="40" t="s">
        <v>35</v>
      </c>
      <c r="P2" s="7" t="s">
        <v>12</v>
      </c>
      <c r="Q2" s="7" t="s">
        <v>13</v>
      </c>
      <c r="R2" s="42" t="s">
        <v>36</v>
      </c>
      <c r="S2" s="11"/>
      <c r="T2" s="10" t="s">
        <v>15</v>
      </c>
      <c r="U2" s="10" t="s">
        <v>140</v>
      </c>
      <c r="V2" s="43" t="s">
        <v>16</v>
      </c>
      <c r="W2" s="44" t="s">
        <v>17</v>
      </c>
      <c r="X2" s="45" t="s">
        <v>18</v>
      </c>
      <c r="Y2" s="43" t="s">
        <v>19</v>
      </c>
      <c r="Z2" s="46" t="s">
        <v>20</v>
      </c>
      <c r="AA2" s="43" t="s">
        <v>21</v>
      </c>
      <c r="AB2" s="11" t="s">
        <v>22</v>
      </c>
      <c r="AC2" s="13" t="s">
        <v>23</v>
      </c>
    </row>
    <row r="3" ht="15.0" customHeight="1">
      <c r="A3" s="233" t="s">
        <v>227</v>
      </c>
      <c r="B3" s="228"/>
      <c r="C3" s="228"/>
      <c r="D3" s="229"/>
      <c r="F3" s="14">
        <v>6.5</v>
      </c>
      <c r="G3" s="14">
        <v>69.0</v>
      </c>
      <c r="H3" s="15" t="s">
        <v>24</v>
      </c>
      <c r="I3" s="47">
        <v>0.231</v>
      </c>
      <c r="J3" s="47">
        <f>F3*3.14</f>
        <v>20.41</v>
      </c>
      <c r="K3" s="48">
        <f>J3/I3</f>
        <v>88.35497835</v>
      </c>
      <c r="L3" s="47">
        <f>G3/10</f>
        <v>6.9</v>
      </c>
      <c r="M3" s="47">
        <v>3.0</v>
      </c>
      <c r="N3" s="16">
        <f>L3*K3/60</f>
        <v>10.16082251</v>
      </c>
      <c r="O3" s="49">
        <f>N3+M3</f>
        <v>13.16082251</v>
      </c>
      <c r="P3" s="17">
        <v>225.0</v>
      </c>
      <c r="Q3" s="18">
        <f>P3/60</f>
        <v>3.75</v>
      </c>
      <c r="R3" s="21">
        <f>ROUNDUP(O3*Q3,1)</f>
        <v>49.4</v>
      </c>
      <c r="S3" s="3" t="s">
        <v>25</v>
      </c>
      <c r="T3" s="20">
        <v>4.0</v>
      </c>
      <c r="U3" s="171">
        <f>R3*T3</f>
        <v>197.6</v>
      </c>
      <c r="V3" s="21">
        <f>IF(U3&gt;AB3, U3, AB3)</f>
        <v>225</v>
      </c>
      <c r="W3" s="22">
        <v>125.0</v>
      </c>
      <c r="X3" s="23">
        <v>0.02</v>
      </c>
      <c r="Y3" s="21">
        <f>V3+W3</f>
        <v>350</v>
      </c>
      <c r="Z3" s="18">
        <f>ROUNDUP(Y3*X3,0)</f>
        <v>7</v>
      </c>
      <c r="AA3" s="21">
        <f>Y3+Z3</f>
        <v>357</v>
      </c>
      <c r="AB3" s="24">
        <v>225.0</v>
      </c>
      <c r="AC3" s="25">
        <f>ROUNDDOWN(AB3/R3,0)</f>
        <v>4</v>
      </c>
    </row>
    <row r="4">
      <c r="A4" s="230"/>
      <c r="B4" s="231"/>
      <c r="C4" s="231"/>
      <c r="D4" s="232"/>
    </row>
    <row r="6">
      <c r="A6" s="9" t="s">
        <v>228</v>
      </c>
      <c r="B6" s="9" t="s">
        <v>229</v>
      </c>
      <c r="C6" s="9" t="s">
        <v>230</v>
      </c>
      <c r="D6" s="9" t="s">
        <v>231</v>
      </c>
    </row>
    <row r="7">
      <c r="A7" s="9" t="s">
        <v>232</v>
      </c>
      <c r="B7" s="234">
        <v>44.25</v>
      </c>
      <c r="C7" s="75" t="s">
        <v>233</v>
      </c>
      <c r="D7" s="75" t="s">
        <v>234</v>
      </c>
    </row>
    <row r="8">
      <c r="A8" s="9" t="s">
        <v>235</v>
      </c>
      <c r="B8" s="234">
        <v>44.95</v>
      </c>
      <c r="C8" s="75" t="s">
        <v>233</v>
      </c>
      <c r="D8" s="75" t="s">
        <v>234</v>
      </c>
    </row>
    <row r="9">
      <c r="A9" s="9" t="s">
        <v>236</v>
      </c>
      <c r="B9" s="234">
        <v>19.4</v>
      </c>
      <c r="C9" s="75" t="s">
        <v>233</v>
      </c>
      <c r="D9" s="75" t="s">
        <v>234</v>
      </c>
    </row>
    <row r="10">
      <c r="A10" s="9" t="s">
        <v>237</v>
      </c>
      <c r="B10" s="234">
        <v>10.35</v>
      </c>
      <c r="C10" s="75" t="s">
        <v>233</v>
      </c>
      <c r="D10" s="75" t="s">
        <v>234</v>
      </c>
    </row>
    <row r="11">
      <c r="A11" s="9" t="s">
        <v>238</v>
      </c>
      <c r="B11" s="234">
        <v>35.4</v>
      </c>
      <c r="C11" s="75" t="s">
        <v>233</v>
      </c>
      <c r="D11" s="75" t="s">
        <v>234</v>
      </c>
    </row>
    <row r="12">
      <c r="A12" s="9" t="s">
        <v>239</v>
      </c>
      <c r="B12" s="234">
        <v>21.25</v>
      </c>
      <c r="C12" s="75" t="s">
        <v>233</v>
      </c>
      <c r="D12" s="75" t="s">
        <v>234</v>
      </c>
    </row>
    <row r="13">
      <c r="A13" s="9" t="s">
        <v>240</v>
      </c>
      <c r="B13" s="234">
        <v>33.55</v>
      </c>
      <c r="C13" s="75" t="s">
        <v>233</v>
      </c>
      <c r="D13" s="75" t="s">
        <v>234</v>
      </c>
    </row>
    <row r="14">
      <c r="A14" s="9" t="s">
        <v>241</v>
      </c>
      <c r="B14" s="234">
        <v>22.75</v>
      </c>
      <c r="C14" s="75" t="s">
        <v>233</v>
      </c>
      <c r="D14" s="75" t="s">
        <v>234</v>
      </c>
    </row>
    <row r="15">
      <c r="A15" s="9" t="s">
        <v>242</v>
      </c>
      <c r="B15" s="234">
        <v>24.5</v>
      </c>
      <c r="C15" s="75" t="s">
        <v>233</v>
      </c>
      <c r="D15" s="75" t="s">
        <v>234</v>
      </c>
    </row>
    <row r="16">
      <c r="A16" s="9" t="s">
        <v>243</v>
      </c>
      <c r="B16" s="234">
        <v>22.75</v>
      </c>
      <c r="C16" s="75" t="s">
        <v>233</v>
      </c>
      <c r="D16" s="75" t="s">
        <v>234</v>
      </c>
    </row>
    <row r="17">
      <c r="A17" s="9" t="s">
        <v>244</v>
      </c>
      <c r="B17" s="234">
        <v>20.95</v>
      </c>
      <c r="C17" s="75" t="s">
        <v>233</v>
      </c>
      <c r="D17" s="75" t="s">
        <v>234</v>
      </c>
    </row>
    <row r="18">
      <c r="A18" s="9" t="s">
        <v>245</v>
      </c>
      <c r="B18" s="234">
        <v>20.95</v>
      </c>
      <c r="C18" s="75" t="s">
        <v>233</v>
      </c>
      <c r="D18" s="75" t="s">
        <v>234</v>
      </c>
    </row>
    <row r="19">
      <c r="A19" s="9" t="s">
        <v>246</v>
      </c>
      <c r="B19" s="234">
        <v>10.85</v>
      </c>
      <c r="C19" s="75" t="s">
        <v>233</v>
      </c>
      <c r="D19" s="75" t="s">
        <v>234</v>
      </c>
    </row>
    <row r="20">
      <c r="A20" s="9" t="s">
        <v>247</v>
      </c>
      <c r="B20" s="234">
        <v>41.95</v>
      </c>
      <c r="C20" s="75" t="s">
        <v>233</v>
      </c>
      <c r="D20" s="75" t="s">
        <v>234</v>
      </c>
    </row>
    <row r="21" ht="15.75" customHeight="1">
      <c r="A21" s="9" t="s">
        <v>248</v>
      </c>
      <c r="B21" s="234">
        <v>43.5</v>
      </c>
      <c r="C21" s="75" t="s">
        <v>233</v>
      </c>
      <c r="D21" s="75" t="s">
        <v>234</v>
      </c>
    </row>
    <row r="22" ht="15.75" customHeight="1">
      <c r="A22" s="9" t="s">
        <v>249</v>
      </c>
      <c r="B22" s="234">
        <v>45.95</v>
      </c>
      <c r="C22" s="75" t="s">
        <v>233</v>
      </c>
      <c r="D22" s="75" t="s">
        <v>234</v>
      </c>
    </row>
    <row r="23" ht="15.75" customHeight="1">
      <c r="A23" s="9" t="s">
        <v>250</v>
      </c>
      <c r="B23" s="234">
        <v>12.75</v>
      </c>
      <c r="C23" s="75" t="s">
        <v>233</v>
      </c>
      <c r="D23" s="75" t="s">
        <v>234</v>
      </c>
    </row>
    <row r="24" ht="15.75" customHeight="1">
      <c r="A24" s="9" t="s">
        <v>251</v>
      </c>
      <c r="B24" s="234">
        <v>64.75</v>
      </c>
      <c r="C24" s="75" t="s">
        <v>233</v>
      </c>
      <c r="D24" s="75" t="s">
        <v>234</v>
      </c>
    </row>
    <row r="25" ht="15.75" customHeight="1">
      <c r="A25" s="9" t="s">
        <v>252</v>
      </c>
      <c r="B25" s="234">
        <v>39.75</v>
      </c>
      <c r="C25" s="75" t="s">
        <v>233</v>
      </c>
      <c r="D25" s="75" t="s">
        <v>234</v>
      </c>
    </row>
    <row r="26" ht="15.75" customHeight="1">
      <c r="A26" s="9" t="s">
        <v>253</v>
      </c>
      <c r="B26" s="234">
        <v>23.9</v>
      </c>
      <c r="C26" s="75" t="s">
        <v>233</v>
      </c>
      <c r="D26" s="75" t="s">
        <v>234</v>
      </c>
    </row>
    <row r="27" ht="15.75" customHeight="1">
      <c r="A27" s="9" t="s">
        <v>254</v>
      </c>
      <c r="B27" s="234">
        <v>24.75</v>
      </c>
      <c r="C27" s="75" t="s">
        <v>233</v>
      </c>
      <c r="D27" s="75" t="s">
        <v>234</v>
      </c>
    </row>
    <row r="28" ht="15.75" customHeight="1">
      <c r="A28" s="9" t="s">
        <v>255</v>
      </c>
      <c r="B28" s="234">
        <v>36.85</v>
      </c>
      <c r="C28" s="75" t="s">
        <v>233</v>
      </c>
      <c r="D28" s="75" t="s">
        <v>234</v>
      </c>
    </row>
    <row r="29" ht="15.75" customHeight="1">
      <c r="A29" s="9" t="s">
        <v>256</v>
      </c>
      <c r="B29" s="234">
        <v>20.15</v>
      </c>
      <c r="C29" s="75" t="s">
        <v>233</v>
      </c>
      <c r="D29" s="75" t="s">
        <v>234</v>
      </c>
    </row>
    <row r="30" ht="15.75" customHeight="1">
      <c r="A30" s="9" t="s">
        <v>257</v>
      </c>
      <c r="B30" s="234">
        <v>23.3</v>
      </c>
      <c r="C30" s="75" t="s">
        <v>233</v>
      </c>
      <c r="D30" s="75" t="s">
        <v>234</v>
      </c>
    </row>
    <row r="31" ht="15.75" customHeight="1">
      <c r="A31" s="9" t="s">
        <v>258</v>
      </c>
      <c r="B31" s="234">
        <v>20.05</v>
      </c>
      <c r="C31" s="75" t="s">
        <v>233</v>
      </c>
      <c r="D31" s="75" t="s">
        <v>234</v>
      </c>
    </row>
    <row r="32" ht="15.75" customHeight="1">
      <c r="A32" s="9" t="s">
        <v>259</v>
      </c>
      <c r="B32" s="234">
        <v>17.75</v>
      </c>
      <c r="C32" s="75" t="s">
        <v>233</v>
      </c>
      <c r="D32" s="75" t="s">
        <v>234</v>
      </c>
    </row>
    <row r="33" ht="15.75" customHeight="1">
      <c r="A33" s="9" t="s">
        <v>260</v>
      </c>
      <c r="B33" s="234">
        <v>20.4</v>
      </c>
      <c r="C33" s="75" t="s">
        <v>233</v>
      </c>
      <c r="D33" s="75" t="s">
        <v>234</v>
      </c>
    </row>
    <row r="34" ht="15.75" customHeight="1">
      <c r="A34" s="9" t="s">
        <v>261</v>
      </c>
      <c r="B34" s="234">
        <v>19.65</v>
      </c>
      <c r="C34" s="75" t="s">
        <v>233</v>
      </c>
      <c r="D34" s="75" t="s">
        <v>234</v>
      </c>
    </row>
    <row r="35" ht="15.75" customHeight="1">
      <c r="A35" s="9" t="s">
        <v>262</v>
      </c>
      <c r="B35" s="234">
        <v>18.65</v>
      </c>
      <c r="C35" s="75" t="s">
        <v>233</v>
      </c>
      <c r="D35" s="75" t="s">
        <v>234</v>
      </c>
    </row>
    <row r="36" ht="15.75" customHeight="1">
      <c r="A36" s="9" t="s">
        <v>263</v>
      </c>
      <c r="B36" s="234">
        <v>28.05</v>
      </c>
      <c r="C36" s="75" t="s">
        <v>233</v>
      </c>
      <c r="D36" s="75" t="s">
        <v>234</v>
      </c>
    </row>
    <row r="37" ht="15.75" customHeight="1">
      <c r="A37" s="9" t="s">
        <v>264</v>
      </c>
      <c r="B37" s="234">
        <v>26.5</v>
      </c>
      <c r="C37" s="75" t="s">
        <v>233</v>
      </c>
      <c r="D37" s="75" t="s">
        <v>234</v>
      </c>
    </row>
    <row r="38" ht="15.75" customHeight="1">
      <c r="A38" s="9" t="s">
        <v>265</v>
      </c>
      <c r="B38" s="234">
        <v>15.75</v>
      </c>
      <c r="C38" s="75" t="s">
        <v>233</v>
      </c>
      <c r="D38" s="75" t="s">
        <v>234</v>
      </c>
    </row>
    <row r="39" ht="15.75" customHeight="1">
      <c r="A39" s="235" t="s">
        <v>266</v>
      </c>
      <c r="B39" s="236">
        <v>20.6</v>
      </c>
      <c r="C39" s="237" t="s">
        <v>267</v>
      </c>
      <c r="D39" s="237" t="s">
        <v>268</v>
      </c>
    </row>
    <row r="40" ht="15.75" customHeight="1">
      <c r="A40" s="238">
        <v>817239.0</v>
      </c>
      <c r="B40" s="234">
        <v>32.75</v>
      </c>
      <c r="C40" s="75" t="s">
        <v>233</v>
      </c>
      <c r="D40" s="75" t="s">
        <v>268</v>
      </c>
    </row>
    <row r="41" ht="15.75" customHeight="1">
      <c r="A41" s="9" t="s">
        <v>269</v>
      </c>
      <c r="B41" s="239">
        <v>48.9</v>
      </c>
      <c r="C41" s="9" t="s">
        <v>233</v>
      </c>
      <c r="D41" s="9" t="s">
        <v>270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D51" s="54" t="s">
        <v>271</v>
      </c>
      <c r="F51" s="28">
        <v>10.85</v>
      </c>
    </row>
    <row r="52" ht="15.75" customHeight="1"/>
    <row r="53" ht="15.75" customHeight="1"/>
    <row r="54" ht="15.75" customHeight="1"/>
    <row r="55" ht="15.75" customHeight="1"/>
    <row r="56" ht="15.75" customHeight="1">
      <c r="D56" s="240">
        <v>45703.0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D70" s="54" t="s">
        <v>272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>
      <c r="D83" s="54" t="s">
        <v>273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D90" s="240">
        <v>45678.0</v>
      </c>
    </row>
    <row r="91" ht="15.75" customHeight="1">
      <c r="D91" s="240">
        <v>45678.0</v>
      </c>
    </row>
    <row r="92" ht="15.75" customHeight="1">
      <c r="D92" s="240">
        <v>45690.0</v>
      </c>
    </row>
    <row r="93" ht="15.75" customHeight="1">
      <c r="D93" s="240">
        <v>45713.0</v>
      </c>
    </row>
    <row r="94" ht="15.75" customHeight="1">
      <c r="D94" s="240">
        <v>45713.0</v>
      </c>
    </row>
    <row r="95" ht="15.75" customHeight="1">
      <c r="D95" s="240">
        <v>45713.0</v>
      </c>
    </row>
    <row r="96" ht="15.75" customHeight="1">
      <c r="D96" s="240">
        <v>45713.0</v>
      </c>
    </row>
    <row r="97" ht="15.75" customHeight="1">
      <c r="D97" s="240">
        <v>45713.0</v>
      </c>
    </row>
    <row r="98" ht="15.75" customHeight="1">
      <c r="D98" s="240">
        <v>45713.0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2"/>
    <mergeCell ref="A3:D4"/>
  </mergeCells>
  <printOptions/>
  <pageMargins bottom="0.75" footer="0.0" header="0.0" left="0.7" right="0.7" top="0.75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3.29"/>
    <col customWidth="1" hidden="1" min="4" max="5" width="13.29"/>
    <col customWidth="1" hidden="1" min="6" max="6" width="21.0"/>
    <col customWidth="1" hidden="1" min="7" max="7" width="22.71"/>
    <col customWidth="1" hidden="1" min="8" max="8" width="14.86"/>
    <col customWidth="1" hidden="1" min="9" max="9" width="11.57"/>
    <col customWidth="1" hidden="1" min="10" max="10" width="12.43"/>
    <col customWidth="1" hidden="1" min="11" max="13" width="26.0"/>
    <col customWidth="1" min="14" max="14" width="18.57"/>
    <col customWidth="1" min="15" max="15" width="16.43"/>
    <col customWidth="1" min="16" max="16" width="14.71"/>
    <col customWidth="1" min="17" max="17" width="20.29"/>
    <col customWidth="1" min="18" max="18" width="13.0"/>
    <col customWidth="1" hidden="1" min="19" max="19" width="15.71"/>
    <col customWidth="1" min="20" max="20" width="20.29"/>
    <col customWidth="1" min="21" max="21" width="15.29"/>
    <col customWidth="1" min="22" max="22" width="8.71"/>
    <col customWidth="1" min="23" max="23" width="13.14"/>
    <col customWidth="1" min="24" max="24" width="9.14"/>
    <col customWidth="1" min="25" max="25" width="12.29"/>
    <col customWidth="1" min="26" max="26" width="13.86"/>
    <col customWidth="1" min="27" max="32" width="8.71"/>
  </cols>
  <sheetData>
    <row r="1">
      <c r="A1" s="24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0" t="s">
        <v>12</v>
      </c>
      <c r="M2" s="40" t="s">
        <v>13</v>
      </c>
      <c r="N2" s="42" t="s">
        <v>14</v>
      </c>
      <c r="O2" s="3"/>
      <c r="P2" s="11" t="s">
        <v>17</v>
      </c>
      <c r="Q2" s="11" t="s">
        <v>275</v>
      </c>
      <c r="R2" s="10" t="s">
        <v>122</v>
      </c>
      <c r="S2" s="10" t="s">
        <v>144</v>
      </c>
      <c r="T2" s="10" t="s">
        <v>16</v>
      </c>
      <c r="U2" s="10" t="s">
        <v>19</v>
      </c>
      <c r="V2" s="11" t="s">
        <v>20</v>
      </c>
      <c r="W2" s="13" t="s">
        <v>21</v>
      </c>
      <c r="X2" s="11"/>
      <c r="Y2" s="11" t="s">
        <v>22</v>
      </c>
      <c r="Z2" s="10" t="s">
        <v>23</v>
      </c>
    </row>
    <row r="3">
      <c r="A3" s="14">
        <v>1.5</v>
      </c>
      <c r="B3" s="14">
        <v>2.875</v>
      </c>
      <c r="C3" s="14">
        <v>4.75</v>
      </c>
      <c r="D3" s="15">
        <v>0.125</v>
      </c>
      <c r="E3" s="15">
        <v>0.045</v>
      </c>
      <c r="F3" s="15">
        <f>(A3+B3)*C3</f>
        <v>20.78125</v>
      </c>
      <c r="G3" s="15">
        <f>(A3+B3)/E3</f>
        <v>97.22222222</v>
      </c>
      <c r="H3" s="15">
        <f>C3/10</f>
        <v>0.475</v>
      </c>
      <c r="I3" s="15">
        <v>5.0</v>
      </c>
      <c r="J3" s="16">
        <f>H3*G3/60</f>
        <v>0.7696759259</v>
      </c>
      <c r="K3" s="16">
        <f>J3+I3</f>
        <v>5.769675926</v>
      </c>
      <c r="L3" s="17">
        <v>225.0</v>
      </c>
      <c r="M3" s="18">
        <f>L3/60</f>
        <v>3.75</v>
      </c>
      <c r="N3" s="18">
        <f>ROUNDUP(K3*M3,1)</f>
        <v>21.7</v>
      </c>
      <c r="O3" s="19" t="s">
        <v>276</v>
      </c>
      <c r="P3" s="22">
        <v>125.0</v>
      </c>
      <c r="Q3" s="242">
        <v>0.02</v>
      </c>
      <c r="R3" s="20">
        <v>2.0</v>
      </c>
      <c r="S3" s="171">
        <f>N3*R3</f>
        <v>43.4</v>
      </c>
      <c r="T3" s="171">
        <f>IF(S3&gt;Y3, S3, Y3)</f>
        <v>225</v>
      </c>
      <c r="U3" s="21">
        <f>T3+P3</f>
        <v>350</v>
      </c>
      <c r="V3" s="21">
        <f>ROUNDUP(U3*Q3,0)</f>
        <v>7</v>
      </c>
      <c r="W3" s="21">
        <f>U3+V3</f>
        <v>357</v>
      </c>
      <c r="X3" s="9"/>
      <c r="Y3" s="24">
        <v>225.0</v>
      </c>
      <c r="Z3" s="152">
        <f>ROUNDDOWN(Y3/N3,0)</f>
        <v>10</v>
      </c>
      <c r="AF3" s="54" t="s">
        <v>58</v>
      </c>
    </row>
    <row r="4" ht="25.5" customHeight="1">
      <c r="A4" s="243"/>
      <c r="B4" s="244" t="s">
        <v>277</v>
      </c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38"/>
      <c r="N4" s="38"/>
      <c r="O4" s="34"/>
      <c r="P4" s="36"/>
      <c r="Q4" s="247"/>
      <c r="R4" s="34"/>
      <c r="S4" s="34"/>
      <c r="T4" s="35"/>
      <c r="U4" s="35"/>
      <c r="V4" s="35"/>
      <c r="W4" s="35"/>
      <c r="X4" s="34"/>
      <c r="Y4" s="34"/>
      <c r="Z4" s="248"/>
    </row>
    <row r="5" ht="16.5" customHeight="1">
      <c r="A5" s="40" t="s">
        <v>1</v>
      </c>
      <c r="B5" s="40" t="s">
        <v>2</v>
      </c>
      <c r="C5" s="146" t="s">
        <v>3</v>
      </c>
      <c r="D5" s="146" t="s">
        <v>4</v>
      </c>
      <c r="E5" s="146" t="s">
        <v>5</v>
      </c>
      <c r="F5" s="146" t="s">
        <v>6</v>
      </c>
      <c r="G5" s="146" t="s">
        <v>7</v>
      </c>
      <c r="H5" s="146" t="s">
        <v>8</v>
      </c>
      <c r="I5" s="146" t="s">
        <v>9</v>
      </c>
      <c r="J5" s="146" t="s">
        <v>10</v>
      </c>
      <c r="K5" s="146" t="s">
        <v>11</v>
      </c>
      <c r="L5" s="146" t="s">
        <v>12</v>
      </c>
      <c r="M5" s="146" t="s">
        <v>13</v>
      </c>
      <c r="N5" s="147" t="s">
        <v>14</v>
      </c>
      <c r="O5" s="3"/>
      <c r="P5" s="148" t="s">
        <v>17</v>
      </c>
      <c r="Q5" s="148" t="s">
        <v>275</v>
      </c>
      <c r="R5" s="149" t="s">
        <v>122</v>
      </c>
      <c r="S5" s="10" t="s">
        <v>144</v>
      </c>
      <c r="T5" s="149" t="s">
        <v>16</v>
      </c>
      <c r="U5" s="149" t="s">
        <v>19</v>
      </c>
      <c r="V5" s="148" t="s">
        <v>20</v>
      </c>
      <c r="W5" s="150" t="s">
        <v>21</v>
      </c>
      <c r="X5" s="148"/>
      <c r="Y5" s="148" t="s">
        <v>22</v>
      </c>
      <c r="Z5" s="149" t="s">
        <v>23</v>
      </c>
    </row>
    <row r="6">
      <c r="A6" s="14">
        <v>1.5</v>
      </c>
      <c r="B6" s="14">
        <v>2.875</v>
      </c>
      <c r="C6" s="14">
        <v>4.75</v>
      </c>
      <c r="D6" s="15">
        <v>0.125</v>
      </c>
      <c r="E6" s="15">
        <v>0.045</v>
      </c>
      <c r="F6" s="15">
        <f>(A6+B6)*C6</f>
        <v>20.78125</v>
      </c>
      <c r="G6" s="15">
        <f>(A6+B6)/E6</f>
        <v>97.22222222</v>
      </c>
      <c r="H6" s="15">
        <f>C6/10</f>
        <v>0.475</v>
      </c>
      <c r="I6" s="15">
        <v>6.0</v>
      </c>
      <c r="J6" s="16">
        <f>H6*G6/60</f>
        <v>0.7696759259</v>
      </c>
      <c r="K6" s="16">
        <f>J6+I6</f>
        <v>6.769675926</v>
      </c>
      <c r="L6" s="17">
        <v>250.0</v>
      </c>
      <c r="M6" s="18">
        <f>L6/60</f>
        <v>4.166666667</v>
      </c>
      <c r="N6" s="18">
        <f>ROUNDUP(K6*M6,1)</f>
        <v>28.3</v>
      </c>
      <c r="O6" s="19" t="s">
        <v>278</v>
      </c>
      <c r="P6" s="22">
        <v>125.0</v>
      </c>
      <c r="Q6" s="242">
        <v>0.02</v>
      </c>
      <c r="R6" s="20">
        <v>1.0</v>
      </c>
      <c r="S6" s="249">
        <f>N6*R6</f>
        <v>28.3</v>
      </c>
      <c r="T6" s="249">
        <f>IF(S6&gt;Y6, S6, Y6)</f>
        <v>250</v>
      </c>
      <c r="U6" s="250">
        <f>T6+P6</f>
        <v>375</v>
      </c>
      <c r="V6" s="21">
        <f>ROUNDUP(U6*Q6,0)</f>
        <v>8</v>
      </c>
      <c r="W6" s="21">
        <f>U6+V6</f>
        <v>383</v>
      </c>
      <c r="X6" s="251"/>
      <c r="Y6" s="24">
        <v>250.0</v>
      </c>
      <c r="Z6" s="152">
        <f>ROUNDDOWN(Y6/N6,0)</f>
        <v>8</v>
      </c>
    </row>
    <row r="7"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B8" s="143" t="s">
        <v>28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6"/>
      <c r="Q8" s="247"/>
      <c r="R8" s="34"/>
      <c r="S8" s="34"/>
      <c r="T8" s="35"/>
      <c r="U8" s="35"/>
      <c r="V8" s="35"/>
      <c r="W8" s="35"/>
      <c r="X8" s="34"/>
      <c r="Y8" s="34"/>
      <c r="Z8" s="248"/>
    </row>
    <row r="9">
      <c r="B9" s="146" t="s">
        <v>29</v>
      </c>
      <c r="C9" s="146" t="s">
        <v>3</v>
      </c>
      <c r="D9" s="252" t="s">
        <v>4</v>
      </c>
      <c r="E9" s="146" t="s">
        <v>5</v>
      </c>
      <c r="F9" s="253" t="s">
        <v>30</v>
      </c>
      <c r="G9" s="146" t="s">
        <v>31</v>
      </c>
      <c r="H9" s="146" t="s">
        <v>32</v>
      </c>
      <c r="I9" s="146" t="s">
        <v>33</v>
      </c>
      <c r="J9" s="146" t="s">
        <v>34</v>
      </c>
      <c r="K9" s="146" t="s">
        <v>35</v>
      </c>
      <c r="L9" s="252" t="s">
        <v>12</v>
      </c>
      <c r="M9" s="252" t="s">
        <v>13</v>
      </c>
      <c r="N9" s="147" t="s">
        <v>36</v>
      </c>
      <c r="O9" s="155"/>
      <c r="P9" s="254" t="s">
        <v>17</v>
      </c>
      <c r="Q9" s="255"/>
      <c r="R9" s="256" t="s">
        <v>122</v>
      </c>
      <c r="S9" s="10" t="s">
        <v>144</v>
      </c>
      <c r="T9" s="257" t="s">
        <v>16</v>
      </c>
      <c r="U9" s="258" t="s">
        <v>19</v>
      </c>
      <c r="V9" s="259" t="s">
        <v>20</v>
      </c>
      <c r="W9" s="260" t="s">
        <v>123</v>
      </c>
      <c r="X9" s="3"/>
      <c r="Y9" s="148" t="s">
        <v>22</v>
      </c>
      <c r="Z9" s="148" t="s">
        <v>23</v>
      </c>
    </row>
    <row r="10">
      <c r="B10" s="261">
        <v>5.5</v>
      </c>
      <c r="C10" s="261">
        <v>5.3</v>
      </c>
      <c r="D10" s="262" t="s">
        <v>24</v>
      </c>
      <c r="E10" s="263">
        <v>0.045</v>
      </c>
      <c r="F10" s="263">
        <f>B10*3.14</f>
        <v>17.27</v>
      </c>
      <c r="G10" s="264">
        <f>F10/E10</f>
        <v>383.7777778</v>
      </c>
      <c r="H10" s="263">
        <f>C10/10</f>
        <v>0.53</v>
      </c>
      <c r="I10" s="263">
        <v>5.0</v>
      </c>
      <c r="J10" s="265">
        <f>H10*G10/60</f>
        <v>3.390037037</v>
      </c>
      <c r="K10" s="266">
        <f>J10+I10</f>
        <v>8.390037037</v>
      </c>
      <c r="L10" s="267">
        <v>225.0</v>
      </c>
      <c r="M10" s="268">
        <f>L10/60</f>
        <v>3.75</v>
      </c>
      <c r="N10" s="250">
        <f>ROUNDUP(K10*M10,1)</f>
        <v>31.5</v>
      </c>
      <c r="O10" s="3" t="s">
        <v>279</v>
      </c>
      <c r="P10" s="269">
        <v>125.0</v>
      </c>
      <c r="Q10" s="270">
        <v>0.02</v>
      </c>
      <c r="R10" s="271">
        <v>28.0</v>
      </c>
      <c r="S10" s="272">
        <f>N10*R10</f>
        <v>882</v>
      </c>
      <c r="T10" s="272">
        <f>IF(S10&gt;Y10, S10, Y10)</f>
        <v>882</v>
      </c>
      <c r="U10" s="273">
        <f>T10+P10</f>
        <v>1007</v>
      </c>
      <c r="V10" s="250">
        <f>ROUNDUP(U10*Q10,0)</f>
        <v>21</v>
      </c>
      <c r="W10" s="250">
        <f>U10+V10</f>
        <v>1028</v>
      </c>
      <c r="X10" s="3"/>
      <c r="Y10" s="274">
        <v>225.0</v>
      </c>
      <c r="Z10" s="275">
        <f>ROUNDDOWN(Y10/N10,0)</f>
        <v>7</v>
      </c>
    </row>
    <row r="11">
      <c r="B11" s="143" t="s">
        <v>280</v>
      </c>
      <c r="C11" s="75"/>
      <c r="D11" s="75"/>
      <c r="E11" s="75"/>
      <c r="F11" s="75"/>
      <c r="G11" s="9"/>
      <c r="H11" s="75"/>
      <c r="I11" s="75"/>
      <c r="J11" s="75"/>
      <c r="K11" s="9"/>
      <c r="L11" s="276"/>
      <c r="M11" s="277"/>
      <c r="N11" s="278"/>
      <c r="O11" s="34"/>
      <c r="P11" s="239"/>
      <c r="Q11" s="242"/>
      <c r="R11" s="9"/>
      <c r="S11" s="9"/>
      <c r="T11" s="278"/>
      <c r="U11" s="278"/>
      <c r="V11" s="278"/>
      <c r="W11" s="278"/>
      <c r="X11" s="34"/>
      <c r="Y11" s="9"/>
      <c r="Z11" s="9"/>
    </row>
    <row r="12">
      <c r="B12" s="279">
        <v>3.5</v>
      </c>
      <c r="C12" s="279">
        <v>0.75</v>
      </c>
      <c r="D12" s="280"/>
      <c r="E12" s="281">
        <v>0.045</v>
      </c>
      <c r="F12" s="281">
        <f>B12*3.14</f>
        <v>10.99</v>
      </c>
      <c r="G12" s="282">
        <f>F12/E12</f>
        <v>244.2222222</v>
      </c>
      <c r="H12" s="281">
        <f>C12/10</f>
        <v>0.075</v>
      </c>
      <c r="I12" s="281">
        <v>6.0</v>
      </c>
      <c r="J12" s="283">
        <f>H12*G12/60</f>
        <v>0.3052777778</v>
      </c>
      <c r="K12" s="284">
        <f>J12+I12</f>
        <v>6.305277778</v>
      </c>
      <c r="L12" s="285">
        <v>250.0</v>
      </c>
      <c r="M12" s="286">
        <f>L12/60</f>
        <v>4.166666667</v>
      </c>
      <c r="N12" s="161">
        <f>ROUNDUP(K12*M12,1)</f>
        <v>26.3</v>
      </c>
      <c r="O12" s="3" t="s">
        <v>281</v>
      </c>
      <c r="P12" s="287">
        <v>125.0</v>
      </c>
      <c r="Q12" s="288">
        <v>0.02</v>
      </c>
      <c r="R12" s="211">
        <v>29.0</v>
      </c>
      <c r="S12" s="172">
        <f>N12*R12</f>
        <v>762.7</v>
      </c>
      <c r="T12" s="289">
        <f>IF(S12&gt;Y12, S12, Y12)</f>
        <v>762.7</v>
      </c>
      <c r="U12" s="161">
        <f>T12+P12</f>
        <v>887.7</v>
      </c>
      <c r="V12" s="161">
        <f>ROUNDUP(U12*Q12,0)</f>
        <v>18</v>
      </c>
      <c r="W12" s="161">
        <f>U12+V12</f>
        <v>905.7</v>
      </c>
      <c r="X12" s="3"/>
      <c r="Y12" s="162">
        <v>250.0</v>
      </c>
      <c r="Z12" s="163">
        <f>ROUNDDOWN(Y12/N12,0)</f>
        <v>9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3"/>
      <c r="B15" s="164" t="s">
        <v>126</v>
      </c>
      <c r="C15" s="8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6" t="s">
        <v>22</v>
      </c>
      <c r="C16" s="165">
        <v>225.0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6" t="s">
        <v>129</v>
      </c>
      <c r="C17" s="165">
        <v>125.0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6" t="s">
        <v>20</v>
      </c>
      <c r="C18" s="166" t="s">
        <v>131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6" t="s">
        <v>132</v>
      </c>
      <c r="C19" s="166" t="s">
        <v>133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7" t="s">
        <v>135</v>
      </c>
      <c r="B20" s="106"/>
      <c r="C20" s="107" t="s">
        <v>171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9.14"/>
    <col customWidth="1" min="5" max="5" width="9.14"/>
    <col customWidth="1" hidden="1" min="6" max="8" width="9.14"/>
    <col customWidth="1" min="9" max="9" width="9.14"/>
    <col customWidth="1" hidden="1" min="10" max="13" width="9.14"/>
    <col customWidth="1" min="14" max="14" width="12.71"/>
    <col customWidth="1" min="15" max="15" width="9.14"/>
    <col customWidth="1" min="16" max="16" width="14.86"/>
    <col customWidth="1" hidden="1" min="17" max="17" width="8.14"/>
    <col customWidth="1" min="18" max="18" width="11.43"/>
    <col customWidth="1" min="19" max="19" width="13.29"/>
    <col customWidth="1" min="20" max="20" width="11.57"/>
    <col customWidth="1" min="21" max="21" width="8.71"/>
    <col customWidth="1" min="22" max="22" width="11.57"/>
    <col customWidth="1" min="23" max="23" width="9.14"/>
    <col customWidth="1" min="24" max="24" width="13.71"/>
    <col customWidth="1" min="25" max="25" width="14.29"/>
    <col customWidth="1" min="26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 ht="18.0" customHeight="1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1.5</v>
      </c>
      <c r="B3" s="14">
        <v>36.0</v>
      </c>
      <c r="C3" s="14">
        <v>96.0</v>
      </c>
      <c r="D3" s="15">
        <v>0.125</v>
      </c>
      <c r="E3" s="15">
        <v>0.065</v>
      </c>
      <c r="F3" s="15">
        <f>(A3+B3)*C3</f>
        <v>3600</v>
      </c>
      <c r="G3" s="15">
        <f>(A3+B3)/E3</f>
        <v>576.9230769</v>
      </c>
      <c r="H3" s="15">
        <f>C3/10</f>
        <v>9.6</v>
      </c>
      <c r="I3" s="15">
        <v>2.5</v>
      </c>
      <c r="J3" s="16">
        <f>H3*G3/60</f>
        <v>92.30769231</v>
      </c>
      <c r="K3" s="16">
        <f>J3+I3</f>
        <v>94.80769231</v>
      </c>
      <c r="L3" s="17">
        <v>225.0</v>
      </c>
      <c r="M3" s="18">
        <f>L3/60</f>
        <v>3.75</v>
      </c>
      <c r="N3" s="18">
        <f>ROUNDUP(K3*M3,1)</f>
        <v>355.6</v>
      </c>
      <c r="O3" s="106"/>
      <c r="P3" s="22">
        <v>125.0</v>
      </c>
      <c r="Q3" s="151">
        <v>0.02</v>
      </c>
      <c r="R3" s="20">
        <v>1.0</v>
      </c>
      <c r="S3" s="21">
        <f>N3*R3</f>
        <v>355.6</v>
      </c>
      <c r="T3" s="21">
        <f>(N3*R3)+P3</f>
        <v>480.6</v>
      </c>
      <c r="U3" s="21">
        <f>ROUNDUP(T3*Q3,0)</f>
        <v>10</v>
      </c>
      <c r="V3" s="21">
        <f>T3+U3</f>
        <v>490.6</v>
      </c>
      <c r="W3" s="9"/>
      <c r="X3" s="24">
        <v>225.0</v>
      </c>
      <c r="Y3" s="152">
        <f>ROUNDDOWN(X3/N3,0)</f>
        <v>0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1.5</v>
      </c>
      <c r="C6" s="14">
        <v>144.0</v>
      </c>
      <c r="D6" s="15" t="s">
        <v>24</v>
      </c>
      <c r="E6" s="47">
        <v>0.065</v>
      </c>
      <c r="F6" s="47">
        <f>B6*3.14</f>
        <v>4.71</v>
      </c>
      <c r="G6" s="48">
        <f>F6/E6</f>
        <v>72.46153846</v>
      </c>
      <c r="H6" s="47">
        <f>C6/10</f>
        <v>14.4</v>
      </c>
      <c r="I6" s="47">
        <v>2.5</v>
      </c>
      <c r="J6" s="16">
        <f>H6*G6/60</f>
        <v>17.39076923</v>
      </c>
      <c r="K6" s="49">
        <f>J6+I6</f>
        <v>19.89076923</v>
      </c>
      <c r="L6" s="17">
        <v>225.0</v>
      </c>
      <c r="M6" s="18">
        <f>L6/60</f>
        <v>3.75</v>
      </c>
      <c r="N6" s="21">
        <f>ROUNDUP(K6*M6,1)</f>
        <v>74.6</v>
      </c>
      <c r="O6" s="106"/>
      <c r="P6" s="22">
        <v>125.0</v>
      </c>
      <c r="Q6" s="151">
        <v>0.02</v>
      </c>
      <c r="R6" s="20">
        <v>15.0</v>
      </c>
      <c r="S6" s="161">
        <f>N6*R6</f>
        <v>1119</v>
      </c>
      <c r="T6" s="161">
        <f>(N6*R6)+P6</f>
        <v>1244</v>
      </c>
      <c r="U6" s="21">
        <f>ROUNDUP(T6*Q6,0)</f>
        <v>25</v>
      </c>
      <c r="V6" s="21">
        <f>T6+U6</f>
        <v>1269</v>
      </c>
      <c r="W6" s="106"/>
      <c r="X6" s="162">
        <v>225.0</v>
      </c>
      <c r="Y6" s="163">
        <f>ROUNDDOWN(X6/N6,0)</f>
        <v>3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282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0.5</v>
      </c>
      <c r="B11" s="14">
        <v>7.5</v>
      </c>
      <c r="C11" s="14">
        <v>8.5</v>
      </c>
      <c r="D11" s="15">
        <v>0.125</v>
      </c>
      <c r="E11" s="15">
        <v>0.065</v>
      </c>
      <c r="F11" s="15">
        <f>(A11+B11)*C11</f>
        <v>68</v>
      </c>
      <c r="G11" s="15">
        <f>(A11+B11)/E11</f>
        <v>123.0769231</v>
      </c>
      <c r="H11" s="15">
        <f>C11/10</f>
        <v>0.85</v>
      </c>
      <c r="I11" s="15">
        <v>3.0</v>
      </c>
      <c r="J11" s="16">
        <f>H11*G11/60</f>
        <v>1.743589744</v>
      </c>
      <c r="K11" s="16">
        <f>J11+I11</f>
        <v>4.743589744</v>
      </c>
      <c r="L11" s="17">
        <v>250.0</v>
      </c>
      <c r="M11" s="18">
        <f>L11/60</f>
        <v>4.166666667</v>
      </c>
      <c r="N11" s="18">
        <f>ROUNDUP(K11*M11,1)</f>
        <v>19.8</v>
      </c>
      <c r="O11" s="106"/>
      <c r="P11" s="22">
        <v>125.0</v>
      </c>
      <c r="Q11" s="151">
        <v>0.02</v>
      </c>
      <c r="R11" s="20">
        <v>8.0</v>
      </c>
      <c r="S11" s="21">
        <f>N11*R11</f>
        <v>158.4</v>
      </c>
      <c r="T11" s="21">
        <f>(N11*R11)+P11</f>
        <v>283.4</v>
      </c>
      <c r="U11" s="21">
        <f>ROUNDUP(T11*Q11,0)</f>
        <v>6</v>
      </c>
      <c r="V11" s="21">
        <f>T11+U11</f>
        <v>289.4</v>
      </c>
      <c r="W11" s="9"/>
      <c r="X11" s="24">
        <v>250.0</v>
      </c>
      <c r="Y11" s="152">
        <f>ROUNDDOWN(X11/N11,0)</f>
        <v>12</v>
      </c>
    </row>
    <row r="12">
      <c r="A12" s="3"/>
      <c r="B12" s="153" t="s">
        <v>283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2.0</v>
      </c>
      <c r="C14" s="14">
        <v>2.0</v>
      </c>
      <c r="D14" s="15" t="s">
        <v>24</v>
      </c>
      <c r="E14" s="47">
        <v>0.065</v>
      </c>
      <c r="F14" s="47">
        <f>B14*3.14</f>
        <v>6.28</v>
      </c>
      <c r="G14" s="48">
        <f>F14/E14</f>
        <v>96.61538462</v>
      </c>
      <c r="H14" s="47">
        <f>C14/10</f>
        <v>0.2</v>
      </c>
      <c r="I14" s="47">
        <v>3.0</v>
      </c>
      <c r="J14" s="16">
        <f>H14*G14/60</f>
        <v>0.3220512821</v>
      </c>
      <c r="K14" s="49">
        <f>J14+I14</f>
        <v>3.322051282</v>
      </c>
      <c r="L14" s="17">
        <v>250.0</v>
      </c>
      <c r="M14" s="18">
        <f>L14/60</f>
        <v>4.166666667</v>
      </c>
      <c r="N14" s="21">
        <f>ROUNDUP(K14*M14,1)</f>
        <v>13.9</v>
      </c>
      <c r="O14" s="106"/>
      <c r="P14" s="22">
        <v>125.0</v>
      </c>
      <c r="Q14" s="151">
        <v>0.02</v>
      </c>
      <c r="R14" s="20">
        <v>1.0</v>
      </c>
      <c r="S14" s="161">
        <f>N14*R14</f>
        <v>13.9</v>
      </c>
      <c r="T14" s="161">
        <f>(N14*R14)+P14</f>
        <v>138.9</v>
      </c>
      <c r="U14" s="21">
        <f>ROUNDUP(T14*Q14,0)</f>
        <v>3</v>
      </c>
      <c r="V14" s="21">
        <f>T14+U14</f>
        <v>141.9</v>
      </c>
      <c r="W14" s="106"/>
      <c r="X14" s="162">
        <v>250.0</v>
      </c>
      <c r="Y14" s="163">
        <f>ROUNDDOWN(X14/N14,0)</f>
        <v>17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88" t="s">
        <v>131</v>
      </c>
      <c r="I20" s="86"/>
      <c r="R20" s="88"/>
      <c r="V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07">
        <v>100.0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>
      <c r="V27" s="51"/>
    </row>
    <row r="28" ht="15.75" customHeight="1">
      <c r="V28" s="5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11.14"/>
    <col customWidth="1" min="20" max="20" width="13.29"/>
    <col customWidth="1" min="21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1.25</v>
      </c>
      <c r="B3" s="14">
        <v>10.25</v>
      </c>
      <c r="C3" s="14">
        <v>13.5</v>
      </c>
      <c r="D3" s="15">
        <v>0.125</v>
      </c>
      <c r="E3" s="15">
        <v>0.045</v>
      </c>
      <c r="F3" s="15">
        <f>(A3+B3)*C3</f>
        <v>155.25</v>
      </c>
      <c r="G3" s="15">
        <f>(A3+B3)/E3</f>
        <v>255.5555556</v>
      </c>
      <c r="H3" s="15">
        <f>C3/10</f>
        <v>1.35</v>
      </c>
      <c r="I3" s="15">
        <v>4.0</v>
      </c>
      <c r="J3" s="16">
        <f>H3*G3/60</f>
        <v>5.75</v>
      </c>
      <c r="K3" s="16">
        <f>J3+I3</f>
        <v>9.75</v>
      </c>
      <c r="L3" s="17">
        <v>225.0</v>
      </c>
      <c r="M3" s="18">
        <f>L3/60</f>
        <v>3.75</v>
      </c>
      <c r="N3" s="18">
        <f>ROUNDUP(K3*M3,1)</f>
        <v>36.6</v>
      </c>
      <c r="O3" s="106"/>
      <c r="P3" s="22">
        <v>200.0</v>
      </c>
      <c r="Q3" s="151">
        <v>0.02</v>
      </c>
      <c r="R3" s="20">
        <v>28.0</v>
      </c>
      <c r="S3" s="21">
        <f>N3*R3</f>
        <v>1024.8</v>
      </c>
      <c r="T3" s="21">
        <f>(N3*R3)+P3</f>
        <v>1224.8</v>
      </c>
      <c r="U3" s="21">
        <f>ROUNDUP(T3*Q3,0)</f>
        <v>25</v>
      </c>
      <c r="V3" s="21">
        <f>T3+U3</f>
        <v>1249.8</v>
      </c>
      <c r="W3" s="9"/>
      <c r="X3" s="24">
        <v>225.0</v>
      </c>
      <c r="Y3" s="152">
        <f>ROUNDDOWN(X3/N3,0)</f>
        <v>6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7.5</v>
      </c>
      <c r="C6" s="14">
        <v>105.0</v>
      </c>
      <c r="D6" s="15" t="s">
        <v>24</v>
      </c>
      <c r="E6" s="47">
        <v>0.065</v>
      </c>
      <c r="F6" s="47">
        <f>B6*3.14</f>
        <v>23.55</v>
      </c>
      <c r="G6" s="48">
        <f>F6/E6</f>
        <v>362.3076923</v>
      </c>
      <c r="H6" s="47">
        <f>C6/10</f>
        <v>10.5</v>
      </c>
      <c r="I6" s="47">
        <v>4.0</v>
      </c>
      <c r="J6" s="16">
        <f>H6*G6/60</f>
        <v>63.40384615</v>
      </c>
      <c r="K6" s="49">
        <f>J6+I6</f>
        <v>67.40384615</v>
      </c>
      <c r="L6" s="17">
        <v>225.0</v>
      </c>
      <c r="M6" s="18">
        <f>L6/60</f>
        <v>3.75</v>
      </c>
      <c r="N6" s="21">
        <f>ROUNDUP(K6*M6,1)</f>
        <v>252.8</v>
      </c>
      <c r="O6" s="106"/>
      <c r="P6" s="22">
        <v>125.0</v>
      </c>
      <c r="Q6" s="151">
        <v>0.02</v>
      </c>
      <c r="R6" s="20">
        <v>6.0</v>
      </c>
      <c r="S6" s="161">
        <f>N6*R6</f>
        <v>1516.8</v>
      </c>
      <c r="T6" s="161">
        <f>(N6*R6)+P6</f>
        <v>1641.8</v>
      </c>
      <c r="U6" s="21">
        <f>ROUNDUP(T6*Q6,0)</f>
        <v>33</v>
      </c>
      <c r="V6" s="21">
        <f>T6+U6</f>
        <v>1674.8</v>
      </c>
      <c r="W6" s="106"/>
      <c r="X6" s="162">
        <v>225.0</v>
      </c>
      <c r="Y6" s="163">
        <f>ROUNDDOWN(X6/N6,0)</f>
        <v>0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284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1.75</v>
      </c>
      <c r="B11" s="14">
        <v>12.25</v>
      </c>
      <c r="C11" s="14">
        <v>12.25</v>
      </c>
      <c r="D11" s="15">
        <v>0.125</v>
      </c>
      <c r="E11" s="15">
        <v>0.045</v>
      </c>
      <c r="F11" s="15">
        <f>(A11+B11)*C11</f>
        <v>171.5</v>
      </c>
      <c r="G11" s="15">
        <f>(A11+B11)/E11</f>
        <v>311.1111111</v>
      </c>
      <c r="H11" s="15">
        <f>C11/10</f>
        <v>1.225</v>
      </c>
      <c r="I11" s="15">
        <v>4.0</v>
      </c>
      <c r="J11" s="16">
        <f>H11*G11/60</f>
        <v>6.351851852</v>
      </c>
      <c r="K11" s="16">
        <f>J11+I11</f>
        <v>10.35185185</v>
      </c>
      <c r="L11" s="17">
        <v>250.0</v>
      </c>
      <c r="M11" s="18">
        <f>L11/60</f>
        <v>4.166666667</v>
      </c>
      <c r="N11" s="18">
        <f>ROUNDUP(K11*M11,1)</f>
        <v>43.2</v>
      </c>
      <c r="O11" s="106"/>
      <c r="P11" s="22">
        <v>125.0</v>
      </c>
      <c r="Q11" s="151">
        <v>0.02</v>
      </c>
      <c r="R11" s="20">
        <v>12.0</v>
      </c>
      <c r="S11" s="21">
        <f>N11*R11</f>
        <v>518.4</v>
      </c>
      <c r="T11" s="21">
        <f>(N11*R11)+P11</f>
        <v>643.4</v>
      </c>
      <c r="U11" s="21">
        <f>ROUNDUP(T11*Q11,0)</f>
        <v>13</v>
      </c>
      <c r="V11" s="21">
        <f>T11+U11</f>
        <v>656.4</v>
      </c>
      <c r="W11" s="9"/>
      <c r="X11" s="24">
        <v>250.0</v>
      </c>
      <c r="Y11" s="152">
        <f>ROUNDDOWN(X11/N11,0)</f>
        <v>5</v>
      </c>
    </row>
    <row r="12">
      <c r="A12" s="3"/>
      <c r="B12" s="153" t="s">
        <v>285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2.625</v>
      </c>
      <c r="C14" s="14">
        <v>2.15</v>
      </c>
      <c r="D14" s="15" t="s">
        <v>24</v>
      </c>
      <c r="E14" s="47">
        <v>0.065</v>
      </c>
      <c r="F14" s="47">
        <f>B14*3.14</f>
        <v>8.2425</v>
      </c>
      <c r="G14" s="48">
        <f>F14/E14</f>
        <v>126.8076923</v>
      </c>
      <c r="H14" s="47">
        <f>C14/10</f>
        <v>0.215</v>
      </c>
      <c r="I14" s="47">
        <v>4.0</v>
      </c>
      <c r="J14" s="16">
        <f>H14*G14/60</f>
        <v>0.4543942308</v>
      </c>
      <c r="K14" s="49">
        <f>J14+I14</f>
        <v>4.454394231</v>
      </c>
      <c r="L14" s="17">
        <v>250.0</v>
      </c>
      <c r="M14" s="18">
        <f>L14/60</f>
        <v>4.166666667</v>
      </c>
      <c r="N14" s="21">
        <f>ROUNDUP(K14*M14,1)</f>
        <v>18.6</v>
      </c>
      <c r="O14" s="106"/>
      <c r="P14" s="22">
        <v>125.0</v>
      </c>
      <c r="Q14" s="151">
        <v>0.02</v>
      </c>
      <c r="R14" s="20">
        <v>65.0</v>
      </c>
      <c r="S14" s="161">
        <f>N14*R14</f>
        <v>1209</v>
      </c>
      <c r="T14" s="161">
        <f>(N14*R14)+P14</f>
        <v>1334</v>
      </c>
      <c r="U14" s="21">
        <f>ROUNDUP(T14*Q14,0)</f>
        <v>27</v>
      </c>
      <c r="V14" s="21">
        <f>T14+U14</f>
        <v>1361</v>
      </c>
      <c r="W14" s="106"/>
      <c r="X14" s="162">
        <v>250.0</v>
      </c>
      <c r="Y14" s="163">
        <f>ROUNDDOWN(X14/N14,0)</f>
        <v>13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166" t="s">
        <v>131</v>
      </c>
      <c r="I20" s="86"/>
      <c r="R20" s="88"/>
      <c r="V20" s="52"/>
    </row>
    <row r="21" ht="15.75" customHeight="1">
      <c r="A21" s="86" t="s">
        <v>132</v>
      </c>
      <c r="C21" s="166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68" t="s">
        <v>136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196" t="s">
        <v>154</v>
      </c>
      <c r="B1" s="197"/>
      <c r="C1" s="197"/>
      <c r="D1" s="197"/>
      <c r="E1" s="197"/>
      <c r="F1" s="197"/>
      <c r="G1" s="197"/>
      <c r="H1" s="197"/>
      <c r="I1" s="197"/>
      <c r="J1" s="2"/>
      <c r="K1" s="2"/>
      <c r="L1" s="2"/>
      <c r="M1" s="2"/>
      <c r="N1" s="2"/>
      <c r="O1" s="32"/>
      <c r="P1" s="32"/>
      <c r="Q1" s="3"/>
      <c r="R1" s="3"/>
      <c r="S1" s="3"/>
      <c r="T1" s="4"/>
      <c r="U1" s="4"/>
      <c r="V1" s="4"/>
      <c r="W1" s="4"/>
      <c r="X1" s="5"/>
      <c r="Y1" s="4"/>
      <c r="Z1" s="4"/>
      <c r="AA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131" t="s">
        <v>155</v>
      </c>
      <c r="O2" s="131" t="s">
        <v>156</v>
      </c>
      <c r="P2" s="198" t="s">
        <v>157</v>
      </c>
      <c r="Q2" s="108"/>
      <c r="R2" s="10" t="s">
        <v>15</v>
      </c>
      <c r="S2" s="13" t="s">
        <v>140</v>
      </c>
      <c r="T2" s="11" t="s">
        <v>16</v>
      </c>
      <c r="U2" s="11" t="s">
        <v>17</v>
      </c>
      <c r="V2" s="10" t="s">
        <v>18</v>
      </c>
      <c r="W2" s="10" t="s">
        <v>19</v>
      </c>
      <c r="X2" s="12" t="s">
        <v>20</v>
      </c>
      <c r="Y2" s="10" t="s">
        <v>21</v>
      </c>
      <c r="Z2" s="11" t="s">
        <v>22</v>
      </c>
      <c r="AA2" s="13" t="s">
        <v>23</v>
      </c>
    </row>
    <row r="3">
      <c r="A3" s="14">
        <v>3.25</v>
      </c>
      <c r="B3" s="14">
        <v>36.0</v>
      </c>
      <c r="C3" s="14">
        <v>36.0</v>
      </c>
      <c r="D3" s="15" t="s">
        <v>24</v>
      </c>
      <c r="E3" s="15">
        <v>0.075</v>
      </c>
      <c r="F3" s="193">
        <f>(A3+B3)*C3</f>
        <v>1413</v>
      </c>
      <c r="G3" s="193">
        <f>(A3+B3)/E3</f>
        <v>523.3333333</v>
      </c>
      <c r="H3" s="193">
        <f>C3/10</f>
        <v>3.6</v>
      </c>
      <c r="I3" s="15">
        <v>5.0</v>
      </c>
      <c r="J3" s="16">
        <f>H3*G3/60</f>
        <v>31.4</v>
      </c>
      <c r="K3" s="16">
        <f>J3+I3</f>
        <v>36.4</v>
      </c>
      <c r="L3" s="17">
        <v>225.0</v>
      </c>
      <c r="M3" s="18">
        <f>L3/60</f>
        <v>3.75</v>
      </c>
      <c r="N3" s="18">
        <f>ROUNDUP(K3*M3,1)</f>
        <v>136.5</v>
      </c>
      <c r="O3" s="206">
        <f>ROUNDUP(G37, 1)</f>
        <v>125.6</v>
      </c>
      <c r="P3" s="200">
        <f>IF(N3&gt;O3, N3, O3)</f>
        <v>136.5</v>
      </c>
      <c r="Q3" s="19" t="s">
        <v>158</v>
      </c>
      <c r="R3" s="20">
        <v>8.0</v>
      </c>
      <c r="S3" s="207">
        <f>P3*R3</f>
        <v>1092</v>
      </c>
      <c r="T3" s="21">
        <f>IF(S3&gt;Z3, S3, Z3)</f>
        <v>1092</v>
      </c>
      <c r="U3" s="22">
        <v>125.0</v>
      </c>
      <c r="V3" s="23">
        <v>0.02</v>
      </c>
      <c r="W3" s="21">
        <f>T3+U3</f>
        <v>1217</v>
      </c>
      <c r="X3" s="18">
        <f>ROUNDUP(W3*V3,0)</f>
        <v>25</v>
      </c>
      <c r="Y3" s="21">
        <f>W3+X3</f>
        <v>1242</v>
      </c>
      <c r="Z3" s="24">
        <v>225.0</v>
      </c>
      <c r="AA3" s="25">
        <f>ROUNDDOWN(Z3/N3,0)</f>
        <v>1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27"/>
      <c r="R4" s="3"/>
      <c r="S4" s="3"/>
      <c r="T4" s="28"/>
      <c r="U4" s="29"/>
      <c r="V4" s="30"/>
      <c r="W4" s="28"/>
      <c r="X4" s="31"/>
      <c r="Y4" s="28"/>
      <c r="Z4" s="32"/>
      <c r="AA4" s="26"/>
    </row>
    <row r="5">
      <c r="A5" s="196" t="s">
        <v>159</v>
      </c>
      <c r="B5" s="197"/>
      <c r="C5" s="201"/>
      <c r="D5" s="197"/>
      <c r="E5" s="197"/>
      <c r="F5" s="197"/>
      <c r="G5" s="197"/>
      <c r="H5" s="197"/>
      <c r="I5" s="197"/>
      <c r="J5" s="2"/>
      <c r="K5" s="2"/>
      <c r="L5" s="2"/>
      <c r="M5" s="2"/>
      <c r="N5" s="2"/>
      <c r="O5" s="32"/>
      <c r="P5" s="32"/>
      <c r="Q5" s="3"/>
      <c r="R5" s="3"/>
      <c r="S5" s="3"/>
      <c r="T5" s="4"/>
      <c r="U5" s="4"/>
      <c r="V5" s="4"/>
      <c r="W5" s="4"/>
      <c r="X5" s="5"/>
      <c r="Y5" s="4"/>
      <c r="Z5" s="4"/>
      <c r="AA5" s="4"/>
    </row>
    <row r="6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131" t="s">
        <v>155</v>
      </c>
      <c r="O6" s="131" t="s">
        <v>156</v>
      </c>
      <c r="P6" s="198" t="s">
        <v>157</v>
      </c>
      <c r="Q6" s="108"/>
      <c r="R6" s="10" t="s">
        <v>15</v>
      </c>
      <c r="S6" s="10" t="s">
        <v>140</v>
      </c>
      <c r="T6" s="11" t="s">
        <v>16</v>
      </c>
      <c r="U6" s="11" t="s">
        <v>17</v>
      </c>
      <c r="V6" s="10" t="s">
        <v>18</v>
      </c>
      <c r="W6" s="10" t="s">
        <v>19</v>
      </c>
      <c r="X6" s="12" t="s">
        <v>20</v>
      </c>
      <c r="Y6" s="10" t="s">
        <v>21</v>
      </c>
      <c r="Z6" s="11" t="s">
        <v>22</v>
      </c>
      <c r="AA6" s="13" t="s">
        <v>23</v>
      </c>
    </row>
    <row r="7">
      <c r="A7" s="14">
        <v>3.0</v>
      </c>
      <c r="B7" s="14">
        <v>37.0</v>
      </c>
      <c r="C7" s="14">
        <v>120.0</v>
      </c>
      <c r="D7" s="15" t="s">
        <v>24</v>
      </c>
      <c r="E7" s="15">
        <v>0.055</v>
      </c>
      <c r="F7" s="193">
        <f>(A7+B7)*C7</f>
        <v>4800</v>
      </c>
      <c r="G7" s="193">
        <f>(A7+B7)/E7</f>
        <v>727.2727273</v>
      </c>
      <c r="H7" s="193">
        <f>C7/10</f>
        <v>12</v>
      </c>
      <c r="I7" s="15">
        <v>5.0</v>
      </c>
      <c r="J7" s="16">
        <f>H7*G7/60</f>
        <v>145.4545455</v>
      </c>
      <c r="K7" s="16">
        <f>J7+I7</f>
        <v>150.4545455</v>
      </c>
      <c r="L7" s="17">
        <v>225.0</v>
      </c>
      <c r="M7" s="18">
        <f>L7/60</f>
        <v>3.75</v>
      </c>
      <c r="N7" s="18">
        <f>ROUNDUP(K7*M7,1)</f>
        <v>564.3</v>
      </c>
      <c r="O7" s="206">
        <f>ROUNDUP(G38, 1)</f>
        <v>476.4</v>
      </c>
      <c r="P7" s="200">
        <f>IF(N7&gt;O7, N7, O7)</f>
        <v>564.3</v>
      </c>
      <c r="Q7" s="19" t="s">
        <v>160</v>
      </c>
      <c r="R7" s="20">
        <v>12.0</v>
      </c>
      <c r="S7" s="207">
        <f>P7*R7</f>
        <v>6771.6</v>
      </c>
      <c r="T7" s="21">
        <f>IF(S7&gt;Z7, S7, Z7)</f>
        <v>6771.6</v>
      </c>
      <c r="U7" s="22">
        <v>125.0</v>
      </c>
      <c r="V7" s="23">
        <v>0.02</v>
      </c>
      <c r="W7" s="21">
        <f>T7+U7</f>
        <v>6896.6</v>
      </c>
      <c r="X7" s="18">
        <f>ROUNDUP(W7*V7,0)</f>
        <v>138</v>
      </c>
      <c r="Y7" s="21">
        <f>W7+X7</f>
        <v>7034.6</v>
      </c>
      <c r="Z7" s="24">
        <v>225.0</v>
      </c>
      <c r="AA7" s="25">
        <f>ROUNDDOWN(Z7/N7,0)</f>
        <v>0</v>
      </c>
    </row>
    <row r="10">
      <c r="A10" s="208" t="s">
        <v>167</v>
      </c>
      <c r="B10" s="197"/>
      <c r="C10" s="197"/>
      <c r="D10" s="197"/>
      <c r="E10" s="197"/>
      <c r="F10" s="197"/>
      <c r="G10" s="197"/>
      <c r="H10" s="197"/>
      <c r="I10" s="2"/>
      <c r="J10" s="2"/>
      <c r="K10" s="2"/>
      <c r="L10" s="2"/>
      <c r="M10" s="2"/>
      <c r="N10" s="2"/>
      <c r="O10" s="32"/>
      <c r="P10" s="32"/>
      <c r="Q10" s="3"/>
      <c r="R10" s="3"/>
      <c r="S10" s="3"/>
      <c r="T10" s="4"/>
      <c r="U10" s="4"/>
      <c r="V10" s="4"/>
      <c r="W10" s="4"/>
      <c r="X10" s="5"/>
      <c r="Y10" s="4"/>
      <c r="Z10" s="4"/>
      <c r="AA10" s="4"/>
    </row>
    <row r="11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131" t="s">
        <v>155</v>
      </c>
      <c r="O11" s="131" t="s">
        <v>156</v>
      </c>
      <c r="P11" s="198" t="s">
        <v>157</v>
      </c>
      <c r="Q11" s="108"/>
      <c r="R11" s="10" t="s">
        <v>15</v>
      </c>
      <c r="S11" s="10" t="s">
        <v>140</v>
      </c>
      <c r="T11" s="11" t="s">
        <v>16</v>
      </c>
      <c r="U11" s="11" t="s">
        <v>17</v>
      </c>
      <c r="V11" s="10" t="s">
        <v>18</v>
      </c>
      <c r="W11" s="10" t="s">
        <v>19</v>
      </c>
      <c r="X11" s="12" t="s">
        <v>20</v>
      </c>
      <c r="Y11" s="10" t="s">
        <v>21</v>
      </c>
      <c r="Z11" s="11" t="s">
        <v>22</v>
      </c>
      <c r="AA11" s="13" t="s">
        <v>23</v>
      </c>
    </row>
    <row r="12">
      <c r="A12" s="14">
        <v>2.25</v>
      </c>
      <c r="B12" s="14">
        <v>3.25</v>
      </c>
      <c r="C12" s="14">
        <v>4.125</v>
      </c>
      <c r="D12" s="15" t="s">
        <v>24</v>
      </c>
      <c r="E12" s="15">
        <v>0.075</v>
      </c>
      <c r="F12" s="193">
        <f>(A12+B12)*C12</f>
        <v>22.6875</v>
      </c>
      <c r="G12" s="193">
        <f>(A12+B12)/E12</f>
        <v>73.33333333</v>
      </c>
      <c r="H12" s="193">
        <f>C12/10</f>
        <v>0.4125</v>
      </c>
      <c r="I12" s="15">
        <v>6.0</v>
      </c>
      <c r="J12" s="16">
        <f>H12*G12/60</f>
        <v>0.5041666667</v>
      </c>
      <c r="K12" s="16">
        <f>J12+I12</f>
        <v>6.504166667</v>
      </c>
      <c r="L12" s="17">
        <v>225.0</v>
      </c>
      <c r="M12" s="18">
        <f>L12/60</f>
        <v>3.75</v>
      </c>
      <c r="N12" s="18">
        <f>ROUNDUP(K12*M12,1)</f>
        <v>24.4</v>
      </c>
      <c r="O12" s="206">
        <f>ROUNDUP(X37, 1)</f>
        <v>1</v>
      </c>
      <c r="P12" s="200">
        <f>IF(N12&gt;O12, N12, O12)</f>
        <v>24.4</v>
      </c>
      <c r="Q12" s="19" t="s">
        <v>158</v>
      </c>
      <c r="R12" s="20">
        <v>16.0</v>
      </c>
      <c r="S12" s="207">
        <f>P12*R12</f>
        <v>390.4</v>
      </c>
      <c r="T12" s="21">
        <f>IF(S12&gt;Z12, S12, Z12)</f>
        <v>390.4</v>
      </c>
      <c r="U12" s="22">
        <v>125.0</v>
      </c>
      <c r="V12" s="23">
        <v>0.02</v>
      </c>
      <c r="W12" s="21">
        <f>T12+U12</f>
        <v>515.4</v>
      </c>
      <c r="X12" s="18">
        <f>ROUNDUP(W12*V12,0)</f>
        <v>11</v>
      </c>
      <c r="Y12" s="21">
        <f>W12+X12</f>
        <v>526.4</v>
      </c>
      <c r="Z12" s="24">
        <v>225.0</v>
      </c>
      <c r="AA12" s="25">
        <f>ROUNDDOWN(Z12/N12,0)</f>
        <v>9</v>
      </c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Q13" s="27"/>
      <c r="R13" s="3"/>
      <c r="S13" s="3"/>
      <c r="T13" s="28"/>
      <c r="U13" s="29"/>
      <c r="V13" s="30"/>
      <c r="W13" s="28"/>
      <c r="X13" s="31"/>
      <c r="Y13" s="28"/>
      <c r="Z13" s="32"/>
      <c r="AA13" s="26"/>
    </row>
    <row r="14">
      <c r="A14" s="208" t="s">
        <v>168</v>
      </c>
      <c r="B14" s="197"/>
      <c r="C14" s="197"/>
      <c r="D14" s="197"/>
      <c r="E14" s="197"/>
      <c r="F14" s="197"/>
      <c r="G14" s="197"/>
      <c r="H14" s="197"/>
      <c r="I14" s="2"/>
      <c r="J14" s="2"/>
      <c r="K14" s="2"/>
      <c r="L14" s="2"/>
      <c r="M14" s="2"/>
      <c r="N14" s="2"/>
      <c r="O14" s="32"/>
      <c r="P14" s="32"/>
      <c r="Q14" s="3"/>
      <c r="R14" s="3"/>
      <c r="S14" s="3"/>
      <c r="T14" s="4"/>
      <c r="U14" s="4"/>
      <c r="V14" s="4"/>
      <c r="W14" s="4"/>
      <c r="X14" s="5"/>
      <c r="Y14" s="4"/>
      <c r="Z14" s="4"/>
      <c r="AA14" s="4"/>
    </row>
    <row r="15">
      <c r="A15" s="7" t="s">
        <v>1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131" t="s">
        <v>155</v>
      </c>
      <c r="O15" s="131" t="s">
        <v>156</v>
      </c>
      <c r="P15" s="198" t="s">
        <v>157</v>
      </c>
      <c r="Q15" s="108"/>
      <c r="R15" s="10" t="s">
        <v>15</v>
      </c>
      <c r="S15" s="10" t="s">
        <v>140</v>
      </c>
      <c r="T15" s="11" t="s">
        <v>16</v>
      </c>
      <c r="U15" s="11" t="s">
        <v>17</v>
      </c>
      <c r="V15" s="10" t="s">
        <v>18</v>
      </c>
      <c r="W15" s="10" t="s">
        <v>19</v>
      </c>
      <c r="X15" s="12" t="s">
        <v>20</v>
      </c>
      <c r="Y15" s="10" t="s">
        <v>21</v>
      </c>
      <c r="Z15" s="11" t="s">
        <v>22</v>
      </c>
      <c r="AA15" s="13" t="s">
        <v>23</v>
      </c>
    </row>
    <row r="16">
      <c r="A16" s="14">
        <v>1.5</v>
      </c>
      <c r="B16" s="14">
        <v>16.0</v>
      </c>
      <c r="C16" s="14">
        <v>48.0</v>
      </c>
      <c r="D16" s="15" t="s">
        <v>24</v>
      </c>
      <c r="E16" s="15">
        <v>0.055</v>
      </c>
      <c r="F16" s="193">
        <f>(A16+B16)*C16</f>
        <v>840</v>
      </c>
      <c r="G16" s="193">
        <f>(A16+B16)/E16</f>
        <v>318.1818182</v>
      </c>
      <c r="H16" s="193">
        <f>C16/10</f>
        <v>4.8</v>
      </c>
      <c r="I16" s="15">
        <v>4.0</v>
      </c>
      <c r="J16" s="16">
        <f>H16*G16/60</f>
        <v>25.45454545</v>
      </c>
      <c r="K16" s="16">
        <f>J16+I16</f>
        <v>29.45454545</v>
      </c>
      <c r="L16" s="17">
        <v>225.0</v>
      </c>
      <c r="M16" s="18">
        <f>L16/60</f>
        <v>3.75</v>
      </c>
      <c r="N16" s="18">
        <f>ROUNDUP(K16*M16,1)</f>
        <v>110.5</v>
      </c>
      <c r="O16" s="206">
        <f>ROUNDUP(X38, 1)</f>
        <v>45.5</v>
      </c>
      <c r="P16" s="200">
        <f>IF(N16&gt;O16, N16, O16)</f>
        <v>110.5</v>
      </c>
      <c r="Q16" s="19" t="s">
        <v>160</v>
      </c>
      <c r="R16" s="20">
        <v>1.0</v>
      </c>
      <c r="S16" s="207">
        <f>P16*R16</f>
        <v>110.5</v>
      </c>
      <c r="T16" s="21">
        <f>IF(S16&gt;Z16, S16, Z16)</f>
        <v>225</v>
      </c>
      <c r="U16" s="22">
        <v>125.0</v>
      </c>
      <c r="V16" s="23">
        <v>0.02</v>
      </c>
      <c r="W16" s="21">
        <f>T16+U16</f>
        <v>350</v>
      </c>
      <c r="X16" s="18">
        <f>ROUNDUP(W16*V16,0)</f>
        <v>7</v>
      </c>
      <c r="Y16" s="21">
        <f>W16+X16</f>
        <v>357</v>
      </c>
      <c r="Z16" s="24">
        <v>225.0</v>
      </c>
      <c r="AA16" s="25">
        <f>ROUNDDOWN(Z16/N16,0)</f>
        <v>2</v>
      </c>
    </row>
    <row r="21" ht="15.75" customHeight="1"/>
    <row r="22" ht="15.75" customHeight="1"/>
    <row r="23" ht="15.75" customHeight="1"/>
    <row r="24" ht="15.75" customHeight="1">
      <c r="A24" s="133" t="s">
        <v>28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134"/>
      <c r="S24" s="134"/>
      <c r="T24" s="135"/>
      <c r="U24" s="136"/>
      <c r="V24" s="134"/>
      <c r="W24" s="137"/>
      <c r="X24" s="134"/>
      <c r="Y24" s="84"/>
      <c r="Z24" s="138"/>
    </row>
    <row r="25" ht="15.75" customHeight="1">
      <c r="A25" s="40" t="s">
        <v>29</v>
      </c>
      <c r="B25" s="40" t="s">
        <v>3</v>
      </c>
      <c r="C25" s="7" t="s">
        <v>4</v>
      </c>
      <c r="D25" s="40" t="s">
        <v>5</v>
      </c>
      <c r="E25" s="41" t="s">
        <v>30</v>
      </c>
      <c r="F25" s="40" t="s">
        <v>31</v>
      </c>
      <c r="G25" s="40" t="s">
        <v>32</v>
      </c>
      <c r="H25" s="40" t="s">
        <v>33</v>
      </c>
      <c r="I25" s="40" t="s">
        <v>34</v>
      </c>
      <c r="J25" s="40" t="s">
        <v>35</v>
      </c>
      <c r="K25" s="7" t="s">
        <v>12</v>
      </c>
      <c r="L25" s="7" t="s">
        <v>13</v>
      </c>
      <c r="M25" s="42" t="s">
        <v>36</v>
      </c>
      <c r="N25" s="42"/>
      <c r="O25" s="42"/>
      <c r="P25" s="11"/>
      <c r="Q25" s="10" t="s">
        <v>15</v>
      </c>
      <c r="R25" s="43" t="s">
        <v>16</v>
      </c>
      <c r="S25" s="43"/>
      <c r="T25" s="44" t="s">
        <v>17</v>
      </c>
      <c r="U25" s="45" t="s">
        <v>18</v>
      </c>
      <c r="V25" s="43" t="s">
        <v>19</v>
      </c>
      <c r="W25" s="46" t="s">
        <v>20</v>
      </c>
      <c r="X25" s="43" t="s">
        <v>21</v>
      </c>
      <c r="Y25" s="11" t="s">
        <v>22</v>
      </c>
      <c r="Z25" s="13" t="s">
        <v>23</v>
      </c>
    </row>
    <row r="26" ht="15.75" customHeight="1">
      <c r="A26" s="14">
        <v>2.875</v>
      </c>
      <c r="B26" s="14">
        <v>19.8</v>
      </c>
      <c r="C26" s="15" t="s">
        <v>24</v>
      </c>
      <c r="D26" s="47">
        <v>0.065</v>
      </c>
      <c r="E26" s="47">
        <f>A26*3.14</f>
        <v>9.0275</v>
      </c>
      <c r="F26" s="48">
        <f>E26/D26</f>
        <v>138.8846154</v>
      </c>
      <c r="G26" s="47">
        <f>B26/10</f>
        <v>1.98</v>
      </c>
      <c r="H26" s="47">
        <v>3.0</v>
      </c>
      <c r="I26" s="16">
        <f>G26*F26/60</f>
        <v>4.583192308</v>
      </c>
      <c r="J26" s="49">
        <f>I26+H26</f>
        <v>7.583192308</v>
      </c>
      <c r="K26" s="17">
        <v>225.0</v>
      </c>
      <c r="L26" s="18">
        <f>K26/60</f>
        <v>3.75</v>
      </c>
      <c r="M26" s="21">
        <f>ROUNDUP(J26*L26,1)</f>
        <v>28.5</v>
      </c>
      <c r="N26" s="142"/>
      <c r="O26" s="142"/>
      <c r="P26" s="106" t="s">
        <v>169</v>
      </c>
      <c r="Q26" s="20">
        <v>12.0</v>
      </c>
      <c r="R26" s="21">
        <f>M26*Q26</f>
        <v>342</v>
      </c>
      <c r="S26" s="21"/>
      <c r="T26" s="22">
        <v>125.0</v>
      </c>
      <c r="U26" s="23">
        <v>0.02</v>
      </c>
      <c r="V26" s="21">
        <f>R26+T26</f>
        <v>467</v>
      </c>
      <c r="W26" s="18">
        <f>ROUNDUP(V26*U26,0)</f>
        <v>10</v>
      </c>
      <c r="X26" s="21">
        <f>V26+W26</f>
        <v>477</v>
      </c>
      <c r="Y26" s="24">
        <v>225.0</v>
      </c>
      <c r="Z26" s="25">
        <f>ROUNDDOWN(Y26/M26,0)</f>
        <v>7</v>
      </c>
    </row>
    <row r="27" ht="15.75" customHeight="1">
      <c r="A27" s="83"/>
      <c r="B27" s="84"/>
      <c r="C27" s="84"/>
      <c r="D27" s="84"/>
      <c r="E27" s="84"/>
      <c r="F27" s="84"/>
      <c r="G27" s="85"/>
    </row>
    <row r="28" ht="15.75" customHeight="1">
      <c r="A28" s="86"/>
      <c r="G28" s="88"/>
      <c r="Q28" s="83"/>
      <c r="R28" s="84"/>
      <c r="S28" s="84"/>
      <c r="T28" s="84"/>
      <c r="U28" s="84"/>
      <c r="V28" s="84"/>
      <c r="W28" s="84"/>
      <c r="X28" s="85"/>
      <c r="Z28" s="54" t="s">
        <v>95</v>
      </c>
    </row>
    <row r="29" ht="15.75" customHeight="1">
      <c r="A29" s="86"/>
      <c r="G29" s="88"/>
      <c r="J29" s="83"/>
      <c r="K29" s="84"/>
      <c r="L29" s="203" t="s">
        <v>163</v>
      </c>
      <c r="M29" s="84"/>
      <c r="N29" s="84"/>
      <c r="O29" s="85"/>
      <c r="Q29" s="86"/>
      <c r="X29" s="88"/>
      <c r="Z29" s="209">
        <v>10000.0</v>
      </c>
    </row>
    <row r="30" ht="15.75" customHeight="1">
      <c r="A30" s="86" t="s">
        <v>59</v>
      </c>
      <c r="B30" s="54">
        <f>12^3</f>
        <v>1728</v>
      </c>
      <c r="C30" s="54" t="s">
        <v>60</v>
      </c>
      <c r="G30" s="88"/>
      <c r="J30" s="86"/>
      <c r="M30" s="54" t="s">
        <v>61</v>
      </c>
      <c r="N30" s="54">
        <v>62.42796</v>
      </c>
      <c r="O30" s="88"/>
      <c r="Q30" s="86" t="s">
        <v>59</v>
      </c>
      <c r="R30" s="54">
        <f>12^3</f>
        <v>1728</v>
      </c>
      <c r="T30" s="54" t="s">
        <v>60</v>
      </c>
      <c r="X30" s="88"/>
      <c r="Z30" s="54">
        <v>6000.0</v>
      </c>
    </row>
    <row r="31" ht="15.75" customHeight="1">
      <c r="A31" s="86"/>
      <c r="C31" s="54" t="s">
        <v>62</v>
      </c>
      <c r="E31" s="87">
        <v>515.0</v>
      </c>
      <c r="G31" s="88"/>
      <c r="J31" s="86" t="s">
        <v>63</v>
      </c>
      <c r="K31" s="54" t="s">
        <v>64</v>
      </c>
      <c r="L31" s="54" t="s">
        <v>65</v>
      </c>
      <c r="M31" s="54" t="s">
        <v>66</v>
      </c>
      <c r="O31" s="88"/>
      <c r="Q31" s="86"/>
      <c r="T31" s="54" t="s">
        <v>62</v>
      </c>
      <c r="V31" s="87">
        <v>568.0</v>
      </c>
      <c r="X31" s="88"/>
      <c r="Z31" s="54">
        <v>4000.0</v>
      </c>
    </row>
    <row r="32" ht="15.75" customHeight="1">
      <c r="A32" s="86"/>
      <c r="C32" s="54" t="s">
        <v>164</v>
      </c>
      <c r="E32" s="89">
        <v>0.1</v>
      </c>
      <c r="G32" s="88"/>
      <c r="J32" s="86" t="s">
        <v>69</v>
      </c>
      <c r="K32" s="54">
        <v>7075.0</v>
      </c>
      <c r="L32" s="54">
        <v>2.81</v>
      </c>
      <c r="M32" s="54">
        <f t="shared" ref="M32:M35" si="1">L32*$N$30</f>
        <v>175.4225676</v>
      </c>
      <c r="O32" s="88"/>
      <c r="Q32" s="86"/>
      <c r="T32" s="54" t="s">
        <v>164</v>
      </c>
      <c r="V32" s="89">
        <v>0.1</v>
      </c>
      <c r="X32" s="88"/>
    </row>
    <row r="33" ht="15.75" customHeight="1">
      <c r="A33" s="86"/>
      <c r="C33" s="54" t="s">
        <v>165</v>
      </c>
      <c r="E33" s="204">
        <v>0.12</v>
      </c>
      <c r="G33" s="88"/>
      <c r="J33" s="86" t="s">
        <v>69</v>
      </c>
      <c r="K33" s="54">
        <v>2219.0</v>
      </c>
      <c r="L33" s="54">
        <v>2.84</v>
      </c>
      <c r="M33" s="54">
        <f t="shared" si="1"/>
        <v>177.2954064</v>
      </c>
      <c r="O33" s="88"/>
      <c r="Q33" s="86"/>
      <c r="T33" s="54" t="s">
        <v>165</v>
      </c>
      <c r="V33" s="205">
        <v>0.12</v>
      </c>
      <c r="X33" s="88"/>
    </row>
    <row r="34" ht="15.75" customHeight="1">
      <c r="A34" s="86"/>
      <c r="G34" s="88"/>
      <c r="J34" s="86" t="s">
        <v>69</v>
      </c>
      <c r="K34" s="54">
        <v>6061.0</v>
      </c>
      <c r="L34" s="54">
        <v>2.7</v>
      </c>
      <c r="M34" s="54">
        <f t="shared" si="1"/>
        <v>168.555492</v>
      </c>
      <c r="O34" s="88"/>
      <c r="Q34" s="86"/>
      <c r="X34" s="88"/>
    </row>
    <row r="35" ht="15.75" customHeight="1">
      <c r="A35" s="86"/>
      <c r="G35" s="88"/>
      <c r="J35" s="86" t="s">
        <v>69</v>
      </c>
      <c r="K35" s="54">
        <v>7050.0</v>
      </c>
      <c r="L35" s="54">
        <v>2.83</v>
      </c>
      <c r="M35" s="54">
        <f t="shared" si="1"/>
        <v>176.6711268</v>
      </c>
      <c r="O35" s="88"/>
      <c r="Q35" s="86"/>
      <c r="X35" s="88"/>
    </row>
    <row r="36" ht="15.75" customHeight="1">
      <c r="A36" s="90" t="s">
        <v>70</v>
      </c>
      <c r="B36" s="91" t="s">
        <v>166</v>
      </c>
      <c r="C36" s="91" t="s">
        <v>72</v>
      </c>
      <c r="D36" s="91" t="s">
        <v>73</v>
      </c>
      <c r="E36" s="91" t="s">
        <v>74</v>
      </c>
      <c r="F36" s="91" t="s">
        <v>75</v>
      </c>
      <c r="G36" s="92" t="s">
        <v>76</v>
      </c>
      <c r="H36" s="91"/>
      <c r="I36" s="91"/>
      <c r="J36" s="90" t="s">
        <v>77</v>
      </c>
      <c r="K36" s="91"/>
      <c r="L36" s="91"/>
      <c r="M36" s="91">
        <v>494.21</v>
      </c>
      <c r="N36" s="91" t="s">
        <v>78</v>
      </c>
      <c r="O36" s="92"/>
      <c r="P36" s="91"/>
      <c r="Q36" s="90" t="s">
        <v>70</v>
      </c>
      <c r="R36" s="91" t="s">
        <v>166</v>
      </c>
      <c r="S36" s="91"/>
      <c r="T36" s="91" t="s">
        <v>72</v>
      </c>
      <c r="U36" s="91" t="s">
        <v>73</v>
      </c>
      <c r="V36" s="91" t="s">
        <v>74</v>
      </c>
      <c r="W36" s="91" t="s">
        <v>75</v>
      </c>
      <c r="X36" s="92" t="s">
        <v>76</v>
      </c>
    </row>
    <row r="37" ht="15.75" customHeight="1">
      <c r="A37" s="93">
        <f t="shared" ref="A37:C37" si="2">A3</f>
        <v>3.25</v>
      </c>
      <c r="B37" s="50">
        <f t="shared" si="2"/>
        <v>36</v>
      </c>
      <c r="C37" s="50">
        <f t="shared" si="2"/>
        <v>36</v>
      </c>
      <c r="D37" s="54">
        <f t="shared" ref="D37:D41" si="5">A37*B37*C37</f>
        <v>4212</v>
      </c>
      <c r="E37" s="54">
        <f t="shared" ref="E37:E41" si="6">D37/$B$30</f>
        <v>2.4375</v>
      </c>
      <c r="F37" s="54">
        <f t="shared" ref="F37:F41" si="7">E37*$E$31</f>
        <v>1255.3125</v>
      </c>
      <c r="G37" s="94">
        <f>F37*$E$32</f>
        <v>125.53125</v>
      </c>
      <c r="J37" s="86" t="s">
        <v>79</v>
      </c>
      <c r="M37" s="54">
        <v>283.39</v>
      </c>
      <c r="N37" s="54" t="s">
        <v>80</v>
      </c>
      <c r="O37" s="88"/>
      <c r="Q37" s="93">
        <f t="shared" ref="Q37:R37" si="3">A12</f>
        <v>2.25</v>
      </c>
      <c r="R37" s="50">
        <f t="shared" si="3"/>
        <v>3.25</v>
      </c>
      <c r="S37" s="50"/>
      <c r="T37" s="50">
        <f>C12</f>
        <v>4.125</v>
      </c>
      <c r="U37" s="54">
        <f t="shared" ref="U37:U41" si="9">Q37*R37*T37</f>
        <v>30.1640625</v>
      </c>
      <c r="V37" s="54">
        <f t="shared" ref="V37:V41" si="10">U37/$B$30</f>
        <v>0.01745605469</v>
      </c>
      <c r="W37" s="54">
        <f t="shared" ref="W37:W38" si="11">V37*$V$31</f>
        <v>9.915039063</v>
      </c>
      <c r="X37" s="94">
        <f>W37*$V$32</f>
        <v>0.9915039063</v>
      </c>
    </row>
    <row r="38" ht="15.75" customHeight="1">
      <c r="A38" s="95">
        <f>+A7</f>
        <v>3</v>
      </c>
      <c r="B38" s="96">
        <f t="shared" ref="B38:C38" si="4">B7</f>
        <v>37</v>
      </c>
      <c r="C38" s="96">
        <f t="shared" si="4"/>
        <v>120</v>
      </c>
      <c r="D38" s="54">
        <f t="shared" si="5"/>
        <v>13320</v>
      </c>
      <c r="E38" s="54">
        <f t="shared" si="6"/>
        <v>7.708333333</v>
      </c>
      <c r="F38" s="54">
        <f t="shared" si="7"/>
        <v>3969.791667</v>
      </c>
      <c r="G38" s="97">
        <f>F38*$E$33</f>
        <v>476.375</v>
      </c>
      <c r="J38" s="86" t="s">
        <v>81</v>
      </c>
      <c r="M38" s="54">
        <v>490.0</v>
      </c>
      <c r="O38" s="88"/>
      <c r="Q38" s="95">
        <f t="shared" ref="Q38:R38" si="8">A16</f>
        <v>1.5</v>
      </c>
      <c r="R38" s="96">
        <f t="shared" si="8"/>
        <v>16</v>
      </c>
      <c r="S38" s="96"/>
      <c r="T38" s="96">
        <f>C16</f>
        <v>48</v>
      </c>
      <c r="U38" s="54">
        <f t="shared" si="9"/>
        <v>1152</v>
      </c>
      <c r="V38" s="54">
        <f t="shared" si="10"/>
        <v>0.6666666667</v>
      </c>
      <c r="W38" s="54">
        <f t="shared" si="11"/>
        <v>378.6666667</v>
      </c>
      <c r="X38" s="97">
        <f>W38*$V$33</f>
        <v>45.44</v>
      </c>
    </row>
    <row r="39" ht="15.75" customHeight="1">
      <c r="A39" s="98">
        <v>5.625</v>
      </c>
      <c r="B39" s="99">
        <v>5.75</v>
      </c>
      <c r="C39" s="99">
        <v>9.0</v>
      </c>
      <c r="D39" s="54">
        <f t="shared" si="5"/>
        <v>291.09375</v>
      </c>
      <c r="E39" s="54">
        <f t="shared" si="6"/>
        <v>0.1684570313</v>
      </c>
      <c r="F39" s="54">
        <f t="shared" si="7"/>
        <v>86.75537109</v>
      </c>
      <c r="G39" s="100">
        <f t="shared" ref="G39:G41" si="12">F39*$E$32</f>
        <v>8.675537109</v>
      </c>
      <c r="J39" s="86" t="s">
        <v>82</v>
      </c>
      <c r="M39" s="54">
        <v>1204.41</v>
      </c>
      <c r="O39" s="88"/>
      <c r="Q39" s="98">
        <v>5.625</v>
      </c>
      <c r="R39" s="99">
        <v>5.75</v>
      </c>
      <c r="S39" s="99"/>
      <c r="T39" s="99">
        <v>9.0</v>
      </c>
      <c r="U39" s="54">
        <f t="shared" si="9"/>
        <v>291.09375</v>
      </c>
      <c r="V39" s="54">
        <f t="shared" si="10"/>
        <v>0.1684570313</v>
      </c>
      <c r="W39" s="54">
        <f t="shared" ref="W39:W41" si="13">V39*$E$31</f>
        <v>86.75537109</v>
      </c>
      <c r="X39" s="100">
        <f t="shared" ref="X39:X41" si="14">W39*$E$32</f>
        <v>8.675537109</v>
      </c>
    </row>
    <row r="40" ht="15.75" customHeight="1">
      <c r="A40" s="101">
        <v>11.75</v>
      </c>
      <c r="B40" s="102">
        <v>5.75</v>
      </c>
      <c r="C40" s="102">
        <v>55.875</v>
      </c>
      <c r="D40" s="54">
        <f t="shared" si="5"/>
        <v>3775.054688</v>
      </c>
      <c r="E40" s="54">
        <f t="shared" si="6"/>
        <v>2.184638129</v>
      </c>
      <c r="F40" s="54">
        <f t="shared" si="7"/>
        <v>1125.088637</v>
      </c>
      <c r="G40" s="103">
        <f t="shared" si="12"/>
        <v>112.5088637</v>
      </c>
      <c r="J40" s="86" t="s">
        <v>83</v>
      </c>
      <c r="M40" s="54">
        <v>568.5</v>
      </c>
      <c r="O40" s="88"/>
      <c r="Q40" s="101">
        <v>11.75</v>
      </c>
      <c r="R40" s="102">
        <v>5.75</v>
      </c>
      <c r="S40" s="102"/>
      <c r="T40" s="102">
        <v>55.875</v>
      </c>
      <c r="U40" s="54">
        <f t="shared" si="9"/>
        <v>3775.054688</v>
      </c>
      <c r="V40" s="54">
        <f t="shared" si="10"/>
        <v>2.184638129</v>
      </c>
      <c r="W40" s="54">
        <f t="shared" si="13"/>
        <v>1125.088637</v>
      </c>
      <c r="X40" s="103">
        <f t="shared" si="14"/>
        <v>112.5088637</v>
      </c>
    </row>
    <row r="41" ht="15.75" customHeight="1">
      <c r="A41" s="104">
        <v>10.0</v>
      </c>
      <c r="B41" s="105">
        <v>10.0</v>
      </c>
      <c r="C41" s="105">
        <v>10.0</v>
      </c>
      <c r="D41" s="106">
        <f t="shared" si="5"/>
        <v>1000</v>
      </c>
      <c r="E41" s="106">
        <f t="shared" si="6"/>
        <v>0.5787037037</v>
      </c>
      <c r="F41" s="106">
        <f t="shared" si="7"/>
        <v>298.0324074</v>
      </c>
      <c r="G41" s="107">
        <f t="shared" si="12"/>
        <v>29.80324074</v>
      </c>
      <c r="J41" s="167"/>
      <c r="K41" s="106"/>
      <c r="L41" s="106"/>
      <c r="M41" s="106"/>
      <c r="N41" s="106"/>
      <c r="O41" s="169"/>
      <c r="Q41" s="104">
        <v>10.0</v>
      </c>
      <c r="R41" s="105">
        <v>10.0</v>
      </c>
      <c r="S41" s="105"/>
      <c r="T41" s="105">
        <v>10.0</v>
      </c>
      <c r="U41" s="106">
        <f t="shared" si="9"/>
        <v>1000</v>
      </c>
      <c r="V41" s="106">
        <f t="shared" si="10"/>
        <v>0.5787037037</v>
      </c>
      <c r="W41" s="106">
        <f t="shared" si="13"/>
        <v>298.0324074</v>
      </c>
      <c r="X41" s="107">
        <f t="shared" si="14"/>
        <v>29.80324074</v>
      </c>
    </row>
    <row r="42" ht="15.75" customHeight="1"/>
    <row r="43" ht="15.75" customHeight="1"/>
    <row r="44" ht="15.75" customHeight="1">
      <c r="A44" s="9" t="s">
        <v>85</v>
      </c>
      <c r="B44" s="108" t="s">
        <v>86</v>
      </c>
      <c r="C44" s="9" t="s">
        <v>87</v>
      </c>
      <c r="D44" s="9" t="s">
        <v>88</v>
      </c>
      <c r="E44" s="9" t="s">
        <v>89</v>
      </c>
      <c r="F44" s="108" t="s">
        <v>90</v>
      </c>
      <c r="G44" s="9" t="s">
        <v>91</v>
      </c>
      <c r="H44" s="9" t="s">
        <v>67</v>
      </c>
      <c r="I44" s="108" t="s">
        <v>92</v>
      </c>
      <c r="K44" s="55" t="s">
        <v>93</v>
      </c>
      <c r="L44" s="55" t="s">
        <v>94</v>
      </c>
      <c r="O44" s="11" t="s">
        <v>95</v>
      </c>
    </row>
    <row r="45" ht="15.75" customHeight="1">
      <c r="A45" s="109" t="s">
        <v>96</v>
      </c>
      <c r="B45" s="110">
        <v>13.0</v>
      </c>
      <c r="C45" s="87">
        <v>60.0</v>
      </c>
      <c r="D45" s="110">
        <f t="shared" ref="D45:D49" si="15">B45/2</f>
        <v>6.5</v>
      </c>
      <c r="E45" s="87">
        <v>3.14159265359</v>
      </c>
      <c r="F45" s="87">
        <f t="shared" ref="F45:F49" si="16">E45*(D45^2)</f>
        <v>132.7322896</v>
      </c>
      <c r="G45" s="87">
        <f t="shared" ref="G45:G49" si="17">F45*C45</f>
        <v>7963.937377</v>
      </c>
      <c r="H45" s="87">
        <v>0.283</v>
      </c>
      <c r="I45" s="111">
        <f t="shared" ref="I45:I49" si="18">G45*H45</f>
        <v>2253.794278</v>
      </c>
      <c r="K45" s="112">
        <v>0.14</v>
      </c>
      <c r="L45" s="113">
        <f t="shared" ref="L45:L49" si="19">ROUND(K45*I45, 2)</f>
        <v>315.53</v>
      </c>
      <c r="O45" s="9">
        <v>6000.0</v>
      </c>
    </row>
    <row r="46" ht="15.75" customHeight="1">
      <c r="A46" s="114" t="s">
        <v>97</v>
      </c>
      <c r="B46" s="115">
        <v>10.5</v>
      </c>
      <c r="C46" s="116">
        <v>144.0</v>
      </c>
      <c r="D46" s="115">
        <f t="shared" si="15"/>
        <v>5.25</v>
      </c>
      <c r="E46" s="116">
        <v>3.14159265359</v>
      </c>
      <c r="F46" s="116">
        <f t="shared" si="16"/>
        <v>86.59014751</v>
      </c>
      <c r="G46" s="116">
        <f t="shared" si="17"/>
        <v>12468.98124</v>
      </c>
      <c r="H46" s="116">
        <v>0.29</v>
      </c>
      <c r="I46" s="117">
        <f t="shared" si="18"/>
        <v>3616.00456</v>
      </c>
      <c r="K46" s="112">
        <v>0.14</v>
      </c>
      <c r="L46" s="113">
        <f t="shared" si="19"/>
        <v>506.24</v>
      </c>
    </row>
    <row r="47" ht="15.75" customHeight="1">
      <c r="A47" s="118" t="s">
        <v>98</v>
      </c>
      <c r="B47" s="119">
        <v>13.0</v>
      </c>
      <c r="C47" s="120">
        <v>148.0</v>
      </c>
      <c r="D47" s="119">
        <f t="shared" si="15"/>
        <v>6.5</v>
      </c>
      <c r="E47" s="120">
        <v>3.14159265359</v>
      </c>
      <c r="F47" s="120">
        <f t="shared" si="16"/>
        <v>132.7322896</v>
      </c>
      <c r="G47" s="120">
        <f t="shared" si="17"/>
        <v>19644.37886</v>
      </c>
      <c r="H47" s="120">
        <v>0.1</v>
      </c>
      <c r="I47" s="121">
        <f t="shared" si="18"/>
        <v>1964.437886</v>
      </c>
      <c r="K47" s="112">
        <v>0.15</v>
      </c>
      <c r="L47" s="113">
        <f t="shared" si="19"/>
        <v>294.67</v>
      </c>
    </row>
    <row r="48" ht="15.75" customHeight="1">
      <c r="A48" s="122" t="s">
        <v>99</v>
      </c>
      <c r="B48" s="123">
        <v>13.0</v>
      </c>
      <c r="C48" s="124">
        <v>148.0</v>
      </c>
      <c r="D48" s="123">
        <f t="shared" si="15"/>
        <v>6.5</v>
      </c>
      <c r="E48" s="124">
        <v>3.14159265359</v>
      </c>
      <c r="F48" s="124">
        <f t="shared" si="16"/>
        <v>132.7322896</v>
      </c>
      <c r="G48" s="124">
        <f t="shared" si="17"/>
        <v>19644.37886</v>
      </c>
      <c r="H48" s="124">
        <v>0.16</v>
      </c>
      <c r="I48" s="125">
        <f t="shared" si="18"/>
        <v>3143.100618</v>
      </c>
      <c r="K48" s="112">
        <v>0.2</v>
      </c>
      <c r="L48" s="113">
        <f t="shared" si="19"/>
        <v>628.62</v>
      </c>
    </row>
    <row r="49" ht="15.75" customHeight="1">
      <c r="A49" s="126" t="s">
        <v>100</v>
      </c>
      <c r="B49" s="127">
        <v>6.02</v>
      </c>
      <c r="C49" s="128">
        <v>165.875</v>
      </c>
      <c r="D49" s="127">
        <f t="shared" si="15"/>
        <v>3.01</v>
      </c>
      <c r="E49" s="128">
        <v>3.14159265359</v>
      </c>
      <c r="F49" s="128">
        <f t="shared" si="16"/>
        <v>28.4631436</v>
      </c>
      <c r="G49" s="128">
        <f t="shared" si="17"/>
        <v>4721.323945</v>
      </c>
      <c r="H49" s="128">
        <v>0.2965</v>
      </c>
      <c r="I49" s="129">
        <f t="shared" si="18"/>
        <v>1399.87255</v>
      </c>
      <c r="K49" s="112">
        <v>0.16</v>
      </c>
      <c r="L49" s="113">
        <f t="shared" si="19"/>
        <v>223.98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45:I49">
    <cfRule type="cellIs" dxfId="0" priority="1" operator="greaterThan">
      <formula>$Q$24</formula>
    </cfRule>
  </conditionalFormatting>
  <conditionalFormatting sqref="I49">
    <cfRule type="cellIs" dxfId="0" priority="2" operator="greaterThan">
      <formula>6296.819819</formula>
    </cfRule>
  </conditionalFormatting>
  <conditionalFormatting sqref="I49">
    <cfRule type="cellIs" dxfId="1" priority="3" operator="greaterThan">
      <formula>$Q$24</formula>
    </cfRule>
  </conditionalFormatting>
  <conditionalFormatting sqref="L49">
    <cfRule type="cellIs" dxfId="0" priority="4" operator="greaterThan">
      <formula>960</formula>
    </cfRule>
  </conditionalFormatting>
  <conditionalFormatting sqref="L49">
    <cfRule type="cellIs" dxfId="2" priority="5" operator="greaterThan">
      <formula>960</formula>
    </cfRule>
  </conditionalFormatting>
  <conditionalFormatting sqref="L49">
    <cfRule type="expression" dxfId="2" priority="6">
      <formula>$K$28</formula>
    </cfRule>
  </conditionalFormatting>
  <conditionalFormatting sqref="L49">
    <cfRule type="expression" dxfId="2" priority="7">
      <formula>"IF K28 IS RED"</formula>
    </cfRule>
  </conditionalFormatting>
  <conditionalFormatting sqref="P3">
    <cfRule type="expression" dxfId="3" priority="8">
      <formula>$F$37&gt;$Z$29</formula>
    </cfRule>
  </conditionalFormatting>
  <conditionalFormatting sqref="P3">
    <cfRule type="expression" dxfId="2" priority="9">
      <formula>$W$37&gt;$Z$29</formula>
    </cfRule>
  </conditionalFormatting>
  <conditionalFormatting sqref="P7">
    <cfRule type="expression" dxfId="3" priority="10">
      <formula>$F$38&gt;$Z$29</formula>
    </cfRule>
  </conditionalFormatting>
  <conditionalFormatting sqref="P12">
    <cfRule type="expression" dxfId="3" priority="11">
      <formula>$W$37&gt;$Z$29</formula>
    </cfRule>
  </conditionalFormatting>
  <conditionalFormatting sqref="P16">
    <cfRule type="expression" dxfId="3" priority="12">
      <formula>$W$38&gt;$Z$29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12.0"/>
    <col customWidth="1" min="20" max="20" width="10.57"/>
    <col customWidth="1" min="21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0.125</v>
      </c>
      <c r="B3" s="14">
        <v>6.19</v>
      </c>
      <c r="C3" s="14">
        <v>6.69</v>
      </c>
      <c r="D3" s="15">
        <v>0.125</v>
      </c>
      <c r="E3" s="15">
        <v>0.045</v>
      </c>
      <c r="F3" s="15">
        <f>(A3+B3)*C3</f>
        <v>42.24735</v>
      </c>
      <c r="G3" s="15">
        <f>(A3+B3)/E3</f>
        <v>140.3333333</v>
      </c>
      <c r="H3" s="15">
        <f>C3/10</f>
        <v>0.669</v>
      </c>
      <c r="I3" s="15">
        <v>3.5</v>
      </c>
      <c r="J3" s="16">
        <f>H3*G3/60</f>
        <v>1.564716667</v>
      </c>
      <c r="K3" s="16">
        <f>J3+I3</f>
        <v>5.064716667</v>
      </c>
      <c r="L3" s="17">
        <v>225.0</v>
      </c>
      <c r="M3" s="18">
        <f>L3/60</f>
        <v>3.75</v>
      </c>
      <c r="N3" s="18">
        <f>ROUNDUP(K3*M3,1)</f>
        <v>19</v>
      </c>
      <c r="O3" s="106"/>
      <c r="P3" s="22">
        <v>125.0</v>
      </c>
      <c r="Q3" s="151">
        <v>0.02</v>
      </c>
      <c r="R3" s="20">
        <v>5.0</v>
      </c>
      <c r="S3" s="21">
        <f>N3*R3</f>
        <v>95</v>
      </c>
      <c r="T3" s="21">
        <f>(N3*R3)+P3</f>
        <v>220</v>
      </c>
      <c r="U3" s="21">
        <f>ROUNDUP(T3*Q3,0)</f>
        <v>5</v>
      </c>
      <c r="V3" s="21">
        <f>T3+U3</f>
        <v>225</v>
      </c>
      <c r="W3" s="9"/>
      <c r="X3" s="24">
        <v>225.0</v>
      </c>
      <c r="Y3" s="152">
        <f>ROUNDDOWN(X3/N3,0)</f>
        <v>11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0.625</v>
      </c>
      <c r="C6" s="14">
        <v>1.0</v>
      </c>
      <c r="D6" s="15" t="s">
        <v>24</v>
      </c>
      <c r="E6" s="47">
        <v>0.045</v>
      </c>
      <c r="F6" s="47">
        <f>B6*3.14</f>
        <v>1.9625</v>
      </c>
      <c r="G6" s="48">
        <f>F6/E6</f>
        <v>43.61111111</v>
      </c>
      <c r="H6" s="47">
        <f>C6/10</f>
        <v>0.1</v>
      </c>
      <c r="I6" s="47">
        <v>4.0</v>
      </c>
      <c r="J6" s="16">
        <f>H6*G6/60</f>
        <v>0.07268518519</v>
      </c>
      <c r="K6" s="49">
        <f>J6+I6</f>
        <v>4.072685185</v>
      </c>
      <c r="L6" s="17">
        <v>225.0</v>
      </c>
      <c r="M6" s="18">
        <f>L6/60</f>
        <v>3.75</v>
      </c>
      <c r="N6" s="21">
        <f>ROUNDUP(K6*M6,1)</f>
        <v>15.3</v>
      </c>
      <c r="O6" s="106"/>
      <c r="P6" s="22">
        <v>125.0</v>
      </c>
      <c r="Q6" s="151">
        <v>0.02</v>
      </c>
      <c r="R6" s="20">
        <v>16.0</v>
      </c>
      <c r="S6" s="161">
        <f>N6*R6</f>
        <v>244.8</v>
      </c>
      <c r="T6" s="161">
        <f>(N6*R6)+P6</f>
        <v>369.8</v>
      </c>
      <c r="U6" s="21">
        <f>ROUNDUP(T6*Q6,0)</f>
        <v>8</v>
      </c>
      <c r="V6" s="21">
        <f>T6+U6</f>
        <v>377.8</v>
      </c>
      <c r="W6" s="106"/>
      <c r="X6" s="162">
        <v>225.0</v>
      </c>
      <c r="Y6" s="163">
        <f>ROUNDDOWN(X6/N6,0)</f>
        <v>14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286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1.25</v>
      </c>
      <c r="B11" s="14">
        <v>10.25</v>
      </c>
      <c r="C11" s="14">
        <v>13.5</v>
      </c>
      <c r="D11" s="15">
        <v>0.125</v>
      </c>
      <c r="E11" s="15">
        <v>0.045</v>
      </c>
      <c r="F11" s="15">
        <f>(A11+B11)*C11</f>
        <v>155.25</v>
      </c>
      <c r="G11" s="15">
        <f>(A11+B11)/E11</f>
        <v>255.5555556</v>
      </c>
      <c r="H11" s="15">
        <f>C11/10</f>
        <v>1.35</v>
      </c>
      <c r="I11" s="15">
        <v>3.5</v>
      </c>
      <c r="J11" s="16">
        <f>H11*G11/60</f>
        <v>5.75</v>
      </c>
      <c r="K11" s="16">
        <f>J11+I11</f>
        <v>9.25</v>
      </c>
      <c r="L11" s="17">
        <v>250.0</v>
      </c>
      <c r="M11" s="18">
        <f>L11/60</f>
        <v>4.166666667</v>
      </c>
      <c r="N11" s="18">
        <f>ROUNDUP(K11*M11,1)</f>
        <v>38.6</v>
      </c>
      <c r="O11" s="106"/>
      <c r="P11" s="22">
        <v>125.0</v>
      </c>
      <c r="Q11" s="151">
        <v>0.02</v>
      </c>
      <c r="R11" s="20">
        <v>55.0</v>
      </c>
      <c r="S11" s="21">
        <f>N11*R11</f>
        <v>2123</v>
      </c>
      <c r="T11" s="21">
        <f>(N11*R11)+P11</f>
        <v>2248</v>
      </c>
      <c r="U11" s="21">
        <f>ROUNDUP(T11*Q11,0)</f>
        <v>45</v>
      </c>
      <c r="V11" s="21">
        <f>T11+U11</f>
        <v>2293</v>
      </c>
      <c r="W11" s="9"/>
      <c r="X11" s="24">
        <v>250.0</v>
      </c>
      <c r="Y11" s="152">
        <f>ROUNDDOWN(X11/N11,0)</f>
        <v>6</v>
      </c>
    </row>
    <row r="12">
      <c r="A12" s="3"/>
      <c r="B12" s="153" t="s">
        <v>287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2.625</v>
      </c>
      <c r="C14" s="14">
        <v>2.15</v>
      </c>
      <c r="D14" s="15" t="s">
        <v>24</v>
      </c>
      <c r="E14" s="47">
        <v>0.045</v>
      </c>
      <c r="F14" s="47">
        <f>B14*3.14</f>
        <v>8.2425</v>
      </c>
      <c r="G14" s="48">
        <f>F14/E14</f>
        <v>183.1666667</v>
      </c>
      <c r="H14" s="47">
        <f>C14/10</f>
        <v>0.215</v>
      </c>
      <c r="I14" s="47">
        <v>4.0</v>
      </c>
      <c r="J14" s="16">
        <f>H14*G14/60</f>
        <v>0.6563472222</v>
      </c>
      <c r="K14" s="49">
        <f>J14+I14</f>
        <v>4.656347222</v>
      </c>
      <c r="L14" s="17">
        <v>250.0</v>
      </c>
      <c r="M14" s="18">
        <f>L14/60</f>
        <v>4.166666667</v>
      </c>
      <c r="N14" s="21">
        <f>ROUNDUP(K14*M14,1)</f>
        <v>19.5</v>
      </c>
      <c r="O14" s="106"/>
      <c r="P14" s="22">
        <v>125.0</v>
      </c>
      <c r="Q14" s="151">
        <v>0.02</v>
      </c>
      <c r="R14" s="20">
        <v>65.0</v>
      </c>
      <c r="S14" s="161">
        <f>N14*R14</f>
        <v>1267.5</v>
      </c>
      <c r="T14" s="161">
        <f>(N14*R14)+P14</f>
        <v>1392.5</v>
      </c>
      <c r="U14" s="21">
        <f>ROUNDUP(T14*Q14,0)</f>
        <v>28</v>
      </c>
      <c r="V14" s="21">
        <f>T14+U14</f>
        <v>1420.5</v>
      </c>
      <c r="W14" s="106"/>
      <c r="X14" s="162">
        <v>250.0</v>
      </c>
      <c r="Y14" s="163">
        <f>ROUNDDOWN(X14/N14,0)</f>
        <v>12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166" t="s">
        <v>131</v>
      </c>
      <c r="I20" s="86"/>
      <c r="R20" s="88"/>
      <c r="V20" s="52"/>
    </row>
    <row r="21" ht="15.75" customHeight="1">
      <c r="A21" s="86" t="s">
        <v>132</v>
      </c>
      <c r="C21" s="166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68" t="s">
        <v>136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3.29"/>
    <col customWidth="1" hidden="1" min="4" max="4" width="13.29"/>
    <col customWidth="1" min="5" max="5" width="13.29"/>
    <col customWidth="1" hidden="1" min="6" max="6" width="21.0"/>
    <col customWidth="1" hidden="1" min="7" max="7" width="22.71"/>
    <col customWidth="1" hidden="1" min="8" max="8" width="14.86"/>
    <col customWidth="1" min="9" max="9" width="11.57"/>
    <col customWidth="1" hidden="1" min="10" max="10" width="12.43"/>
    <col customWidth="1" hidden="1" min="11" max="13" width="26.0"/>
    <col customWidth="1" min="14" max="14" width="18.57"/>
    <col customWidth="1" min="15" max="15" width="16.43"/>
    <col customWidth="1" min="16" max="17" width="13.86"/>
    <col customWidth="1" min="18" max="18" width="11.86"/>
    <col customWidth="1" min="19" max="19" width="14.71"/>
    <col customWidth="1" hidden="1" min="20" max="20" width="8.71"/>
    <col customWidth="1" min="21" max="21" width="10.57"/>
    <col customWidth="1" min="22" max="22" width="20.29"/>
    <col customWidth="1" min="23" max="23" width="13.14"/>
    <col customWidth="1" min="24" max="24" width="12.29"/>
    <col customWidth="1" min="25" max="25" width="10.43"/>
    <col customWidth="1" min="26" max="28" width="9.14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  <c r="S1" s="4"/>
      <c r="T1" s="4"/>
      <c r="U1" s="4"/>
      <c r="V1" s="5"/>
      <c r="W1" s="4"/>
      <c r="X1" s="4"/>
      <c r="Y1" s="6"/>
      <c r="Z1" s="4"/>
      <c r="AA1" s="3"/>
      <c r="AB1" s="3"/>
    </row>
    <row r="2" ht="30.0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0" t="s">
        <v>140</v>
      </c>
      <c r="R2" s="11" t="s">
        <v>16</v>
      </c>
      <c r="S2" s="11" t="s">
        <v>17</v>
      </c>
      <c r="T2" s="10" t="s">
        <v>18</v>
      </c>
      <c r="U2" s="10" t="s">
        <v>19</v>
      </c>
      <c r="V2" s="12" t="s">
        <v>20</v>
      </c>
      <c r="W2" s="10" t="s">
        <v>21</v>
      </c>
      <c r="X2" s="11" t="s">
        <v>22</v>
      </c>
      <c r="Y2" s="13" t="s">
        <v>23</v>
      </c>
      <c r="Z2" s="3"/>
      <c r="AA2" s="3"/>
      <c r="AB2" s="3"/>
    </row>
    <row r="3">
      <c r="A3" s="14">
        <v>4.5</v>
      </c>
      <c r="B3" s="14">
        <v>9.5</v>
      </c>
      <c r="C3" s="14">
        <v>14.5</v>
      </c>
      <c r="D3" s="15" t="s">
        <v>24</v>
      </c>
      <c r="E3" s="15">
        <v>0.045</v>
      </c>
      <c r="F3" s="15">
        <f>(A3+B3)*C3</f>
        <v>203</v>
      </c>
      <c r="G3" s="15">
        <f>(A3+B3)/E3</f>
        <v>311.1111111</v>
      </c>
      <c r="H3" s="15">
        <f>C3/10</f>
        <v>1.45</v>
      </c>
      <c r="I3" s="15">
        <v>4.0</v>
      </c>
      <c r="J3" s="16">
        <f>H3*G3/60</f>
        <v>7.518518519</v>
      </c>
      <c r="K3" s="16">
        <f>J3+I3</f>
        <v>11.51851852</v>
      </c>
      <c r="L3" s="17">
        <v>225.0</v>
      </c>
      <c r="M3" s="18">
        <f>L3/60</f>
        <v>3.75</v>
      </c>
      <c r="N3" s="18">
        <f>ROUNDUP(K3*M3,1)</f>
        <v>43.2</v>
      </c>
      <c r="O3" s="19" t="s">
        <v>153</v>
      </c>
      <c r="P3" s="20">
        <v>10.0</v>
      </c>
      <c r="Q3" s="171">
        <f>N3*P3</f>
        <v>432</v>
      </c>
      <c r="R3" s="21">
        <f>IF(Q3&gt;X3, Q3, X3)</f>
        <v>432</v>
      </c>
      <c r="S3" s="22">
        <v>125.0</v>
      </c>
      <c r="T3" s="23">
        <v>0.02</v>
      </c>
      <c r="U3" s="21">
        <f>R3+S3</f>
        <v>557</v>
      </c>
      <c r="V3" s="18">
        <f>ROUNDUP(U3*T3,0)</f>
        <v>12</v>
      </c>
      <c r="W3" s="21">
        <f>U3+V3</f>
        <v>569</v>
      </c>
      <c r="X3" s="24">
        <v>225.0</v>
      </c>
      <c r="Y3" s="25">
        <f>ROUNDDOWN(X3/N3,0)</f>
        <v>5</v>
      </c>
      <c r="Z3" s="3"/>
      <c r="AA3" s="3"/>
      <c r="AB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3"/>
      <c r="R4" s="28"/>
      <c r="S4" s="29"/>
      <c r="T4" s="30"/>
      <c r="U4" s="28"/>
      <c r="V4" s="31"/>
      <c r="W4" s="28"/>
      <c r="X4" s="32"/>
      <c r="Y4" s="26"/>
      <c r="Z4" s="3"/>
      <c r="AA4" s="3"/>
      <c r="AB4" s="3"/>
    </row>
    <row r="5">
      <c r="A5" s="3"/>
      <c r="B5" s="33" t="s">
        <v>28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  <c r="S5" s="36"/>
      <c r="T5" s="37"/>
      <c r="U5" s="35"/>
      <c r="V5" s="38"/>
      <c r="W5" s="35"/>
      <c r="X5" s="34"/>
      <c r="Y5" s="39"/>
      <c r="Z5" s="3"/>
      <c r="AA5" s="3"/>
      <c r="AB5" s="3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10" t="s">
        <v>140</v>
      </c>
      <c r="R6" s="43" t="s">
        <v>16</v>
      </c>
      <c r="S6" s="44" t="s">
        <v>17</v>
      </c>
      <c r="T6" s="45" t="s">
        <v>18</v>
      </c>
      <c r="U6" s="43" t="s">
        <v>19</v>
      </c>
      <c r="V6" s="46" t="s">
        <v>20</v>
      </c>
      <c r="W6" s="43" t="s">
        <v>21</v>
      </c>
      <c r="X6" s="11" t="s">
        <v>22</v>
      </c>
      <c r="Y6" s="13" t="s">
        <v>23</v>
      </c>
      <c r="Z6" s="3"/>
      <c r="AA6" s="3"/>
      <c r="AB6" s="3"/>
    </row>
    <row r="7">
      <c r="A7" s="3"/>
      <c r="B7" s="14">
        <v>3.25</v>
      </c>
      <c r="C7" s="14">
        <v>19.69</v>
      </c>
      <c r="D7" s="193" t="s">
        <v>24</v>
      </c>
      <c r="E7" s="47">
        <v>0.045</v>
      </c>
      <c r="F7" s="47">
        <f>B7*3.14</f>
        <v>10.205</v>
      </c>
      <c r="G7" s="48">
        <f>F7/E7</f>
        <v>226.7777778</v>
      </c>
      <c r="H7" s="47">
        <f>C7/10</f>
        <v>1.969</v>
      </c>
      <c r="I7" s="47">
        <v>3.0</v>
      </c>
      <c r="J7" s="16">
        <f>H7*G7/60</f>
        <v>7.442090741</v>
      </c>
      <c r="K7" s="49">
        <f>J7+I7</f>
        <v>10.44209074</v>
      </c>
      <c r="L7" s="194">
        <v>225.0</v>
      </c>
      <c r="M7" s="195">
        <f>L7/60</f>
        <v>3.75</v>
      </c>
      <c r="N7" s="21">
        <f>ROUNDUP(K7*M7,1)</f>
        <v>39.2</v>
      </c>
      <c r="O7" s="9" t="s">
        <v>153</v>
      </c>
      <c r="P7" s="20">
        <v>10.0</v>
      </c>
      <c r="Q7" s="171">
        <f>N7*P7</f>
        <v>392</v>
      </c>
      <c r="R7" s="21">
        <f>IF(Q7&gt;X7, Q7, X7)</f>
        <v>392</v>
      </c>
      <c r="S7" s="22">
        <v>0.0</v>
      </c>
      <c r="T7" s="23">
        <v>0.02</v>
      </c>
      <c r="U7" s="21">
        <f>R7+S7</f>
        <v>392</v>
      </c>
      <c r="V7" s="18">
        <f>ROUNDUP(U7*T7,0)</f>
        <v>8</v>
      </c>
      <c r="W7" s="21">
        <f>U7+V7</f>
        <v>400</v>
      </c>
      <c r="X7" s="24">
        <v>225.0</v>
      </c>
      <c r="Y7" s="25">
        <f>ROUNDDOWN(X7/N7,0)</f>
        <v>5</v>
      </c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6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6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6"/>
      <c r="W10" s="3"/>
      <c r="X10" s="3"/>
      <c r="Y10" s="3"/>
      <c r="Z10" s="3"/>
      <c r="AA10" s="3"/>
      <c r="AB10" s="3"/>
    </row>
    <row r="11" ht="30.0" customHeight="1">
      <c r="A11" s="83"/>
      <c r="B11" s="164" t="s">
        <v>126</v>
      </c>
      <c r="C11" s="85"/>
      <c r="D11" s="3"/>
      <c r="E11" s="3"/>
      <c r="F11" s="3"/>
      <c r="G11" s="3"/>
      <c r="H11" s="3"/>
      <c r="I11" s="3"/>
      <c r="J11" s="3"/>
      <c r="K11" s="3"/>
      <c r="L11" s="3"/>
      <c r="M11" s="3"/>
      <c r="N11" s="83"/>
      <c r="O11" s="84"/>
      <c r="P11" s="84"/>
      <c r="Q11" s="84"/>
      <c r="R11" s="84"/>
      <c r="S11" s="164" t="s">
        <v>127</v>
      </c>
      <c r="T11" s="84"/>
      <c r="U11" s="84"/>
      <c r="V11" s="84"/>
      <c r="W11" s="85"/>
      <c r="X11" s="3"/>
      <c r="Y11" s="3"/>
      <c r="Z11" s="3"/>
      <c r="AA11" s="3"/>
      <c r="AB11" s="3"/>
    </row>
    <row r="12" ht="30.0" customHeight="1">
      <c r="A12" s="86" t="s">
        <v>22</v>
      </c>
      <c r="C12" s="215">
        <v>225.0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86" t="s">
        <v>128</v>
      </c>
      <c r="W12" s="88"/>
      <c r="X12" s="3"/>
      <c r="Y12" s="3"/>
      <c r="Z12" s="3"/>
      <c r="AA12" s="3"/>
      <c r="AB12" s="3"/>
    </row>
    <row r="13">
      <c r="A13" s="86" t="s">
        <v>129</v>
      </c>
      <c r="C13" s="215" t="s">
        <v>143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86" t="s">
        <v>130</v>
      </c>
      <c r="W13" s="88"/>
      <c r="X13" s="3"/>
      <c r="Y13" s="3"/>
      <c r="Z13" s="3"/>
      <c r="AA13" s="3"/>
      <c r="AB13" s="3"/>
    </row>
    <row r="14">
      <c r="A14" s="86" t="s">
        <v>20</v>
      </c>
      <c r="C14" s="166" t="s">
        <v>131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86"/>
      <c r="W14" s="88"/>
      <c r="X14" s="3"/>
      <c r="Y14" s="3"/>
      <c r="Z14" s="3"/>
      <c r="AA14" s="3"/>
      <c r="AB14" s="3"/>
    </row>
    <row r="15">
      <c r="A15" s="86" t="s">
        <v>132</v>
      </c>
      <c r="C15" s="166" t="s">
        <v>133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86" t="s">
        <v>134</v>
      </c>
      <c r="W15" s="88"/>
      <c r="X15" s="3"/>
      <c r="Y15" s="3"/>
      <c r="Z15" s="3"/>
      <c r="AA15" s="3"/>
      <c r="AB15" s="3"/>
    </row>
    <row r="16">
      <c r="A16" s="167" t="s">
        <v>135</v>
      </c>
      <c r="B16" s="106"/>
      <c r="C16" s="168" t="s">
        <v>143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86" t="s">
        <v>137</v>
      </c>
      <c r="W16" s="88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86"/>
      <c r="W17" s="88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86" t="s">
        <v>138</v>
      </c>
      <c r="W18" s="88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67" t="s">
        <v>139</v>
      </c>
      <c r="O19" s="106"/>
      <c r="P19" s="106"/>
      <c r="Q19" s="106"/>
      <c r="R19" s="106"/>
      <c r="S19" s="106"/>
      <c r="T19" s="106"/>
      <c r="U19" s="106"/>
      <c r="V19" s="106"/>
      <c r="W19" s="169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26"/>
      <c r="W20" s="3"/>
      <c r="X20" s="3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26"/>
      <c r="W21" s="3"/>
      <c r="X21" s="3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6"/>
      <c r="W22" s="3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6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6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6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6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6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6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6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6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6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6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6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6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6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6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6"/>
      <c r="W37" s="3"/>
      <c r="X37" s="3"/>
      <c r="Y37" s="3"/>
      <c r="Z37" s="3"/>
      <c r="AA37" s="3"/>
      <c r="AB37" s="3"/>
    </row>
    <row r="38" ht="28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6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6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6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26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6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26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6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6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26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26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26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26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26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26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26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26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26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26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26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26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26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26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26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26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26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26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26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6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26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26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26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26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26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26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26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26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6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26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26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26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26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26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26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26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26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26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26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26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26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26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6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6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6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6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6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6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6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6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6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6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6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6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6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6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6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6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6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26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26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26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26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26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26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6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26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26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26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26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26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6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26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6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26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6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6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6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6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26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26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26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26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26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26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26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26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26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26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26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26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26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26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26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26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26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26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26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26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26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26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6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26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26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26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26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26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26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26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26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26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26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26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26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26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26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26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26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26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26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26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26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26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26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26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26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26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26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26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26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26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26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26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26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26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26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26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26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26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26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26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26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26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26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26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26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26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26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26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26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26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26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26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26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26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26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26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26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26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26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26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26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26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26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26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26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26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26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26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26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26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26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26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26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26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26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26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26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26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26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26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26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26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26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26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26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26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26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26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26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26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26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26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26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26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26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26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26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26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26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26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26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26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26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26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26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26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26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26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26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26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26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26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26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26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26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26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26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26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26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26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26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26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26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26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26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26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26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26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26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26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26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26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26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26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26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26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26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26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26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26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26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26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26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26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26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26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26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26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26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26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26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26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26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26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26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26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26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26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26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26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26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26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26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26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26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26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26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26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26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26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26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26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26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26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26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26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26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26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26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26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26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26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26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26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26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26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26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26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26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26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26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26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26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26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26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26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26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26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26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26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26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26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26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26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26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26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26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26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26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26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26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26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26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26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26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26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26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26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26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26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26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26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26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26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26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26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26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26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26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26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26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26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26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26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26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26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26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26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26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26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26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26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26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26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26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26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26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26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26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26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26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26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26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26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26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26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26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26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26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26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26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26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26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26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26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26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26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26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26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26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26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26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26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26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26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26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26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26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26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26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26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26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26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26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26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26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26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26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26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26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26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26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26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26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26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26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26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26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26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26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26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26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26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26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26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26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26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26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26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26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26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26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26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26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26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26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26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26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26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26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26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26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26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26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26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26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26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26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26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26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26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26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26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26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26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26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26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26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26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26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26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26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26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26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26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26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26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26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26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26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26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26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26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26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26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26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26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26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26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26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26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26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26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26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26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26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26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26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26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26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26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26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26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26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26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26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26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26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26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26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26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26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26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26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26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26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26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26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26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26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26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26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26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26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26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26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26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26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26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26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26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26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26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26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26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26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26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26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26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26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26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26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26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26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26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26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26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26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26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26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26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26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26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26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26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26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26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26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26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26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26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26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26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26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26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26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26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26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26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26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26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26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26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26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26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26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26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26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26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26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26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26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26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26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26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6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26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26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26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26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26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26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26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26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26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26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26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26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26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26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26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26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26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26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26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26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26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26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26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26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26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26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26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26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26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6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26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6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6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26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26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26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26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26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26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26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26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26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26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26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26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26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26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26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26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26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26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26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6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26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26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26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26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26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26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26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26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26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26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26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26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26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26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26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26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26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26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26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26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26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26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26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26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26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26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26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26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26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26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26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26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26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26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26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26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26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26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26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26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26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26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26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26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26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26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26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26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26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26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26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26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26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26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26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26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26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26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26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26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26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26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26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26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26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26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26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26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26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26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26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26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26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26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26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26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26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26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26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26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26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26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26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26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26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26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26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26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26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26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26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26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26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26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26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26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26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26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26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26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26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26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26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26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26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26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26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26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26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26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26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26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26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26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26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26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26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26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26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6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26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26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26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26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26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26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26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26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6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26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26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26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26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26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26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26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26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26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26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26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26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26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26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26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26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26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26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26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26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26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26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26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26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26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26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26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26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26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26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26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26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26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26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26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26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26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26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26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26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26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26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26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26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26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26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26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26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26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26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26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26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26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26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26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26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26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26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26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26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26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26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26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26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26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26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26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26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26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26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26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26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26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26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26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26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26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26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26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26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26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26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26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26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26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26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26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26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26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26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26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26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26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26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26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26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26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26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26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26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26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26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26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26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26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26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26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26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26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26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26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26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26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26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26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26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26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26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26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26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26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26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26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26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26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26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26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26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26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26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26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26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26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26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26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26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26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26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26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26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26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26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26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26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26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26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26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26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26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26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26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26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26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26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26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26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26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26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26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26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26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26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26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26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26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26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26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26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26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26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26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26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26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26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26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26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26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26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26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26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26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26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26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26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26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26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26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26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26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26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26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26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26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26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26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26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26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26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26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26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26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26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26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26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26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26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26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26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26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26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26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26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26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26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26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26"/>
      <c r="W1000" s="3"/>
      <c r="X1000" s="3"/>
      <c r="Y1000" s="3"/>
      <c r="Z1000" s="3"/>
      <c r="AA1000" s="3"/>
      <c r="AB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9" width="9.14"/>
    <col customWidth="1" min="10" max="12" width="8.71"/>
    <col customWidth="1" min="13" max="13" width="9.14"/>
    <col customWidth="1" min="14" max="14" width="15.86"/>
    <col customWidth="1" min="15" max="18" width="8.71"/>
    <col customWidth="1" min="19" max="19" width="10.43"/>
    <col customWidth="1" min="20" max="20" width="12.0"/>
    <col customWidth="1" min="21" max="21" width="10.57"/>
    <col customWidth="1" min="22" max="22" width="8.71"/>
    <col customWidth="1" min="23" max="23" width="9.86"/>
    <col customWidth="1" min="24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5.0</v>
      </c>
      <c r="B3" s="14">
        <v>10.0</v>
      </c>
      <c r="C3" s="14">
        <v>20.0</v>
      </c>
      <c r="D3" s="15">
        <v>0.125</v>
      </c>
      <c r="E3" s="15">
        <v>0.065</v>
      </c>
      <c r="F3" s="15">
        <f>(A3+B3)*C3</f>
        <v>300</v>
      </c>
      <c r="G3" s="15">
        <f>(A3+B3)/E3</f>
        <v>230.7692308</v>
      </c>
      <c r="H3" s="15">
        <f>C3/10</f>
        <v>2</v>
      </c>
      <c r="I3" s="15">
        <v>2.0</v>
      </c>
      <c r="J3" s="16">
        <f>H3*G3/60</f>
        <v>7.692307692</v>
      </c>
      <c r="K3" s="16">
        <f>J3+I3</f>
        <v>9.692307692</v>
      </c>
      <c r="L3" s="17">
        <v>225.0</v>
      </c>
      <c r="M3" s="18">
        <f>L3/60</f>
        <v>3.75</v>
      </c>
      <c r="N3" s="18">
        <f>ROUNDUP(K3*M3,1)</f>
        <v>36.4</v>
      </c>
      <c r="O3" s="106"/>
      <c r="P3" s="22">
        <v>125.0</v>
      </c>
      <c r="Q3" s="151">
        <v>0.02</v>
      </c>
      <c r="R3" s="20">
        <v>30.0</v>
      </c>
      <c r="S3" s="171">
        <f>N3*R3</f>
        <v>1092</v>
      </c>
      <c r="T3" s="21">
        <f>IF(S3&gt;Y3, S3, Y3)</f>
        <v>1092</v>
      </c>
      <c r="U3" s="21">
        <f>T3+P3</f>
        <v>1217</v>
      </c>
      <c r="V3" s="21">
        <f>ROUNDUP(U3*Q3,0)</f>
        <v>25</v>
      </c>
      <c r="W3" s="21">
        <f>U3+V3</f>
        <v>1242</v>
      </c>
      <c r="X3" s="9"/>
      <c r="Y3" s="24">
        <v>225.0</v>
      </c>
      <c r="Z3" s="152">
        <f>ROUNDDOWN(Y3/N3,0)</f>
        <v>6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7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8.25</v>
      </c>
      <c r="C6" s="14">
        <v>2.375</v>
      </c>
      <c r="D6" s="15" t="s">
        <v>24</v>
      </c>
      <c r="E6" s="47">
        <v>0.065</v>
      </c>
      <c r="F6" s="47">
        <f>B6*3.14</f>
        <v>25.905</v>
      </c>
      <c r="G6" s="48">
        <f>F6/E6</f>
        <v>398.5384615</v>
      </c>
      <c r="H6" s="47">
        <f>C6/10</f>
        <v>0.2375</v>
      </c>
      <c r="I6" s="47">
        <v>3.0</v>
      </c>
      <c r="J6" s="16">
        <f>H6*G6/60</f>
        <v>1.577548077</v>
      </c>
      <c r="K6" s="49">
        <f>J6+I6</f>
        <v>4.577548077</v>
      </c>
      <c r="L6" s="17">
        <v>225.0</v>
      </c>
      <c r="M6" s="18">
        <f>L6/60</f>
        <v>3.75</v>
      </c>
      <c r="N6" s="21">
        <f>ROUNDUP(K6*M6,1)</f>
        <v>17.2</v>
      </c>
      <c r="O6" s="106"/>
      <c r="P6" s="22">
        <v>0.0</v>
      </c>
      <c r="Q6" s="151">
        <v>0.02</v>
      </c>
      <c r="R6" s="20">
        <v>5.0</v>
      </c>
      <c r="S6" s="172">
        <f>N6*R6</f>
        <v>86</v>
      </c>
      <c r="T6" s="161">
        <f>IF(S6&gt;Y6, S6, Y6)</f>
        <v>225</v>
      </c>
      <c r="U6" s="21">
        <f>T6+P6</f>
        <v>225</v>
      </c>
      <c r="V6" s="21">
        <f>ROUNDUP(U6*Q6,0)</f>
        <v>5</v>
      </c>
      <c r="W6" s="21">
        <f>U6+V6</f>
        <v>230</v>
      </c>
      <c r="X6" s="106"/>
      <c r="Y6" s="162">
        <v>225.0</v>
      </c>
      <c r="Z6" s="163">
        <f>ROUNDDOWN(Y6/N6,0)</f>
        <v>13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288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0.25</v>
      </c>
      <c r="B11" s="14">
        <v>2.0</v>
      </c>
      <c r="C11" s="14">
        <v>2.0</v>
      </c>
      <c r="D11" s="15">
        <v>0.125</v>
      </c>
      <c r="E11" s="15">
        <v>0.065</v>
      </c>
      <c r="F11" s="15">
        <f>(A11+B11)*C11</f>
        <v>4.5</v>
      </c>
      <c r="G11" s="15">
        <f>(A11+B11)/E11</f>
        <v>34.61538462</v>
      </c>
      <c r="H11" s="15">
        <f>C11/10</f>
        <v>0.2</v>
      </c>
      <c r="I11" s="15">
        <v>2.0</v>
      </c>
      <c r="J11" s="16">
        <f>H11*G11/60</f>
        <v>0.1153846154</v>
      </c>
      <c r="K11" s="16">
        <f>J11+I11</f>
        <v>2.115384615</v>
      </c>
      <c r="L11" s="17">
        <v>250.0</v>
      </c>
      <c r="M11" s="18">
        <f>L11/60</f>
        <v>4.166666667</v>
      </c>
      <c r="N11" s="18">
        <f>ROUNDUP(K11*M11,1)</f>
        <v>8.9</v>
      </c>
      <c r="O11" s="106"/>
      <c r="P11" s="22">
        <v>125.0</v>
      </c>
      <c r="Q11" s="151">
        <v>0.02</v>
      </c>
      <c r="R11" s="20">
        <v>85.0</v>
      </c>
      <c r="S11" s="172">
        <f>N11*R11</f>
        <v>756.5</v>
      </c>
      <c r="T11" s="161">
        <f>IF(S11&gt;Y11, S11, Y11)</f>
        <v>756.5</v>
      </c>
      <c r="U11" s="21">
        <f>T11+P11</f>
        <v>881.5</v>
      </c>
      <c r="V11" s="21">
        <f>ROUNDUP(U11*Q11,0)</f>
        <v>18</v>
      </c>
      <c r="W11" s="21">
        <f>U11+V11</f>
        <v>899.5</v>
      </c>
      <c r="X11" s="9"/>
      <c r="Y11" s="24">
        <v>250.0</v>
      </c>
      <c r="Z11" s="152">
        <f>ROUNDDOWN(Y11/N11,0)</f>
        <v>28</v>
      </c>
    </row>
    <row r="12">
      <c r="A12" s="3"/>
      <c r="B12" s="153" t="s">
        <v>289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7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2.0</v>
      </c>
      <c r="C14" s="14">
        <v>2.0</v>
      </c>
      <c r="D14" s="15" t="s">
        <v>24</v>
      </c>
      <c r="E14" s="47">
        <v>0.065</v>
      </c>
      <c r="F14" s="47">
        <f>B14*3.14</f>
        <v>6.28</v>
      </c>
      <c r="G14" s="48">
        <f>F14/E14</f>
        <v>96.61538462</v>
      </c>
      <c r="H14" s="47">
        <f>C14/10</f>
        <v>0.2</v>
      </c>
      <c r="I14" s="47">
        <v>3.0</v>
      </c>
      <c r="J14" s="16">
        <f>H14*G14/60</f>
        <v>0.3220512821</v>
      </c>
      <c r="K14" s="49">
        <f>J14+I14</f>
        <v>3.322051282</v>
      </c>
      <c r="L14" s="17">
        <v>250.0</v>
      </c>
      <c r="M14" s="18">
        <f>L14/60</f>
        <v>4.166666667</v>
      </c>
      <c r="N14" s="21">
        <f>ROUNDUP(K14*M14,1)</f>
        <v>13.9</v>
      </c>
      <c r="O14" s="106"/>
      <c r="P14" s="22">
        <v>125.0</v>
      </c>
      <c r="Q14" s="151">
        <v>0.02</v>
      </c>
      <c r="R14" s="20">
        <v>1.0</v>
      </c>
      <c r="S14" s="172">
        <f>N14*R14</f>
        <v>13.9</v>
      </c>
      <c r="T14" s="161">
        <f>IF(S14&gt;Y14, S14, Y14)</f>
        <v>250</v>
      </c>
      <c r="U14" s="21">
        <f>T14+P14</f>
        <v>375</v>
      </c>
      <c r="V14" s="21">
        <f>ROUNDUP(U14*Q14,0)</f>
        <v>8</v>
      </c>
      <c r="W14" s="21">
        <f>U14+V14</f>
        <v>383</v>
      </c>
      <c r="X14" s="106"/>
      <c r="Y14" s="162">
        <v>250.0</v>
      </c>
      <c r="Z14" s="163">
        <f>ROUNDDOWN(Y14/N14,0)</f>
        <v>17</v>
      </c>
    </row>
    <row r="16">
      <c r="A16" s="143" t="s">
        <v>290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34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6"/>
    </row>
    <row r="17">
      <c r="A17" s="146" t="s">
        <v>1</v>
      </c>
      <c r="B17" s="146" t="s">
        <v>2</v>
      </c>
      <c r="C17" s="146" t="s">
        <v>3</v>
      </c>
      <c r="D17" s="146" t="s">
        <v>4</v>
      </c>
      <c r="E17" s="146" t="s">
        <v>5</v>
      </c>
      <c r="F17" s="146" t="s">
        <v>6</v>
      </c>
      <c r="G17" s="146" t="s">
        <v>7</v>
      </c>
      <c r="H17" s="146" t="s">
        <v>8</v>
      </c>
      <c r="I17" s="146" t="s">
        <v>9</v>
      </c>
      <c r="J17" s="146" t="s">
        <v>10</v>
      </c>
      <c r="K17" s="146" t="s">
        <v>11</v>
      </c>
      <c r="L17" s="146" t="s">
        <v>12</v>
      </c>
      <c r="M17" s="146" t="s">
        <v>13</v>
      </c>
      <c r="N17" s="147" t="s">
        <v>14</v>
      </c>
      <c r="O17" s="3"/>
      <c r="P17" s="148" t="s">
        <v>17</v>
      </c>
      <c r="Q17" s="148" t="s">
        <v>121</v>
      </c>
      <c r="R17" s="149" t="s">
        <v>122</v>
      </c>
      <c r="S17" s="149" t="s">
        <v>140</v>
      </c>
      <c r="T17" s="149" t="s">
        <v>16</v>
      </c>
      <c r="U17" s="149" t="s">
        <v>19</v>
      </c>
      <c r="V17" s="148" t="s">
        <v>20</v>
      </c>
      <c r="W17" s="150" t="s">
        <v>21</v>
      </c>
      <c r="X17" s="148"/>
      <c r="Y17" s="148" t="s">
        <v>22</v>
      </c>
      <c r="Z17" s="149" t="s">
        <v>23</v>
      </c>
    </row>
    <row r="18">
      <c r="A18" s="14">
        <v>0.048</v>
      </c>
      <c r="B18" s="14">
        <v>14.43</v>
      </c>
      <c r="C18" s="14">
        <v>37.5</v>
      </c>
      <c r="D18" s="15">
        <v>0.125</v>
      </c>
      <c r="E18" s="15">
        <v>0.03</v>
      </c>
      <c r="F18" s="15">
        <f>(A18+B18)*C18</f>
        <v>542.925</v>
      </c>
      <c r="G18" s="15">
        <f>(A18+B18)/E18</f>
        <v>482.6</v>
      </c>
      <c r="H18" s="15">
        <f>C18/10</f>
        <v>3.75</v>
      </c>
      <c r="I18" s="15">
        <v>3.0</v>
      </c>
      <c r="J18" s="16">
        <f>H18*G18/60</f>
        <v>30.1625</v>
      </c>
      <c r="K18" s="16">
        <f>J18+I18</f>
        <v>33.1625</v>
      </c>
      <c r="L18" s="17">
        <v>225.0</v>
      </c>
      <c r="M18" s="18">
        <f>L18/60</f>
        <v>3.75</v>
      </c>
      <c r="N18" s="18">
        <f>ROUNDUP(K18*M18*2,1)</f>
        <v>248.8</v>
      </c>
      <c r="O18" s="106"/>
      <c r="P18" s="22">
        <v>125.0</v>
      </c>
      <c r="Q18" s="151">
        <v>0.02</v>
      </c>
      <c r="R18" s="20">
        <v>6.0</v>
      </c>
      <c r="S18" s="172">
        <f>N18*R18</f>
        <v>1492.8</v>
      </c>
      <c r="T18" s="161">
        <f>IF(S18&gt;Y18, S18, Y18)</f>
        <v>1492.8</v>
      </c>
      <c r="U18" s="21">
        <f>T18+P18</f>
        <v>1617.8</v>
      </c>
      <c r="V18" s="21">
        <f>ROUNDUP(U18*Q18,0)</f>
        <v>33</v>
      </c>
      <c r="W18" s="21">
        <f>U18+V18</f>
        <v>1650.8</v>
      </c>
      <c r="X18" s="9"/>
      <c r="Y18" s="24">
        <v>250.0</v>
      </c>
      <c r="Z18" s="152">
        <f>ROUNDDOWN(Y18/N18,0)</f>
        <v>1</v>
      </c>
    </row>
    <row r="19">
      <c r="A19" s="83"/>
      <c r="B19" s="164" t="s">
        <v>126</v>
      </c>
      <c r="C19" s="85"/>
      <c r="I19" s="83"/>
      <c r="J19" s="84"/>
      <c r="K19" s="84"/>
      <c r="L19" s="84"/>
      <c r="M19" s="84"/>
      <c r="N19" s="164" t="s">
        <v>127</v>
      </c>
      <c r="O19" s="84"/>
      <c r="P19" s="84"/>
      <c r="Q19" s="84"/>
      <c r="R19" s="85"/>
    </row>
    <row r="20">
      <c r="A20" s="86" t="s">
        <v>22</v>
      </c>
      <c r="C20" s="165">
        <v>225.0</v>
      </c>
      <c r="I20" s="86" t="s">
        <v>128</v>
      </c>
      <c r="R20" s="88"/>
    </row>
    <row r="21" ht="15.75" customHeight="1">
      <c r="A21" s="86" t="s">
        <v>129</v>
      </c>
      <c r="C21" s="165">
        <v>125.0</v>
      </c>
      <c r="I21" s="86" t="s">
        <v>130</v>
      </c>
      <c r="R21" s="88"/>
      <c r="W21" s="51"/>
    </row>
    <row r="22" ht="15.75" customHeight="1">
      <c r="A22" s="86" t="s">
        <v>20</v>
      </c>
      <c r="C22" s="166" t="s">
        <v>131</v>
      </c>
      <c r="I22" s="86"/>
      <c r="R22" s="88"/>
      <c r="W22" s="52"/>
    </row>
    <row r="23" ht="15.75" customHeight="1">
      <c r="A23" s="86" t="s">
        <v>132</v>
      </c>
      <c r="C23" s="88" t="s">
        <v>133</v>
      </c>
      <c r="I23" s="86" t="s">
        <v>134</v>
      </c>
      <c r="R23" s="88"/>
      <c r="W23" s="52"/>
    </row>
    <row r="24" ht="15.75" customHeight="1">
      <c r="A24" s="167" t="s">
        <v>135</v>
      </c>
      <c r="B24" s="106"/>
      <c r="C24" s="107">
        <v>100.0</v>
      </c>
      <c r="I24" s="86" t="s">
        <v>137</v>
      </c>
      <c r="R24" s="88"/>
      <c r="W24" s="52"/>
    </row>
    <row r="25" ht="15.75" customHeight="1">
      <c r="I25" s="86"/>
      <c r="R25" s="88"/>
      <c r="W25" s="52"/>
    </row>
    <row r="26" ht="15.75" customHeight="1">
      <c r="I26" s="86" t="s">
        <v>138</v>
      </c>
      <c r="R26" s="88"/>
    </row>
    <row r="27" ht="15.75" customHeight="1">
      <c r="I27" s="167" t="s">
        <v>139</v>
      </c>
      <c r="J27" s="106"/>
      <c r="K27" s="106"/>
      <c r="L27" s="106"/>
      <c r="M27" s="106"/>
      <c r="N27" s="106"/>
      <c r="O27" s="106"/>
      <c r="P27" s="106"/>
      <c r="Q27" s="106"/>
      <c r="R27" s="16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3.29"/>
    <col customWidth="1" hidden="1" min="4" max="5" width="13.29"/>
    <col customWidth="1" hidden="1" min="6" max="6" width="21.0"/>
    <col customWidth="1" hidden="1" min="7" max="7" width="22.71"/>
    <col customWidth="1" hidden="1" min="8" max="8" width="14.86"/>
    <col customWidth="1" hidden="1" min="9" max="9" width="11.57"/>
    <col customWidth="1" hidden="1" min="10" max="10" width="12.43"/>
    <col customWidth="1" hidden="1" min="11" max="13" width="26.0"/>
    <col customWidth="1" min="14" max="14" width="18.57"/>
    <col customWidth="1" min="15" max="15" width="16.43"/>
    <col customWidth="1" min="16" max="17" width="13.86"/>
    <col customWidth="1" min="18" max="18" width="11.86"/>
    <col customWidth="1" min="19" max="19" width="14.71"/>
    <col customWidth="1" min="20" max="20" width="8.71"/>
    <col customWidth="1" min="21" max="21" width="10.57"/>
    <col customWidth="1" min="22" max="22" width="20.29"/>
    <col customWidth="1" min="23" max="23" width="13.14"/>
    <col customWidth="1" min="24" max="24" width="12.29"/>
    <col customWidth="1" min="25" max="25" width="10.43"/>
    <col customWidth="1" min="26" max="28" width="9.14"/>
  </cols>
  <sheetData>
    <row r="1" ht="36.0" customHeight="1">
      <c r="A1" s="3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34"/>
      <c r="Q1" s="34"/>
      <c r="R1" s="145"/>
      <c r="S1" s="145"/>
      <c r="T1" s="145"/>
      <c r="U1" s="145"/>
      <c r="V1" s="290"/>
      <c r="W1" s="145"/>
      <c r="X1" s="145"/>
      <c r="Y1" s="6"/>
      <c r="Z1" s="4"/>
      <c r="AA1" s="3"/>
      <c r="AB1" s="3"/>
    </row>
    <row r="2" ht="30.0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0" t="s">
        <v>144</v>
      </c>
      <c r="R2" s="11" t="s">
        <v>16</v>
      </c>
      <c r="S2" s="11" t="s">
        <v>17</v>
      </c>
      <c r="T2" s="10" t="s">
        <v>18</v>
      </c>
      <c r="U2" s="10" t="s">
        <v>19</v>
      </c>
      <c r="V2" s="12" t="s">
        <v>20</v>
      </c>
      <c r="W2" s="10" t="s">
        <v>21</v>
      </c>
      <c r="X2" s="11" t="s">
        <v>22</v>
      </c>
      <c r="Y2" s="13" t="s">
        <v>23</v>
      </c>
      <c r="Z2" s="3"/>
      <c r="AA2" s="3"/>
      <c r="AB2" s="3"/>
    </row>
    <row r="3">
      <c r="A3" s="14">
        <v>5.25</v>
      </c>
      <c r="B3" s="14">
        <v>3.5</v>
      </c>
      <c r="C3" s="14">
        <v>120.0</v>
      </c>
      <c r="D3" s="193" t="s">
        <v>24</v>
      </c>
      <c r="E3" s="15">
        <v>0.125</v>
      </c>
      <c r="F3" s="193">
        <f>(A3+B3)*C3</f>
        <v>1050</v>
      </c>
      <c r="G3" s="193">
        <f>(A3+B3)/E3</f>
        <v>70</v>
      </c>
      <c r="H3" s="193">
        <f>C3/10</f>
        <v>12</v>
      </c>
      <c r="I3" s="15">
        <v>4.0</v>
      </c>
      <c r="J3" s="291">
        <f>H3*G3/60</f>
        <v>14</v>
      </c>
      <c r="K3" s="291">
        <f>J3+I3</f>
        <v>18</v>
      </c>
      <c r="L3" s="194">
        <v>225.0</v>
      </c>
      <c r="M3" s="195">
        <f>L3/60</f>
        <v>3.75</v>
      </c>
      <c r="N3" s="18">
        <f>ROUNDUP(K3*M3,1)</f>
        <v>67.5</v>
      </c>
      <c r="O3" s="19" t="s">
        <v>25</v>
      </c>
      <c r="P3" s="20">
        <v>5.0</v>
      </c>
      <c r="Q3" s="21">
        <f>N3*P3</f>
        <v>337.5</v>
      </c>
      <c r="R3" s="21">
        <f>IF(Q3&gt;X3, Q3, X3)</f>
        <v>337.5</v>
      </c>
      <c r="S3" s="22">
        <v>0.0</v>
      </c>
      <c r="T3" s="23">
        <v>0.02</v>
      </c>
      <c r="U3" s="21">
        <f>R3+S3</f>
        <v>337.5</v>
      </c>
      <c r="V3" s="18">
        <f>ROUNDUP(U3*T3,0)</f>
        <v>7</v>
      </c>
      <c r="W3" s="21">
        <f>U3+V3</f>
        <v>344.5</v>
      </c>
      <c r="X3" s="24">
        <v>225.0</v>
      </c>
      <c r="Y3" s="25">
        <f>ROUNDDOWN(X3/N3,0)</f>
        <v>3</v>
      </c>
      <c r="Z3" s="3"/>
      <c r="AA3" s="3"/>
      <c r="AB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3"/>
      <c r="R4" s="28"/>
      <c r="S4" s="29"/>
      <c r="T4" s="30"/>
      <c r="U4" s="28"/>
      <c r="V4" s="31"/>
      <c r="W4" s="28"/>
      <c r="X4" s="32"/>
      <c r="Y4" s="26"/>
      <c r="Z4" s="3"/>
      <c r="AA4" s="3"/>
      <c r="AB4" s="3"/>
    </row>
    <row r="5">
      <c r="A5" s="3"/>
      <c r="B5" s="33" t="s">
        <v>28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  <c r="S5" s="36"/>
      <c r="T5" s="37"/>
      <c r="U5" s="35"/>
      <c r="V5" s="38"/>
      <c r="W5" s="35"/>
      <c r="X5" s="34"/>
      <c r="Y5" s="39"/>
      <c r="Z5" s="3"/>
      <c r="AA5" s="3"/>
      <c r="AB5" s="3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10" t="s">
        <v>144</v>
      </c>
      <c r="R6" s="43" t="s">
        <v>16</v>
      </c>
      <c r="S6" s="44" t="s">
        <v>17</v>
      </c>
      <c r="T6" s="45" t="s">
        <v>18</v>
      </c>
      <c r="U6" s="43" t="s">
        <v>19</v>
      </c>
      <c r="V6" s="46" t="s">
        <v>20</v>
      </c>
      <c r="W6" s="43" t="s">
        <v>21</v>
      </c>
      <c r="X6" s="11" t="s">
        <v>22</v>
      </c>
      <c r="Y6" s="13" t="s">
        <v>23</v>
      </c>
      <c r="Z6" s="3"/>
      <c r="AA6" s="3"/>
      <c r="AB6" s="3"/>
    </row>
    <row r="7">
      <c r="A7" s="3"/>
      <c r="B7" s="14">
        <v>5.0</v>
      </c>
      <c r="C7" s="14">
        <v>1.25</v>
      </c>
      <c r="D7" s="193" t="s">
        <v>24</v>
      </c>
      <c r="E7" s="47">
        <v>0.125</v>
      </c>
      <c r="F7" s="47">
        <f>B7*3.14</f>
        <v>15.7</v>
      </c>
      <c r="G7" s="48">
        <f>F7/E7</f>
        <v>125.6</v>
      </c>
      <c r="H7" s="47">
        <f>C7/10</f>
        <v>0.125</v>
      </c>
      <c r="I7" s="47">
        <v>3.0</v>
      </c>
      <c r="J7" s="16">
        <f>H7*G7/60</f>
        <v>0.2616666667</v>
      </c>
      <c r="K7" s="49">
        <f>J7+I7</f>
        <v>3.261666667</v>
      </c>
      <c r="L7" s="194">
        <v>225.0</v>
      </c>
      <c r="M7" s="195">
        <f>L7/60</f>
        <v>3.75</v>
      </c>
      <c r="N7" s="21">
        <f>ROUNDUP(K7*M7,1)</f>
        <v>12.3</v>
      </c>
      <c r="O7" s="3" t="s">
        <v>25</v>
      </c>
      <c r="P7" s="20">
        <v>132.0</v>
      </c>
      <c r="Q7" s="171">
        <f>N7*P7</f>
        <v>1623.6</v>
      </c>
      <c r="R7" s="21">
        <f>N7*P7</f>
        <v>1623.6</v>
      </c>
      <c r="S7" s="22">
        <v>0.0</v>
      </c>
      <c r="T7" s="23">
        <v>0.02</v>
      </c>
      <c r="U7" s="21">
        <f>IF(R7&gt;X7, R7, X7)</f>
        <v>1623.6</v>
      </c>
      <c r="V7" s="18">
        <f>ROUNDUP(U7*T7,0)</f>
        <v>33</v>
      </c>
      <c r="W7" s="21">
        <f>U7+V7</f>
        <v>1656.6</v>
      </c>
      <c r="X7" s="24">
        <v>225.0</v>
      </c>
      <c r="Y7" s="25">
        <f>ROUNDDOWN(X7/N7,0)</f>
        <v>18</v>
      </c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6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6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6"/>
      <c r="W10" s="3"/>
      <c r="X10" s="3"/>
      <c r="Y10" s="3"/>
      <c r="Z10" s="3"/>
      <c r="AA10" s="3"/>
      <c r="AB10" s="3"/>
    </row>
    <row r="11" ht="30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26"/>
      <c r="W11" s="3"/>
      <c r="X11" s="3"/>
      <c r="Y11" s="3"/>
      <c r="Z11" s="3"/>
      <c r="AA11" s="3"/>
      <c r="AB11" s="3"/>
    </row>
    <row r="12" ht="30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92"/>
      <c r="V12" s="293" t="s">
        <v>291</v>
      </c>
      <c r="W12" s="294"/>
      <c r="X12" s="294"/>
      <c r="Y12" s="85"/>
      <c r="Z12" s="3"/>
      <c r="AA12" s="3"/>
      <c r="AB12" s="3"/>
    </row>
    <row r="13">
      <c r="A13" s="83"/>
      <c r="B13" s="164" t="s">
        <v>126</v>
      </c>
      <c r="C13" s="8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83"/>
      <c r="P13" s="84"/>
      <c r="Q13" s="164" t="s">
        <v>127</v>
      </c>
      <c r="R13" s="85"/>
      <c r="U13" s="295"/>
      <c r="V13" s="296" t="s">
        <v>292</v>
      </c>
      <c r="W13" s="84"/>
      <c r="X13" s="297">
        <f>N3</f>
        <v>67.5</v>
      </c>
      <c r="Y13" s="88"/>
      <c r="Z13" s="3"/>
      <c r="AA13" s="3"/>
      <c r="AB13" s="3"/>
    </row>
    <row r="14">
      <c r="A14" s="86" t="s">
        <v>22</v>
      </c>
      <c r="C14" s="215">
        <v>225.0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86" t="s">
        <v>128</v>
      </c>
      <c r="R14" s="88"/>
      <c r="V14" s="298" t="s">
        <v>293</v>
      </c>
      <c r="W14" s="3"/>
      <c r="X14" s="299">
        <f>P3</f>
        <v>5</v>
      </c>
      <c r="Y14" s="88"/>
      <c r="Z14" s="3"/>
      <c r="AA14" s="3"/>
      <c r="AB14" s="3"/>
    </row>
    <row r="15">
      <c r="A15" s="86" t="s">
        <v>129</v>
      </c>
      <c r="C15" s="215" t="s">
        <v>143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86" t="s">
        <v>130</v>
      </c>
      <c r="R15" s="88"/>
      <c r="V15" s="298" t="s">
        <v>294</v>
      </c>
      <c r="W15" s="3"/>
      <c r="X15" s="300">
        <f>U3</f>
        <v>337.5</v>
      </c>
      <c r="Y15" s="88"/>
      <c r="Z15" s="3"/>
      <c r="AA15" s="3"/>
      <c r="AB15" s="3"/>
    </row>
    <row r="16">
      <c r="A16" s="86" t="s">
        <v>20</v>
      </c>
      <c r="C16" s="166" t="s">
        <v>131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86"/>
      <c r="R16" s="88"/>
      <c r="V16" s="298" t="s">
        <v>295</v>
      </c>
      <c r="W16" s="3"/>
      <c r="X16" s="300">
        <f>V3</f>
        <v>7</v>
      </c>
      <c r="Y16" s="88"/>
      <c r="Z16" s="3"/>
      <c r="AA16" s="3"/>
      <c r="AB16" s="3"/>
    </row>
    <row r="17">
      <c r="A17" s="86" t="s">
        <v>132</v>
      </c>
      <c r="C17" s="166" t="s">
        <v>133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86" t="s">
        <v>134</v>
      </c>
      <c r="R17" s="88"/>
      <c r="V17" s="301" t="s">
        <v>296</v>
      </c>
      <c r="W17" s="106"/>
      <c r="X17" s="302">
        <f>W3</f>
        <v>344.5</v>
      </c>
      <c r="Y17" s="88"/>
      <c r="Z17" s="3"/>
      <c r="AA17" s="3"/>
      <c r="AB17" s="3"/>
    </row>
    <row r="18">
      <c r="A18" s="167" t="s">
        <v>135</v>
      </c>
      <c r="B18" s="106"/>
      <c r="C18" s="168" t="s">
        <v>143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86" t="s">
        <v>137</v>
      </c>
      <c r="R18" s="88"/>
      <c r="V18" s="298" t="s">
        <v>297</v>
      </c>
      <c r="W18" s="303"/>
      <c r="X18" s="303"/>
      <c r="Y18" s="88"/>
      <c r="Z18" s="3"/>
      <c r="AA18" s="3"/>
      <c r="AB18" s="3"/>
    </row>
    <row r="19">
      <c r="A19" s="304" t="s">
        <v>298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86"/>
      <c r="R19" s="88"/>
      <c r="V19" s="167"/>
      <c r="W19" s="106"/>
      <c r="X19" s="106"/>
      <c r="Y19" s="169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86" t="s">
        <v>138</v>
      </c>
      <c r="R20" s="88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67" t="s">
        <v>139</v>
      </c>
      <c r="P21" s="106"/>
      <c r="Q21" s="106"/>
      <c r="R21" s="169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6"/>
      <c r="W22" s="305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6"/>
      <c r="W23" s="306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6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6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6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6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6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6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6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6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6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6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6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26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26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6"/>
      <c r="W37" s="3"/>
      <c r="X37" s="3"/>
      <c r="Y37" s="3"/>
      <c r="Z37" s="3"/>
      <c r="AA37" s="3"/>
      <c r="AB37" s="3"/>
    </row>
    <row r="38" ht="28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26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6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26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26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6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26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26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26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26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26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26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26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26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26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26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26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26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26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26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26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26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26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26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26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26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26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26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26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26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26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26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26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26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26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26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26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26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26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26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26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26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26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26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26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26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26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26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26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26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26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26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26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26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26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26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26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26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26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26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26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26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26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26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26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26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26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26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26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26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26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26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26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26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26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26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26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26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26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26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26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26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26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26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6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6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6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6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26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26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26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26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26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26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26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26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26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26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26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26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26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26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26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26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26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26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26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26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26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26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6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26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26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26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26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26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26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26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26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26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26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26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26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26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26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26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26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26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26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26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26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26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26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26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26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26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26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26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26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26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26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26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26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26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26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26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26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26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26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26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26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26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26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26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26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26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26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26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26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26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26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26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26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26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26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26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26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26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26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26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26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26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26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26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26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26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26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26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26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26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26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26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26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26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26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26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26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26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26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26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26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26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26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26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26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26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26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26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26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26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26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26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26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26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26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26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26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26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26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26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26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26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26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26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26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26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26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26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26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26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26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26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26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26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26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26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26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26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26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26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26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26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26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26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26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26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26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26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26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26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26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26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26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26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26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26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26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26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26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26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26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26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26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26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26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26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26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26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26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26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26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26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26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26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26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26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26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26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26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26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26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26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26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26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26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26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26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26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26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26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26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26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26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26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26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26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26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26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26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26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26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26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26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26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26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26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26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26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26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26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26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26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26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26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26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26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26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26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26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26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26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26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26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26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26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26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26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26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26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26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26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26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26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26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26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26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26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26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26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26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26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26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26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26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26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26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26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26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26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26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26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26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26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26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26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26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26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26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26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26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26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26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26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26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26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26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26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26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26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26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26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26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26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26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26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26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26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26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26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26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26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26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26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26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26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26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26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26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26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26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26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26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26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26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26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26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26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26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26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26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26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26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26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26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26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26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26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26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26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26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26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26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26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26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26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26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26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26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26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26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26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26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26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26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26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26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26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26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26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26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26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26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26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26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26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26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26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26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26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26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26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26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26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26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26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26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26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26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26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26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26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26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26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26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26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26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26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26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26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26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26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26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26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26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26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26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26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26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26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26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26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26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26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26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26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26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26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26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26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26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26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26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26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26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26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26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26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26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26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26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26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26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26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26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26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26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26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26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26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26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26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26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26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26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26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26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26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26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26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26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26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26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26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26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26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26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26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26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26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26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26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26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26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26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26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26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26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26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26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26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26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26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26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26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26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26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26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26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26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26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26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26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26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26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26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26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26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26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26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26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26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26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26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26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26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26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26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26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26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26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26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26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26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26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26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26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26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26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26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26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26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26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26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26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26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6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26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26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26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26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26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26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26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26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26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26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26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26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26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26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26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26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26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26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26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26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26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26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26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26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26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26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26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26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26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6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26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26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6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26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26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26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26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26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26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26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26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26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26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26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26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26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26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26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26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26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26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26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26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26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26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26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26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26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26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26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26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26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26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26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26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26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26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26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26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26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26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26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26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26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26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26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26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26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26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26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26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26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26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26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26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26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26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26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26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26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26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26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26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26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26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26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26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26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26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26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26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26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26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26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26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26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26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26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26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26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26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26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26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26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26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26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26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26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26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26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26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26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26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26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26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26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26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26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26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26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26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26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26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26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26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26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26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26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26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26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26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26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26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26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26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26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26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26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26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26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26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26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26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26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26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26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26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26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26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26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26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26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26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26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26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26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26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26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26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26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26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26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26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26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26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26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26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26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26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26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26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6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26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26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26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26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26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26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26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26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26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26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26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26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26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26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26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26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26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26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26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26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26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26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26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26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26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26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26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26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26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26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26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26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26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26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26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26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26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26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26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26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26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26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26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26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26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26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26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26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26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26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26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26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26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26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26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26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26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26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26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26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26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26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26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26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26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26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26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26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26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26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26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26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26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26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26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26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26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26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26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26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26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26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26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26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26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26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26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26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26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26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26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26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26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26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26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26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26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26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26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26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26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26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26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26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26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26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26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26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26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26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26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26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26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26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26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26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26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26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26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26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26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26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26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26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26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26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26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26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26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26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26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26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26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26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26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26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26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26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26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26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26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26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26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26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26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26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26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26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26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26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26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26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26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26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26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26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26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26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26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26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26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26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26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26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26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26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26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26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26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26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26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26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26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26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26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26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26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26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26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26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26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26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26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26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26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26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26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26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26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26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26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26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26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26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26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26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26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26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26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26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26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26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26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26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26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26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26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26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26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26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26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26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26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26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26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26"/>
      <c r="W1000" s="3"/>
      <c r="X1000" s="3"/>
      <c r="Y1000" s="3"/>
      <c r="Z1000" s="3"/>
      <c r="AA1000" s="3"/>
      <c r="AB1000" s="3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  <col customWidth="1" min="17" max="17" width="11.57"/>
    <col customWidth="1" min="18" max="18" width="8.71"/>
    <col customWidth="1" hidden="1" min="19" max="19" width="8.71"/>
    <col customWidth="1" min="20" max="20" width="10.57"/>
    <col customWidth="1" min="21" max="21" width="8.71"/>
    <col customWidth="1" min="22" max="22" width="13.71"/>
    <col customWidth="1" min="2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4"/>
      <c r="S1" s="4"/>
      <c r="T1" s="4"/>
      <c r="U1" s="5"/>
      <c r="V1" s="4"/>
      <c r="W1" s="4"/>
      <c r="X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1" t="s">
        <v>16</v>
      </c>
      <c r="R2" s="11" t="s">
        <v>17</v>
      </c>
      <c r="S2" s="10" t="s">
        <v>18</v>
      </c>
      <c r="T2" s="10" t="s">
        <v>19</v>
      </c>
      <c r="U2" s="12" t="s">
        <v>20</v>
      </c>
      <c r="V2" s="10" t="s">
        <v>21</v>
      </c>
      <c r="W2" s="11" t="s">
        <v>22</v>
      </c>
      <c r="X2" s="13" t="s">
        <v>23</v>
      </c>
    </row>
    <row r="3">
      <c r="A3" s="14">
        <v>1.0</v>
      </c>
      <c r="B3" s="14">
        <v>4.75</v>
      </c>
      <c r="C3" s="14">
        <v>5.25</v>
      </c>
      <c r="D3" s="15" t="s">
        <v>24</v>
      </c>
      <c r="E3" s="15">
        <v>0.065</v>
      </c>
      <c r="F3" s="15">
        <f>(A3+B3)*C3</f>
        <v>30.1875</v>
      </c>
      <c r="G3" s="15">
        <f>(A3+B3)/E3</f>
        <v>88.46153846</v>
      </c>
      <c r="H3" s="193">
        <f>C3/10</f>
        <v>0.525</v>
      </c>
      <c r="I3" s="15">
        <v>4.0</v>
      </c>
      <c r="J3" s="291">
        <f>H3*G3/60</f>
        <v>0.7740384615</v>
      </c>
      <c r="K3" s="291">
        <f>J3+I3</f>
        <v>4.774038462</v>
      </c>
      <c r="L3" s="194">
        <v>225.0</v>
      </c>
      <c r="M3" s="195">
        <f>L3/60</f>
        <v>3.75</v>
      </c>
      <c r="N3" s="18">
        <f>ROUNDUP(K3*M3,1)</f>
        <v>18</v>
      </c>
      <c r="O3" s="19" t="s">
        <v>299</v>
      </c>
      <c r="P3" s="20">
        <v>80.0</v>
      </c>
      <c r="Q3" s="21">
        <f>N3*P3</f>
        <v>1440</v>
      </c>
      <c r="R3" s="22">
        <v>125.0</v>
      </c>
      <c r="S3" s="23">
        <v>0.02</v>
      </c>
      <c r="T3" s="21">
        <f>Q3+R3</f>
        <v>1565</v>
      </c>
      <c r="U3" s="18">
        <f>ROUNDUP(T3*S3,0)</f>
        <v>32</v>
      </c>
      <c r="V3" s="21">
        <f>T3+U3</f>
        <v>1597</v>
      </c>
      <c r="W3" s="24">
        <f>L3</f>
        <v>225</v>
      </c>
      <c r="X3" s="25">
        <f>ROUNDDOWN(W3/N3,0)</f>
        <v>12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28"/>
      <c r="R4" s="29"/>
      <c r="S4" s="30"/>
      <c r="T4" s="28"/>
      <c r="U4" s="31"/>
      <c r="V4" s="28"/>
      <c r="W4" s="32"/>
      <c r="X4" s="26"/>
    </row>
    <row r="5">
      <c r="A5" s="3"/>
      <c r="B5" s="133" t="s">
        <v>28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28"/>
      <c r="R5" s="29"/>
      <c r="S5" s="30"/>
      <c r="T5" s="28"/>
      <c r="U5" s="31"/>
      <c r="V5" s="28"/>
      <c r="W5" s="3"/>
      <c r="X5" s="26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43" t="s">
        <v>16</v>
      </c>
      <c r="R6" s="44" t="s">
        <v>17</v>
      </c>
      <c r="S6" s="45" t="s">
        <v>18</v>
      </c>
      <c r="T6" s="43" t="s">
        <v>19</v>
      </c>
      <c r="U6" s="46" t="s">
        <v>20</v>
      </c>
      <c r="V6" s="43" t="s">
        <v>21</v>
      </c>
      <c r="W6" s="11" t="s">
        <v>22</v>
      </c>
      <c r="X6" s="13" t="s">
        <v>23</v>
      </c>
    </row>
    <row r="7">
      <c r="A7" s="3"/>
      <c r="B7" s="14">
        <v>2.0</v>
      </c>
      <c r="C7" s="14">
        <v>70.0</v>
      </c>
      <c r="D7" s="15" t="s">
        <v>24</v>
      </c>
      <c r="E7" s="47">
        <v>0.065</v>
      </c>
      <c r="F7" s="47">
        <f>B7*3.14</f>
        <v>6.28</v>
      </c>
      <c r="G7" s="48">
        <f>F7/E7</f>
        <v>96.61538462</v>
      </c>
      <c r="H7" s="47">
        <f>C7/10</f>
        <v>7</v>
      </c>
      <c r="I7" s="47">
        <v>3.5</v>
      </c>
      <c r="J7" s="16">
        <f>H7*G7/60</f>
        <v>11.27179487</v>
      </c>
      <c r="K7" s="49">
        <f>J7+I7</f>
        <v>14.77179487</v>
      </c>
      <c r="L7" s="194">
        <v>225.0</v>
      </c>
      <c r="M7" s="195">
        <f>L7/60</f>
        <v>3.75</v>
      </c>
      <c r="N7" s="21">
        <f>ROUNDUP(K7*M7,1)</f>
        <v>55.4</v>
      </c>
      <c r="O7" s="3" t="s">
        <v>299</v>
      </c>
      <c r="P7" s="20">
        <v>6.0</v>
      </c>
      <c r="Q7" s="21">
        <f>N7+P7</f>
        <v>61.4</v>
      </c>
      <c r="R7" s="22">
        <v>0.0</v>
      </c>
      <c r="S7" s="23">
        <v>0.02</v>
      </c>
      <c r="T7" s="21">
        <f>Q7+R7</f>
        <v>61.4</v>
      </c>
      <c r="U7" s="18">
        <f>ROUNDUP(T7*S7,0)</f>
        <v>2</v>
      </c>
      <c r="V7" s="21">
        <f>T7+U7</f>
        <v>63.4</v>
      </c>
      <c r="W7" s="24">
        <f>L7</f>
        <v>225</v>
      </c>
      <c r="X7" s="25">
        <f>ROUNDDOWN(W7/N7,0)</f>
        <v>4</v>
      </c>
    </row>
    <row r="11">
      <c r="A11" s="83"/>
      <c r="B11" s="164" t="s">
        <v>126</v>
      </c>
      <c r="C11" s="85"/>
      <c r="D11" s="3"/>
      <c r="E11" s="3"/>
      <c r="F11" s="3"/>
      <c r="G11" s="3"/>
      <c r="H11" s="3"/>
      <c r="I11" s="3"/>
      <c r="J11" s="3"/>
      <c r="K11" s="3"/>
      <c r="L11" s="3"/>
      <c r="M11" s="3"/>
      <c r="N11" s="83"/>
      <c r="O11" s="84"/>
      <c r="P11" s="84"/>
      <c r="Q11" s="84"/>
      <c r="R11" s="84"/>
      <c r="S11" s="164" t="s">
        <v>127</v>
      </c>
      <c r="T11" s="84"/>
      <c r="U11" s="84"/>
      <c r="V11" s="85"/>
    </row>
    <row r="12">
      <c r="A12" s="86" t="s">
        <v>22</v>
      </c>
      <c r="C12" s="165">
        <v>225.0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86" t="s">
        <v>128</v>
      </c>
      <c r="V12" s="88"/>
    </row>
    <row r="13">
      <c r="A13" s="86" t="s">
        <v>129</v>
      </c>
      <c r="C13" s="165">
        <v>125.0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86" t="s">
        <v>130</v>
      </c>
      <c r="V13" s="88"/>
    </row>
    <row r="14">
      <c r="A14" s="86" t="s">
        <v>20</v>
      </c>
      <c r="C14" s="166" t="s">
        <v>131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86"/>
      <c r="V14" s="88"/>
    </row>
    <row r="15">
      <c r="A15" s="86" t="s">
        <v>132</v>
      </c>
      <c r="C15" s="166" t="s">
        <v>133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86" t="s">
        <v>134</v>
      </c>
      <c r="V15" s="88"/>
    </row>
    <row r="16">
      <c r="A16" s="167" t="s">
        <v>135</v>
      </c>
      <c r="B16" s="106"/>
      <c r="C16" s="107" t="s">
        <v>171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86" t="s">
        <v>137</v>
      </c>
      <c r="V16" s="88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86"/>
      <c r="V17" s="88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86" t="s">
        <v>138</v>
      </c>
      <c r="V18" s="88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67" t="s">
        <v>139</v>
      </c>
      <c r="O19" s="106"/>
      <c r="P19" s="106"/>
      <c r="Q19" s="106"/>
      <c r="R19" s="106"/>
      <c r="S19" s="106"/>
      <c r="T19" s="106"/>
      <c r="U19" s="106"/>
      <c r="V19" s="16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12.0"/>
    <col customWidth="1" min="20" max="20" width="10.57"/>
    <col customWidth="1" min="21" max="21" width="8.71"/>
    <col customWidth="1" min="22" max="22" width="9.86"/>
    <col customWidth="1" min="23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8.0</v>
      </c>
      <c r="B3" s="14">
        <v>3.25</v>
      </c>
      <c r="C3" s="14">
        <v>11.75</v>
      </c>
      <c r="D3" s="15">
        <v>0.125</v>
      </c>
      <c r="E3" s="15">
        <v>0.065</v>
      </c>
      <c r="F3" s="15">
        <f>(A3+B3)*C3</f>
        <v>132.1875</v>
      </c>
      <c r="G3" s="15">
        <f>(A3+B3)/E3</f>
        <v>173.0769231</v>
      </c>
      <c r="H3" s="15">
        <f>C3/10</f>
        <v>1.175</v>
      </c>
      <c r="I3" s="15">
        <v>2.0</v>
      </c>
      <c r="J3" s="16">
        <f>H3*G3/60</f>
        <v>3.389423077</v>
      </c>
      <c r="K3" s="16">
        <f>J3+I3</f>
        <v>5.389423077</v>
      </c>
      <c r="L3" s="17">
        <v>225.0</v>
      </c>
      <c r="M3" s="18">
        <f>L3/60</f>
        <v>3.75</v>
      </c>
      <c r="N3" s="18">
        <f>ROUNDUP(K3*M3,1)</f>
        <v>20.3</v>
      </c>
      <c r="O3" s="106" t="s">
        <v>300</v>
      </c>
      <c r="P3" s="22">
        <v>125.0</v>
      </c>
      <c r="Q3" s="151">
        <v>0.02</v>
      </c>
      <c r="R3" s="20">
        <v>115.0</v>
      </c>
      <c r="S3" s="21">
        <f>N3*R3</f>
        <v>2334.5</v>
      </c>
      <c r="T3" s="21">
        <f>(N3*R3)+P3</f>
        <v>2459.5</v>
      </c>
      <c r="U3" s="21">
        <f>ROUNDUP(T3*Q3,0)</f>
        <v>50</v>
      </c>
      <c r="V3" s="21">
        <f>T3+U3</f>
        <v>2509.5</v>
      </c>
      <c r="W3" s="9"/>
      <c r="X3" s="24">
        <v>225.0</v>
      </c>
      <c r="Y3" s="152">
        <f>ROUNDDOWN(X3/N3,0)</f>
        <v>11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8.0</v>
      </c>
      <c r="C6" s="14">
        <v>3.82</v>
      </c>
      <c r="D6" s="15" t="s">
        <v>24</v>
      </c>
      <c r="E6" s="47">
        <v>0.065</v>
      </c>
      <c r="F6" s="47">
        <f>B6*3.14</f>
        <v>25.12</v>
      </c>
      <c r="G6" s="48">
        <f>F6/E6</f>
        <v>386.4615385</v>
      </c>
      <c r="H6" s="47">
        <f>C6/10</f>
        <v>0.382</v>
      </c>
      <c r="I6" s="47">
        <v>3.0</v>
      </c>
      <c r="J6" s="16">
        <f>H6*G6/60</f>
        <v>2.460471795</v>
      </c>
      <c r="K6" s="49">
        <f>J6+I6</f>
        <v>5.460471795</v>
      </c>
      <c r="L6" s="17">
        <v>225.0</v>
      </c>
      <c r="M6" s="18">
        <f>L6/60</f>
        <v>3.75</v>
      </c>
      <c r="N6" s="21">
        <f>ROUNDUP(K6*M6,1)</f>
        <v>20.5</v>
      </c>
      <c r="O6" s="106" t="s">
        <v>300</v>
      </c>
      <c r="P6" s="22">
        <v>125.0</v>
      </c>
      <c r="Q6" s="151">
        <v>0.02</v>
      </c>
      <c r="R6" s="20">
        <v>176.0</v>
      </c>
      <c r="S6" s="161">
        <f>N6*R6</f>
        <v>3608</v>
      </c>
      <c r="T6" s="161">
        <f>(N6*R6)+P6</f>
        <v>3733</v>
      </c>
      <c r="U6" s="21">
        <f>ROUNDUP(T6*Q6,0)</f>
        <v>75</v>
      </c>
      <c r="V6" s="21">
        <f>T6+U6</f>
        <v>3808</v>
      </c>
      <c r="W6" s="106"/>
      <c r="X6" s="162">
        <v>225.0</v>
      </c>
      <c r="Y6" s="163">
        <f>ROUNDDOWN(X6/N6,0)</f>
        <v>10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301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0.5</v>
      </c>
      <c r="B11" s="14">
        <v>7.5</v>
      </c>
      <c r="C11" s="14">
        <v>8.5</v>
      </c>
      <c r="D11" s="15">
        <v>0.125</v>
      </c>
      <c r="E11" s="15">
        <v>0.065</v>
      </c>
      <c r="F11" s="15">
        <f>(A11+B11)*C11</f>
        <v>68</v>
      </c>
      <c r="G11" s="15">
        <f>(A11+B11)/E11</f>
        <v>123.0769231</v>
      </c>
      <c r="H11" s="15">
        <f>C11/10</f>
        <v>0.85</v>
      </c>
      <c r="I11" s="15">
        <v>3.0</v>
      </c>
      <c r="J11" s="16">
        <f>H11*G11/60</f>
        <v>1.743589744</v>
      </c>
      <c r="K11" s="16">
        <f>J11+I11</f>
        <v>4.743589744</v>
      </c>
      <c r="L11" s="17">
        <v>250.0</v>
      </c>
      <c r="M11" s="18">
        <f>L11/60</f>
        <v>4.166666667</v>
      </c>
      <c r="N11" s="18">
        <f>ROUNDUP(K11*M11,1)</f>
        <v>19.8</v>
      </c>
      <c r="O11" s="106" t="s">
        <v>300</v>
      </c>
      <c r="P11" s="22">
        <v>125.0</v>
      </c>
      <c r="Q11" s="151">
        <v>0.02</v>
      </c>
      <c r="R11" s="20">
        <v>8.0</v>
      </c>
      <c r="S11" s="21">
        <f>N11*R11</f>
        <v>158.4</v>
      </c>
      <c r="T11" s="21">
        <f>(N11*R11)+P11</f>
        <v>283.4</v>
      </c>
      <c r="U11" s="21">
        <f>ROUNDUP(T11*Q11,0)</f>
        <v>6</v>
      </c>
      <c r="V11" s="21">
        <f>T11+U11</f>
        <v>289.4</v>
      </c>
      <c r="W11" s="9"/>
      <c r="X11" s="24">
        <v>250.0</v>
      </c>
      <c r="Y11" s="152">
        <f>ROUNDDOWN(X11/N11,0)</f>
        <v>12</v>
      </c>
    </row>
    <row r="12">
      <c r="A12" s="3"/>
      <c r="B12" s="153" t="s">
        <v>302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2.0</v>
      </c>
      <c r="C14" s="14">
        <v>2.0</v>
      </c>
      <c r="D14" s="15" t="s">
        <v>24</v>
      </c>
      <c r="E14" s="47">
        <v>0.065</v>
      </c>
      <c r="F14" s="47">
        <f>B14*3.14</f>
        <v>6.28</v>
      </c>
      <c r="G14" s="48">
        <f>F14/E14</f>
        <v>96.61538462</v>
      </c>
      <c r="H14" s="47">
        <f>C14/10</f>
        <v>0.2</v>
      </c>
      <c r="I14" s="47">
        <v>3.0</v>
      </c>
      <c r="J14" s="16">
        <f>H14*G14/60</f>
        <v>0.3220512821</v>
      </c>
      <c r="K14" s="49">
        <f>J14+I14</f>
        <v>3.322051282</v>
      </c>
      <c r="L14" s="17">
        <v>250.0</v>
      </c>
      <c r="M14" s="18">
        <f>L14/60</f>
        <v>4.166666667</v>
      </c>
      <c r="N14" s="21">
        <f>ROUNDUP(K14*M14,1)</f>
        <v>13.9</v>
      </c>
      <c r="O14" s="106" t="s">
        <v>300</v>
      </c>
      <c r="P14" s="22">
        <v>125.0</v>
      </c>
      <c r="Q14" s="151">
        <v>0.02</v>
      </c>
      <c r="R14" s="20">
        <v>1.0</v>
      </c>
      <c r="S14" s="161">
        <f>N14*R14</f>
        <v>13.9</v>
      </c>
      <c r="T14" s="161">
        <f>(N14*R14)+P14</f>
        <v>138.9</v>
      </c>
      <c r="U14" s="21">
        <f>ROUNDUP(T14*Q14,0)</f>
        <v>3</v>
      </c>
      <c r="V14" s="21">
        <f>T14+U14</f>
        <v>141.9</v>
      </c>
      <c r="W14" s="106"/>
      <c r="X14" s="162">
        <v>250.0</v>
      </c>
      <c r="Y14" s="163">
        <f>ROUNDDOWN(X14/N14,0)</f>
        <v>17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88" t="s">
        <v>131</v>
      </c>
      <c r="I20" s="86"/>
      <c r="R20" s="88"/>
      <c r="V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07" t="s">
        <v>221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21.57"/>
    <col customWidth="1" min="16" max="18" width="8.71"/>
    <col customWidth="1" min="19" max="19" width="12.71"/>
    <col customWidth="1" min="20" max="20" width="12.43"/>
    <col customWidth="1" min="21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0.5</v>
      </c>
      <c r="B3" s="14">
        <v>24.0</v>
      </c>
      <c r="C3" s="14">
        <v>24.0</v>
      </c>
      <c r="D3" s="15">
        <v>0.125</v>
      </c>
      <c r="E3" s="15">
        <v>0.065</v>
      </c>
      <c r="F3" s="15">
        <f>(A3+B3)*C3</f>
        <v>588</v>
      </c>
      <c r="G3" s="15">
        <f>(A3+B3)/E3</f>
        <v>376.9230769</v>
      </c>
      <c r="H3" s="15">
        <f>C3/10</f>
        <v>2.4</v>
      </c>
      <c r="I3" s="15">
        <v>4.0</v>
      </c>
      <c r="J3" s="16">
        <f>H3*G3/60</f>
        <v>15.07692308</v>
      </c>
      <c r="K3" s="16">
        <f>J3+I3</f>
        <v>19.07692308</v>
      </c>
      <c r="L3" s="17">
        <v>225.0</v>
      </c>
      <c r="M3" s="18">
        <f>L3/60</f>
        <v>3.75</v>
      </c>
      <c r="N3" s="18">
        <f>ROUNDUP(K3*M3,1)</f>
        <v>71.6</v>
      </c>
      <c r="O3" s="106" t="s">
        <v>303</v>
      </c>
      <c r="P3" s="22">
        <v>125.0</v>
      </c>
      <c r="Q3" s="151">
        <v>0.02</v>
      </c>
      <c r="R3" s="20">
        <v>10.0</v>
      </c>
      <c r="S3" s="21">
        <f>N3*R3</f>
        <v>716</v>
      </c>
      <c r="T3" s="21">
        <f>(N3*R3)+P3</f>
        <v>841</v>
      </c>
      <c r="U3" s="21">
        <f>ROUNDUP(T3*Q3,0)</f>
        <v>17</v>
      </c>
      <c r="V3" s="21">
        <f>T3+U3</f>
        <v>858</v>
      </c>
      <c r="W3" s="9"/>
      <c r="X3" s="24">
        <v>225.0</v>
      </c>
      <c r="Y3" s="152">
        <f>ROUNDDOWN(X3/N3,0)</f>
        <v>3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0.75</v>
      </c>
      <c r="C6" s="14">
        <v>1.1</v>
      </c>
      <c r="D6" s="15" t="s">
        <v>24</v>
      </c>
      <c r="E6" s="47">
        <v>0.065</v>
      </c>
      <c r="F6" s="47">
        <f>B6*3.14</f>
        <v>2.355</v>
      </c>
      <c r="G6" s="48">
        <f>F6/E6</f>
        <v>36.23076923</v>
      </c>
      <c r="H6" s="47">
        <f>C6/10</f>
        <v>0.11</v>
      </c>
      <c r="I6" s="47">
        <v>3.0</v>
      </c>
      <c r="J6" s="16">
        <f>H6*G6/60</f>
        <v>0.06642307692</v>
      </c>
      <c r="K6" s="49">
        <f>J6+I6</f>
        <v>3.066423077</v>
      </c>
      <c r="L6" s="17">
        <v>225.0</v>
      </c>
      <c r="M6" s="18">
        <f>L6/60</f>
        <v>3.75</v>
      </c>
      <c r="N6" s="21">
        <f>ROUNDUP(K6*M6,1)</f>
        <v>11.5</v>
      </c>
      <c r="O6" s="106" t="s">
        <v>303</v>
      </c>
      <c r="P6" s="22">
        <v>125.0</v>
      </c>
      <c r="Q6" s="151">
        <v>0.02</v>
      </c>
      <c r="R6" s="20">
        <v>25.0</v>
      </c>
      <c r="S6" s="161">
        <f>N6*R6</f>
        <v>287.5</v>
      </c>
      <c r="T6" s="161">
        <f>(N6*R6)+P6</f>
        <v>412.5</v>
      </c>
      <c r="U6" s="21">
        <f>ROUNDUP(T6*Q6,0)</f>
        <v>9</v>
      </c>
      <c r="V6" s="21">
        <f>T6+U6</f>
        <v>421.5</v>
      </c>
      <c r="W6" s="106"/>
      <c r="X6" s="162">
        <v>225.0</v>
      </c>
      <c r="Y6" s="163">
        <f>ROUNDDOWN(X6/N6,0)</f>
        <v>19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304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0.5</v>
      </c>
      <c r="B11" s="14">
        <v>7.5</v>
      </c>
      <c r="C11" s="14">
        <v>8.5</v>
      </c>
      <c r="D11" s="15">
        <v>0.125</v>
      </c>
      <c r="E11" s="15">
        <v>0.065</v>
      </c>
      <c r="F11" s="15">
        <f>(A11+B11)*C11</f>
        <v>68</v>
      </c>
      <c r="G11" s="15">
        <f>(A11+B11)/E11</f>
        <v>123.0769231</v>
      </c>
      <c r="H11" s="15">
        <f>C11/10</f>
        <v>0.85</v>
      </c>
      <c r="I11" s="15">
        <v>3.0</v>
      </c>
      <c r="J11" s="16">
        <f>H11*G11/60</f>
        <v>1.743589744</v>
      </c>
      <c r="K11" s="16">
        <f>J11+I11</f>
        <v>4.743589744</v>
      </c>
      <c r="L11" s="17">
        <v>250.0</v>
      </c>
      <c r="M11" s="18">
        <f>L11/60</f>
        <v>4.166666667</v>
      </c>
      <c r="N11" s="18">
        <f>ROUNDUP(K11*M11,1)</f>
        <v>19.8</v>
      </c>
      <c r="O11" s="106" t="s">
        <v>303</v>
      </c>
      <c r="P11" s="22">
        <v>125.0</v>
      </c>
      <c r="Q11" s="151">
        <v>0.02</v>
      </c>
      <c r="R11" s="20">
        <v>8.0</v>
      </c>
      <c r="S11" s="21">
        <f>N11*R11</f>
        <v>158.4</v>
      </c>
      <c r="T11" s="21">
        <f>(N11*R11)+P11</f>
        <v>283.4</v>
      </c>
      <c r="U11" s="21">
        <f>ROUNDUP(T11*Q11,0)</f>
        <v>6</v>
      </c>
      <c r="V11" s="21">
        <f>T11+U11</f>
        <v>289.4</v>
      </c>
      <c r="W11" s="9"/>
      <c r="X11" s="24">
        <v>250.0</v>
      </c>
      <c r="Y11" s="152">
        <f>ROUNDDOWN(X11/N11,0)</f>
        <v>12</v>
      </c>
    </row>
    <row r="12">
      <c r="A12" s="3"/>
      <c r="B12" s="153" t="s">
        <v>305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9.25</v>
      </c>
      <c r="C14" s="14">
        <v>28.5</v>
      </c>
      <c r="D14" s="15" t="s">
        <v>24</v>
      </c>
      <c r="E14" s="47">
        <v>0.065</v>
      </c>
      <c r="F14" s="47">
        <f>B14*3.14</f>
        <v>29.045</v>
      </c>
      <c r="G14" s="48">
        <f>F14/E14</f>
        <v>446.8461538</v>
      </c>
      <c r="H14" s="47">
        <f>C14/10</f>
        <v>2.85</v>
      </c>
      <c r="I14" s="47">
        <v>3.0</v>
      </c>
      <c r="J14" s="16">
        <f>H14*G14/60</f>
        <v>21.22519231</v>
      </c>
      <c r="K14" s="49">
        <f>J14+I14</f>
        <v>24.22519231</v>
      </c>
      <c r="L14" s="17">
        <v>250.0</v>
      </c>
      <c r="M14" s="18">
        <f>L14/60</f>
        <v>4.166666667</v>
      </c>
      <c r="N14" s="21">
        <f>ROUNDUP(K14*M14,1)</f>
        <v>101</v>
      </c>
      <c r="O14" s="106" t="s">
        <v>303</v>
      </c>
      <c r="P14" s="22">
        <v>125.0</v>
      </c>
      <c r="Q14" s="151">
        <v>0.02</v>
      </c>
      <c r="R14" s="20">
        <v>100.0</v>
      </c>
      <c r="S14" s="161">
        <f>N14*R14</f>
        <v>10100</v>
      </c>
      <c r="T14" s="161">
        <f>(N14*R14)+P14</f>
        <v>10225</v>
      </c>
      <c r="U14" s="21">
        <f>ROUNDUP(T14*Q14,0)</f>
        <v>205</v>
      </c>
      <c r="V14" s="21">
        <f>T14+U14</f>
        <v>10430</v>
      </c>
      <c r="W14" s="106"/>
      <c r="X14" s="162">
        <v>250.0</v>
      </c>
      <c r="Y14" s="163">
        <f>ROUNDDOWN(X14/N14,0)</f>
        <v>2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88" t="s">
        <v>131</v>
      </c>
      <c r="I20" s="86"/>
      <c r="R20" s="88"/>
      <c r="V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07" t="s">
        <v>221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8.71"/>
    <col customWidth="1" min="5" max="5" width="8.71"/>
    <col customWidth="1" hidden="1" min="6" max="8" width="8.71"/>
    <col customWidth="1" min="9" max="9" width="8.71"/>
    <col customWidth="1" hidden="1" min="10" max="13" width="8.71"/>
    <col customWidth="1" min="14" max="16" width="8.71"/>
    <col customWidth="1" hidden="1" min="17" max="17" width="8.71"/>
    <col customWidth="1" min="18" max="18" width="8.71"/>
    <col customWidth="1" hidden="1" min="19" max="19" width="11.0"/>
    <col customWidth="1" min="20" max="20" width="12.0"/>
    <col customWidth="1" min="21" max="21" width="10.57"/>
    <col customWidth="1" min="22" max="22" width="8.71"/>
    <col customWidth="1" min="23" max="23" width="10.86"/>
    <col customWidth="1" min="24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3.0</v>
      </c>
      <c r="B3" s="14">
        <v>2.0</v>
      </c>
      <c r="C3" s="14">
        <v>2.0</v>
      </c>
      <c r="D3" s="15">
        <v>0.125</v>
      </c>
      <c r="E3" s="15">
        <v>0.065</v>
      </c>
      <c r="F3" s="15">
        <f>(A3+B3)*C3</f>
        <v>10</v>
      </c>
      <c r="G3" s="15">
        <f>(A3+B3)/E3</f>
        <v>76.92307692</v>
      </c>
      <c r="H3" s="15">
        <f>C3/10</f>
        <v>0.2</v>
      </c>
      <c r="I3" s="15">
        <v>1.0</v>
      </c>
      <c r="J3" s="16">
        <f>H3*G3/60</f>
        <v>0.2564102564</v>
      </c>
      <c r="K3" s="16">
        <f>J3+I3</f>
        <v>1.256410256</v>
      </c>
      <c r="L3" s="17">
        <v>225.0</v>
      </c>
      <c r="M3" s="18">
        <f>L3/60</f>
        <v>3.75</v>
      </c>
      <c r="N3" s="18">
        <f>ROUNDUP(K3*M3,1)</f>
        <v>4.8</v>
      </c>
      <c r="O3" s="106" t="s">
        <v>306</v>
      </c>
      <c r="P3" s="22">
        <v>125.0</v>
      </c>
      <c r="Q3" s="151">
        <v>0.02</v>
      </c>
      <c r="R3" s="20">
        <v>25.0</v>
      </c>
      <c r="S3" s="171">
        <f>N3*R3</f>
        <v>120</v>
      </c>
      <c r="T3" s="21">
        <f>IF(S3&gt;Y3,S3,Y3)</f>
        <v>225</v>
      </c>
      <c r="U3" s="161">
        <f>(T3+P3)</f>
        <v>350</v>
      </c>
      <c r="V3" s="21">
        <f>ROUNDUP(U3*Q3,0)</f>
        <v>7</v>
      </c>
      <c r="W3" s="21">
        <f>U3+V3</f>
        <v>357</v>
      </c>
      <c r="X3" s="9"/>
      <c r="Y3" s="24">
        <v>225.0</v>
      </c>
      <c r="Z3" s="152">
        <f>ROUNDDOWN(Y3/N3,0)</f>
        <v>46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49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1.0</v>
      </c>
      <c r="C6" s="14">
        <v>1.775</v>
      </c>
      <c r="D6" s="15" t="s">
        <v>24</v>
      </c>
      <c r="E6" s="47">
        <v>0.065</v>
      </c>
      <c r="F6" s="47">
        <f>B6*3.14</f>
        <v>3.14</v>
      </c>
      <c r="G6" s="48">
        <f>F6/E6</f>
        <v>48.30769231</v>
      </c>
      <c r="H6" s="47">
        <f>C6/10</f>
        <v>0.1775</v>
      </c>
      <c r="I6" s="47">
        <v>3.0</v>
      </c>
      <c r="J6" s="16">
        <f>H6*G6/60</f>
        <v>0.1429102564</v>
      </c>
      <c r="K6" s="49">
        <f>J6+I6</f>
        <v>3.142910256</v>
      </c>
      <c r="L6" s="17">
        <v>225.0</v>
      </c>
      <c r="M6" s="18">
        <f>L6/60</f>
        <v>3.75</v>
      </c>
      <c r="N6" s="21">
        <f>ROUNDUP(K6*M6,1)</f>
        <v>11.8</v>
      </c>
      <c r="O6" s="106" t="s">
        <v>306</v>
      </c>
      <c r="P6" s="22">
        <v>125.0</v>
      </c>
      <c r="Q6" s="151">
        <v>0.02</v>
      </c>
      <c r="R6" s="20">
        <v>15.0</v>
      </c>
      <c r="S6" s="171">
        <f>N6*R6</f>
        <v>177</v>
      </c>
      <c r="T6" s="21">
        <f>IF(S6&gt;Y6,S6,Y6)</f>
        <v>225</v>
      </c>
      <c r="U6" s="161">
        <f>(T6+P6)</f>
        <v>350</v>
      </c>
      <c r="V6" s="21">
        <f>ROUNDUP(U6*Q6,0)</f>
        <v>7</v>
      </c>
      <c r="W6" s="21">
        <f>U6+V6</f>
        <v>357</v>
      </c>
      <c r="X6" s="106"/>
      <c r="Y6" s="162">
        <v>225.0</v>
      </c>
      <c r="Z6" s="163">
        <f>ROUNDDOWN(Y6/N6,0)</f>
        <v>19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307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0.5</v>
      </c>
      <c r="B11" s="14">
        <v>7.5</v>
      </c>
      <c r="C11" s="14">
        <v>8.5</v>
      </c>
      <c r="D11" s="15">
        <v>0.125</v>
      </c>
      <c r="E11" s="15">
        <v>0.065</v>
      </c>
      <c r="F11" s="15">
        <f>(A11+B11)*C11</f>
        <v>68</v>
      </c>
      <c r="G11" s="15">
        <f>(A11+B11)/E11</f>
        <v>123.0769231</v>
      </c>
      <c r="H11" s="15">
        <f>C11/10</f>
        <v>0.85</v>
      </c>
      <c r="I11" s="15">
        <v>3.0</v>
      </c>
      <c r="J11" s="16">
        <f>H11*G11/60</f>
        <v>1.743589744</v>
      </c>
      <c r="K11" s="16">
        <f>J11+I11</f>
        <v>4.743589744</v>
      </c>
      <c r="L11" s="17">
        <v>250.0</v>
      </c>
      <c r="M11" s="18">
        <f>L11/60</f>
        <v>4.166666667</v>
      </c>
      <c r="N11" s="18">
        <f>ROUNDUP(K11*M11,1)</f>
        <v>19.8</v>
      </c>
      <c r="O11" s="106" t="s">
        <v>306</v>
      </c>
      <c r="P11" s="22">
        <v>125.0</v>
      </c>
      <c r="Q11" s="151">
        <v>0.02</v>
      </c>
      <c r="R11" s="20">
        <v>8.0</v>
      </c>
      <c r="S11" s="171">
        <f>N11*R11</f>
        <v>158.4</v>
      </c>
      <c r="T11" s="21">
        <f>IF(S11&gt;Y11,S11,Y11)</f>
        <v>250</v>
      </c>
      <c r="U11" s="161">
        <f>(T11+P11)</f>
        <v>375</v>
      </c>
      <c r="V11" s="21">
        <f>ROUNDUP(U11*Q11,0)</f>
        <v>8</v>
      </c>
      <c r="W11" s="21">
        <f>U11+V11</f>
        <v>383</v>
      </c>
      <c r="X11" s="9"/>
      <c r="Y11" s="24">
        <v>250.0</v>
      </c>
      <c r="Z11" s="152">
        <f>ROUNDDOWN(Y11/N11,0)</f>
        <v>12</v>
      </c>
    </row>
    <row r="12">
      <c r="A12" s="3"/>
      <c r="B12" s="153" t="s">
        <v>308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49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1.125</v>
      </c>
      <c r="C14" s="14">
        <v>2.8</v>
      </c>
      <c r="D14" s="15" t="s">
        <v>24</v>
      </c>
      <c r="E14" s="47">
        <v>0.065</v>
      </c>
      <c r="F14" s="47">
        <f>B14*3.14</f>
        <v>3.5325</v>
      </c>
      <c r="G14" s="48">
        <f>F14/E14</f>
        <v>54.34615385</v>
      </c>
      <c r="H14" s="47">
        <f>C14/10</f>
        <v>0.28</v>
      </c>
      <c r="I14" s="47">
        <v>3.0</v>
      </c>
      <c r="J14" s="16">
        <f>H14*G14/60</f>
        <v>0.2536153846</v>
      </c>
      <c r="K14" s="49">
        <f>J14+I14</f>
        <v>3.253615385</v>
      </c>
      <c r="L14" s="17">
        <v>250.0</v>
      </c>
      <c r="M14" s="18">
        <f>L14/60</f>
        <v>4.166666667</v>
      </c>
      <c r="N14" s="21">
        <f>ROUNDUP(K14*M14,1)</f>
        <v>13.6</v>
      </c>
      <c r="O14" s="106" t="s">
        <v>306</v>
      </c>
      <c r="P14" s="22">
        <v>125.0</v>
      </c>
      <c r="Q14" s="151">
        <v>0.02</v>
      </c>
      <c r="R14" s="20">
        <v>100.0</v>
      </c>
      <c r="S14" s="171">
        <f>N14*R14</f>
        <v>1360</v>
      </c>
      <c r="T14" s="21">
        <f>IF(S14&gt;Y14,S14,Y14)</f>
        <v>1360</v>
      </c>
      <c r="U14" s="161">
        <f>(T14+P14)</f>
        <v>1485</v>
      </c>
      <c r="V14" s="21">
        <f>ROUNDUP(U14*Q14,0)</f>
        <v>30</v>
      </c>
      <c r="W14" s="21">
        <f>U14+V14</f>
        <v>1515</v>
      </c>
      <c r="X14" s="106"/>
      <c r="Y14" s="162">
        <v>250.0</v>
      </c>
      <c r="Z14" s="163">
        <f>ROUNDDOWN(Y14/N14,0)</f>
        <v>18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W19" s="51"/>
    </row>
    <row r="20">
      <c r="A20" s="86" t="s">
        <v>20</v>
      </c>
      <c r="C20" s="88" t="s">
        <v>131</v>
      </c>
      <c r="I20" s="86"/>
      <c r="R20" s="88"/>
      <c r="W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W21" s="52"/>
    </row>
    <row r="22" ht="15.75" customHeight="1">
      <c r="A22" s="86" t="s">
        <v>135</v>
      </c>
      <c r="C22" s="165" t="s">
        <v>221</v>
      </c>
      <c r="I22" s="86" t="s">
        <v>137</v>
      </c>
      <c r="R22" s="88"/>
      <c r="W22" s="52"/>
    </row>
    <row r="23" ht="15.75" customHeight="1">
      <c r="A23" s="86" t="s">
        <v>309</v>
      </c>
      <c r="C23" s="165">
        <v>75.0</v>
      </c>
      <c r="I23" s="86"/>
      <c r="R23" s="88"/>
      <c r="W23" s="52"/>
    </row>
    <row r="24" ht="15.75" customHeight="1">
      <c r="A24" s="86"/>
      <c r="C24" s="88"/>
      <c r="I24" s="86" t="s">
        <v>138</v>
      </c>
      <c r="R24" s="88"/>
    </row>
    <row r="25" ht="15.75" customHeight="1">
      <c r="A25" s="167"/>
      <c r="B25" s="106"/>
      <c r="C25" s="169"/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3" width="8.71"/>
    <col customWidth="1" hidden="1" min="14" max="15" width="8.71"/>
    <col customWidth="1" min="16" max="18" width="8.71"/>
    <col customWidth="1" min="19" max="19" width="14.29"/>
    <col customWidth="1" min="20" max="21" width="8.71"/>
    <col customWidth="1" min="22" max="22" width="11.57"/>
    <col customWidth="1" min="23" max="23" width="8.71"/>
    <col customWidth="1" min="24" max="24" width="12.0"/>
    <col customWidth="1" min="25" max="26" width="8.71"/>
  </cols>
  <sheetData>
    <row r="2">
      <c r="A2" s="196" t="s">
        <v>154</v>
      </c>
      <c r="B2" s="197"/>
      <c r="C2" s="197"/>
      <c r="D2" s="197"/>
      <c r="E2" s="197"/>
      <c r="F2" s="197"/>
      <c r="G2" s="197"/>
      <c r="H2" s="197"/>
      <c r="I2" s="197"/>
      <c r="J2" s="2"/>
      <c r="K2" s="2"/>
      <c r="L2" s="2"/>
      <c r="M2" s="2"/>
      <c r="N2" s="2"/>
      <c r="O2" s="32"/>
      <c r="P2" s="32"/>
      <c r="Q2" s="3"/>
      <c r="R2" s="3"/>
      <c r="S2" s="4"/>
      <c r="T2" s="4"/>
      <c r="U2" s="4"/>
      <c r="V2" s="4"/>
      <c r="W2" s="5"/>
      <c r="X2" s="4"/>
      <c r="Y2" s="4"/>
      <c r="Z2" s="4"/>
    </row>
    <row r="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131" t="s">
        <v>155</v>
      </c>
      <c r="O3" s="198" t="s">
        <v>156</v>
      </c>
      <c r="P3" s="198" t="s">
        <v>157</v>
      </c>
      <c r="Q3" s="108"/>
      <c r="R3" s="10" t="s">
        <v>15</v>
      </c>
      <c r="S3" s="11" t="s">
        <v>16</v>
      </c>
      <c r="T3" s="11" t="s">
        <v>17</v>
      </c>
      <c r="U3" s="10" t="s">
        <v>18</v>
      </c>
      <c r="V3" s="10" t="s">
        <v>19</v>
      </c>
      <c r="W3" s="12" t="s">
        <v>20</v>
      </c>
      <c r="X3" s="10" t="s">
        <v>21</v>
      </c>
      <c r="Y3" s="11" t="s">
        <v>22</v>
      </c>
      <c r="Z3" s="13" t="s">
        <v>23</v>
      </c>
    </row>
    <row r="4">
      <c r="A4" s="14">
        <v>4.0</v>
      </c>
      <c r="B4" s="14">
        <v>3.1</v>
      </c>
      <c r="C4" s="14">
        <v>5.35</v>
      </c>
      <c r="D4" s="15" t="s">
        <v>24</v>
      </c>
      <c r="E4" s="15">
        <v>0.065</v>
      </c>
      <c r="F4" s="193">
        <f>(A4+B4)*C4</f>
        <v>37.985</v>
      </c>
      <c r="G4" s="193">
        <f>(A4+B4)/E4</f>
        <v>109.2307692</v>
      </c>
      <c r="H4" s="193">
        <f>C4/10</f>
        <v>0.535</v>
      </c>
      <c r="I4" s="15">
        <v>2.5</v>
      </c>
      <c r="J4" s="16">
        <f>H4*G4/60</f>
        <v>0.973974359</v>
      </c>
      <c r="K4" s="16">
        <f>J4+I4</f>
        <v>3.473974359</v>
      </c>
      <c r="L4" s="17">
        <v>225.0</v>
      </c>
      <c r="M4" s="18">
        <f>L4/60</f>
        <v>3.75</v>
      </c>
      <c r="N4" s="18">
        <f>ROUNDUP(K4*M4,1)</f>
        <v>13.1</v>
      </c>
      <c r="O4" s="199">
        <f>G38</f>
        <v>2.660510417</v>
      </c>
      <c r="P4" s="200">
        <f>IF(N4&gt;O4, N4, O4)</f>
        <v>13.1</v>
      </c>
      <c r="Q4" s="19" t="s">
        <v>158</v>
      </c>
      <c r="R4" s="20">
        <v>60.0</v>
      </c>
      <c r="S4" s="21">
        <f>P4*R4</f>
        <v>786</v>
      </c>
      <c r="T4" s="22">
        <v>0.0</v>
      </c>
      <c r="U4" s="23">
        <v>0.02</v>
      </c>
      <c r="V4" s="21">
        <f>S4+T4</f>
        <v>786</v>
      </c>
      <c r="W4" s="18">
        <f>ROUNDUP(V4*U4,0)</f>
        <v>16</v>
      </c>
      <c r="X4" s="21">
        <f>V4+W4</f>
        <v>802</v>
      </c>
      <c r="Y4" s="24">
        <v>225.0</v>
      </c>
      <c r="Z4" s="25">
        <f>ROUNDDOWN(Y4/N4,0)</f>
        <v>17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Q5" s="27"/>
      <c r="R5" s="3"/>
      <c r="S5" s="28"/>
      <c r="T5" s="29"/>
      <c r="U5" s="30"/>
      <c r="V5" s="28"/>
      <c r="W5" s="31"/>
      <c r="X5" s="28"/>
      <c r="Y5" s="32"/>
      <c r="Z5" s="26"/>
    </row>
    <row r="6">
      <c r="A6" s="196" t="s">
        <v>159</v>
      </c>
      <c r="B6" s="197"/>
      <c r="C6" s="201"/>
      <c r="D6" s="197"/>
      <c r="E6" s="197"/>
      <c r="F6" s="197"/>
      <c r="G6" s="197"/>
      <c r="H6" s="197"/>
      <c r="I6" s="197"/>
      <c r="J6" s="2"/>
      <c r="K6" s="2"/>
      <c r="L6" s="2"/>
      <c r="M6" s="2"/>
      <c r="N6" s="2"/>
      <c r="O6" s="32"/>
      <c r="P6" s="32"/>
      <c r="Q6" s="3"/>
      <c r="R6" s="3"/>
      <c r="S6" s="4"/>
      <c r="T6" s="4"/>
      <c r="U6" s="4"/>
      <c r="V6" s="4"/>
      <c r="W6" s="5"/>
      <c r="X6" s="4"/>
      <c r="Y6" s="4"/>
      <c r="Z6" s="4"/>
    </row>
    <row r="7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  <c r="N7" s="131" t="s">
        <v>155</v>
      </c>
      <c r="O7" s="198" t="s">
        <v>156</v>
      </c>
      <c r="P7" s="198" t="s">
        <v>157</v>
      </c>
      <c r="Q7" s="108"/>
      <c r="R7" s="10" t="s">
        <v>15</v>
      </c>
      <c r="S7" s="11" t="s">
        <v>16</v>
      </c>
      <c r="T7" s="11" t="s">
        <v>17</v>
      </c>
      <c r="U7" s="10" t="s">
        <v>18</v>
      </c>
      <c r="V7" s="10" t="s">
        <v>19</v>
      </c>
      <c r="W7" s="12" t="s">
        <v>20</v>
      </c>
      <c r="X7" s="10" t="s">
        <v>21</v>
      </c>
      <c r="Y7" s="11" t="s">
        <v>22</v>
      </c>
      <c r="Z7" s="13" t="s">
        <v>23</v>
      </c>
    </row>
    <row r="8">
      <c r="A8" s="14">
        <v>1.0</v>
      </c>
      <c r="B8" s="14">
        <v>25.0</v>
      </c>
      <c r="C8" s="14">
        <v>25.0</v>
      </c>
      <c r="D8" s="15" t="s">
        <v>24</v>
      </c>
      <c r="E8" s="15">
        <v>0.06</v>
      </c>
      <c r="F8" s="193">
        <f>(A8+B8)*C8</f>
        <v>650</v>
      </c>
      <c r="G8" s="193">
        <f>(A8+B8)/E8</f>
        <v>433.3333333</v>
      </c>
      <c r="H8" s="193">
        <f>C8/10</f>
        <v>2.5</v>
      </c>
      <c r="I8" s="15">
        <v>4.0</v>
      </c>
      <c r="J8" s="16">
        <f>H8*G8/60</f>
        <v>18.05555556</v>
      </c>
      <c r="K8" s="16">
        <f>J8+I8</f>
        <v>22.05555556</v>
      </c>
      <c r="L8" s="17">
        <v>225.0</v>
      </c>
      <c r="M8" s="18">
        <f>L8/60</f>
        <v>3.75</v>
      </c>
      <c r="N8" s="18">
        <f>ROUNDUP(K8*M8,1)</f>
        <v>82.8</v>
      </c>
      <c r="O8" s="199">
        <f>G39</f>
        <v>28.64583333</v>
      </c>
      <c r="P8" s="200">
        <f>IF(N8&gt;O8, N8, O8)</f>
        <v>82.8</v>
      </c>
      <c r="Q8" s="19" t="s">
        <v>160</v>
      </c>
      <c r="R8" s="20">
        <v>30.0</v>
      </c>
      <c r="S8" s="21">
        <f>P8*R8</f>
        <v>2484</v>
      </c>
      <c r="T8" s="22">
        <v>125.0</v>
      </c>
      <c r="U8" s="23">
        <v>0.02</v>
      </c>
      <c r="V8" s="21">
        <f>S8+T8</f>
        <v>2609</v>
      </c>
      <c r="W8" s="18">
        <f>ROUNDUP(V8*U8,0)</f>
        <v>53</v>
      </c>
      <c r="X8" s="21">
        <f>V8+W8</f>
        <v>2662</v>
      </c>
      <c r="Y8" s="24">
        <v>225.0</v>
      </c>
      <c r="Z8" s="25">
        <f>ROUNDDOWN(Y8/N8,0)</f>
        <v>2</v>
      </c>
    </row>
    <row r="11">
      <c r="A11" s="202" t="s">
        <v>161</v>
      </c>
      <c r="B11" s="197"/>
      <c r="C11" s="197"/>
      <c r="D11" s="197"/>
      <c r="E11" s="197"/>
      <c r="F11" s="197"/>
      <c r="G11" s="197"/>
      <c r="H11" s="197"/>
      <c r="I11" s="197"/>
      <c r="J11" s="2"/>
      <c r="K11" s="2"/>
      <c r="L11" s="2"/>
      <c r="M11" s="2"/>
      <c r="N11" s="2"/>
      <c r="O11" s="32"/>
      <c r="P11" s="32"/>
      <c r="Q11" s="3"/>
      <c r="R11" s="3"/>
      <c r="S11" s="4"/>
      <c r="T11" s="4"/>
      <c r="U11" s="4"/>
      <c r="V11" s="4"/>
      <c r="W11" s="5"/>
      <c r="X11" s="4"/>
      <c r="Y11" s="4"/>
      <c r="Z11" s="4"/>
    </row>
    <row r="12">
      <c r="A12" s="7" t="s">
        <v>1</v>
      </c>
      <c r="B12" s="7" t="s">
        <v>2</v>
      </c>
      <c r="C12" s="7" t="s">
        <v>3</v>
      </c>
      <c r="D12" s="7" t="s">
        <v>4</v>
      </c>
      <c r="E12" s="7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7" t="s">
        <v>13</v>
      </c>
      <c r="N12" s="131" t="s">
        <v>155</v>
      </c>
      <c r="O12" s="198" t="s">
        <v>156</v>
      </c>
      <c r="P12" s="198" t="s">
        <v>157</v>
      </c>
      <c r="Q12" s="108"/>
      <c r="R12" s="10" t="s">
        <v>15</v>
      </c>
      <c r="S12" s="11" t="s">
        <v>16</v>
      </c>
      <c r="T12" s="11" t="s">
        <v>17</v>
      </c>
      <c r="U12" s="10" t="s">
        <v>18</v>
      </c>
      <c r="V12" s="10" t="s">
        <v>19</v>
      </c>
      <c r="W12" s="12" t="s">
        <v>20</v>
      </c>
      <c r="X12" s="10" t="s">
        <v>21</v>
      </c>
      <c r="Y12" s="11" t="s">
        <v>22</v>
      </c>
      <c r="Z12" s="13" t="s">
        <v>23</v>
      </c>
    </row>
    <row r="13">
      <c r="A13" s="14">
        <v>2.0</v>
      </c>
      <c r="B13" s="14">
        <v>48.0</v>
      </c>
      <c r="C13" s="14">
        <v>62.0</v>
      </c>
      <c r="D13" s="15" t="s">
        <v>24</v>
      </c>
      <c r="E13" s="15">
        <v>0.045</v>
      </c>
      <c r="F13" s="193">
        <f>(A13+B13)*C13</f>
        <v>3100</v>
      </c>
      <c r="G13" s="193">
        <f>(A13+B13)/E13</f>
        <v>1111.111111</v>
      </c>
      <c r="H13" s="193">
        <f>C13/10</f>
        <v>6.2</v>
      </c>
      <c r="I13" s="15">
        <v>4.0</v>
      </c>
      <c r="J13" s="16">
        <f>H13*G13/60</f>
        <v>114.8148148</v>
      </c>
      <c r="K13" s="16">
        <f>J13+I13</f>
        <v>118.8148148</v>
      </c>
      <c r="L13" s="17">
        <v>225.0</v>
      </c>
      <c r="M13" s="18">
        <f>L13/60</f>
        <v>3.75</v>
      </c>
      <c r="N13" s="18">
        <f>ROUNDUP(K13*M13,1)</f>
        <v>445.6</v>
      </c>
      <c r="O13" s="199">
        <f>W38</f>
        <v>189.1</v>
      </c>
      <c r="P13" s="200">
        <f>IF(N13&gt;O13, N13, O13)</f>
        <v>445.6</v>
      </c>
      <c r="Q13" s="19" t="s">
        <v>158</v>
      </c>
      <c r="R13" s="20">
        <v>6.0</v>
      </c>
      <c r="S13" s="21">
        <f>P13*R13</f>
        <v>2673.6</v>
      </c>
      <c r="T13" s="22">
        <v>0.0</v>
      </c>
      <c r="U13" s="23">
        <v>0.02</v>
      </c>
      <c r="V13" s="21">
        <f>S13+T13</f>
        <v>2673.6</v>
      </c>
      <c r="W13" s="18">
        <f>ROUNDUP(V13*U13,0)</f>
        <v>54</v>
      </c>
      <c r="X13" s="21">
        <f>V13+W13</f>
        <v>2727.6</v>
      </c>
      <c r="Y13" s="24">
        <v>225.0</v>
      </c>
      <c r="Z13" s="25">
        <f>ROUNDDOWN(Y13/N13,0)</f>
        <v>0</v>
      </c>
    </row>
    <row r="14">
      <c r="A14" s="3"/>
      <c r="B14" s="3"/>
      <c r="C14" s="3">
        <v>2.0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Q14" s="27"/>
      <c r="R14" s="3"/>
      <c r="S14" s="28"/>
      <c r="T14" s="29"/>
      <c r="U14" s="30"/>
      <c r="V14" s="28"/>
      <c r="W14" s="31"/>
      <c r="X14" s="28"/>
      <c r="Y14" s="32"/>
      <c r="Z14" s="26"/>
    </row>
    <row r="15">
      <c r="A15" s="202" t="s">
        <v>162</v>
      </c>
      <c r="B15" s="197"/>
      <c r="C15" s="197"/>
      <c r="D15" s="197"/>
      <c r="E15" s="197"/>
      <c r="F15" s="197"/>
      <c r="G15" s="197"/>
      <c r="H15" s="197"/>
      <c r="I15" s="197"/>
      <c r="J15" s="2"/>
      <c r="K15" s="2"/>
      <c r="L15" s="2"/>
      <c r="M15" s="2"/>
      <c r="N15" s="2"/>
      <c r="O15" s="32"/>
      <c r="P15" s="32"/>
      <c r="Q15" s="3"/>
      <c r="R15" s="3"/>
      <c r="S15" s="4"/>
      <c r="T15" s="4"/>
      <c r="U15" s="4"/>
      <c r="V15" s="4"/>
      <c r="W15" s="5"/>
      <c r="X15" s="4"/>
      <c r="Y15" s="4"/>
      <c r="Z15" s="4"/>
    </row>
    <row r="16">
      <c r="A16" s="7" t="s">
        <v>1</v>
      </c>
      <c r="B16" s="7" t="s">
        <v>2</v>
      </c>
      <c r="C16" s="7" t="s">
        <v>3</v>
      </c>
      <c r="D16" s="7" t="s">
        <v>4</v>
      </c>
      <c r="E16" s="7" t="s">
        <v>5</v>
      </c>
      <c r="F16" s="7" t="s">
        <v>6</v>
      </c>
      <c r="G16" s="7" t="s">
        <v>7</v>
      </c>
      <c r="H16" s="7" t="s">
        <v>8</v>
      </c>
      <c r="I16" s="7" t="s">
        <v>9</v>
      </c>
      <c r="J16" s="7" t="s">
        <v>10</v>
      </c>
      <c r="K16" s="7" t="s">
        <v>11</v>
      </c>
      <c r="L16" s="7" t="s">
        <v>12</v>
      </c>
      <c r="M16" s="7" t="s">
        <v>13</v>
      </c>
      <c r="N16" s="131" t="s">
        <v>155</v>
      </c>
      <c r="O16" s="198" t="s">
        <v>156</v>
      </c>
      <c r="P16" s="198" t="s">
        <v>157</v>
      </c>
      <c r="Q16" s="108"/>
      <c r="R16" s="10" t="s">
        <v>15</v>
      </c>
      <c r="S16" s="11" t="s">
        <v>16</v>
      </c>
      <c r="T16" s="11" t="s">
        <v>17</v>
      </c>
      <c r="U16" s="10" t="s">
        <v>18</v>
      </c>
      <c r="V16" s="10" t="s">
        <v>19</v>
      </c>
      <c r="W16" s="12" t="s">
        <v>20</v>
      </c>
      <c r="X16" s="10" t="s">
        <v>21</v>
      </c>
      <c r="Y16" s="11" t="s">
        <v>22</v>
      </c>
      <c r="Z16" s="13" t="s">
        <v>23</v>
      </c>
    </row>
    <row r="17">
      <c r="A17" s="14">
        <v>2.0</v>
      </c>
      <c r="B17" s="14">
        <v>14.0</v>
      </c>
      <c r="C17" s="14">
        <v>16.0</v>
      </c>
      <c r="D17" s="15" t="s">
        <v>24</v>
      </c>
      <c r="E17" s="15">
        <v>0.06</v>
      </c>
      <c r="F17" s="193">
        <f>(A17+B17)*C17</f>
        <v>256</v>
      </c>
      <c r="G17" s="193">
        <f>(A17+B17)/E17</f>
        <v>266.6666667</v>
      </c>
      <c r="H17" s="193">
        <f>C17/10</f>
        <v>1.6</v>
      </c>
      <c r="I17" s="15">
        <v>4.0</v>
      </c>
      <c r="J17" s="16">
        <f>H17*G17/60</f>
        <v>7.111111111</v>
      </c>
      <c r="K17" s="16">
        <f>J17+I17</f>
        <v>11.11111111</v>
      </c>
      <c r="L17" s="17">
        <v>225.0</v>
      </c>
      <c r="M17" s="18">
        <f>L17/60</f>
        <v>3.75</v>
      </c>
      <c r="N17" s="18">
        <f>ROUNDUP(K17*M17,1)</f>
        <v>41.7</v>
      </c>
      <c r="O17" s="199">
        <f>W39</f>
        <v>15.9</v>
      </c>
      <c r="P17" s="200">
        <f>IF(N17&gt;O17, N17, O17)</f>
        <v>41.7</v>
      </c>
      <c r="Q17" s="19" t="s">
        <v>160</v>
      </c>
      <c r="R17" s="20">
        <v>2.0</v>
      </c>
      <c r="S17" s="21">
        <f>P17*R17</f>
        <v>83.4</v>
      </c>
      <c r="T17" s="22">
        <v>125.0</v>
      </c>
      <c r="U17" s="23">
        <v>0.02</v>
      </c>
      <c r="V17" s="21">
        <f>S17+T17</f>
        <v>208.4</v>
      </c>
      <c r="W17" s="18">
        <f>ROUNDUP(V17*U17,0)</f>
        <v>5</v>
      </c>
      <c r="X17" s="21">
        <f>V17+W17</f>
        <v>213.4</v>
      </c>
      <c r="Y17" s="24">
        <v>225.0</v>
      </c>
      <c r="Z17" s="25">
        <f>ROUNDDOWN(Y17/N17,0)</f>
        <v>5</v>
      </c>
    </row>
    <row r="21" ht="15.75" customHeight="1"/>
    <row r="22" ht="15.75" customHeight="1"/>
    <row r="23" ht="15.75" customHeight="1"/>
    <row r="24" ht="15.75" customHeight="1"/>
    <row r="25" ht="15.75" customHeight="1">
      <c r="A25" s="133" t="s">
        <v>28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134"/>
      <c r="S25" s="135"/>
      <c r="T25" s="136"/>
      <c r="U25" s="134"/>
      <c r="V25" s="137"/>
      <c r="W25" s="134"/>
      <c r="X25" s="84"/>
      <c r="Y25" s="138"/>
    </row>
    <row r="26" ht="15.75" customHeight="1">
      <c r="A26" s="40" t="s">
        <v>29</v>
      </c>
      <c r="B26" s="40" t="s">
        <v>3</v>
      </c>
      <c r="C26" s="7" t="s">
        <v>4</v>
      </c>
      <c r="D26" s="40" t="s">
        <v>5</v>
      </c>
      <c r="E26" s="41" t="s">
        <v>30</v>
      </c>
      <c r="F26" s="40" t="s">
        <v>31</v>
      </c>
      <c r="G26" s="40" t="s">
        <v>32</v>
      </c>
      <c r="H26" s="40" t="s">
        <v>33</v>
      </c>
      <c r="I26" s="40" t="s">
        <v>34</v>
      </c>
      <c r="J26" s="40" t="s">
        <v>35</v>
      </c>
      <c r="K26" s="7" t="s">
        <v>12</v>
      </c>
      <c r="L26" s="7" t="s">
        <v>13</v>
      </c>
      <c r="M26" s="42" t="s">
        <v>36</v>
      </c>
      <c r="N26" s="42"/>
      <c r="O26" s="42"/>
      <c r="P26" s="11"/>
      <c r="Q26" s="10" t="s">
        <v>15</v>
      </c>
      <c r="R26" s="43" t="s">
        <v>16</v>
      </c>
      <c r="S26" s="44" t="s">
        <v>17</v>
      </c>
      <c r="T26" s="45" t="s">
        <v>18</v>
      </c>
      <c r="U26" s="43" t="s">
        <v>19</v>
      </c>
      <c r="V26" s="46" t="s">
        <v>20</v>
      </c>
      <c r="W26" s="43" t="s">
        <v>21</v>
      </c>
      <c r="X26" s="11" t="s">
        <v>22</v>
      </c>
      <c r="Y26" s="13" t="s">
        <v>23</v>
      </c>
    </row>
    <row r="27" ht="15.75" customHeight="1">
      <c r="A27" s="14">
        <v>1.0</v>
      </c>
      <c r="B27" s="14">
        <v>19.75</v>
      </c>
      <c r="C27" s="15" t="s">
        <v>24</v>
      </c>
      <c r="D27" s="47">
        <v>0.065</v>
      </c>
      <c r="E27" s="47">
        <f>A27*3.14</f>
        <v>3.14</v>
      </c>
      <c r="F27" s="48">
        <f>E27/D27</f>
        <v>48.30769231</v>
      </c>
      <c r="G27" s="47">
        <f>B27/10</f>
        <v>1.975</v>
      </c>
      <c r="H27" s="47">
        <v>3.5</v>
      </c>
      <c r="I27" s="16">
        <f>G27*F27/60</f>
        <v>1.590128205</v>
      </c>
      <c r="J27" s="49">
        <f>I27+H27</f>
        <v>5.090128205</v>
      </c>
      <c r="K27" s="17">
        <v>225.0</v>
      </c>
      <c r="L27" s="18">
        <f>K27/60</f>
        <v>3.75</v>
      </c>
      <c r="M27" s="21">
        <f>ROUNDUP(J27*L27,1)</f>
        <v>19.1</v>
      </c>
      <c r="N27" s="142"/>
      <c r="O27" s="142"/>
      <c r="P27" s="106" t="s">
        <v>169</v>
      </c>
      <c r="Q27" s="20">
        <v>50.0</v>
      </c>
      <c r="R27" s="21">
        <f>M27*Q27</f>
        <v>955</v>
      </c>
      <c r="S27" s="22">
        <v>0.0</v>
      </c>
      <c r="T27" s="23">
        <v>0.02</v>
      </c>
      <c r="U27" s="21">
        <f>R27+S27</f>
        <v>955</v>
      </c>
      <c r="V27" s="18">
        <f>ROUNDUP(U27*T27,0)</f>
        <v>20</v>
      </c>
      <c r="W27" s="21">
        <f>U27+V27</f>
        <v>975</v>
      </c>
      <c r="X27" s="24">
        <v>225.0</v>
      </c>
      <c r="Y27" s="25">
        <f>ROUNDDOWN(X27/M27,0)</f>
        <v>11</v>
      </c>
    </row>
    <row r="28" ht="15.75" customHeight="1">
      <c r="A28" s="83"/>
      <c r="B28" s="84"/>
      <c r="C28" s="84"/>
      <c r="D28" s="84"/>
      <c r="E28" s="84"/>
      <c r="F28" s="84"/>
      <c r="G28" s="85"/>
    </row>
    <row r="29" ht="15.75" customHeight="1">
      <c r="A29" s="86"/>
      <c r="G29" s="88"/>
      <c r="Q29" s="83"/>
      <c r="R29" s="84"/>
      <c r="S29" s="84"/>
      <c r="T29" s="84"/>
      <c r="U29" s="84"/>
      <c r="V29" s="84"/>
      <c r="W29" s="85"/>
      <c r="Y29" s="54" t="s">
        <v>95</v>
      </c>
    </row>
    <row r="30" ht="15.75" customHeight="1">
      <c r="A30" s="86"/>
      <c r="G30" s="88"/>
      <c r="J30" s="83"/>
      <c r="K30" s="84"/>
      <c r="L30" s="203" t="s">
        <v>163</v>
      </c>
      <c r="M30" s="84"/>
      <c r="N30" s="84"/>
      <c r="O30" s="85"/>
      <c r="Q30" s="86"/>
      <c r="W30" s="88"/>
      <c r="Y30" s="54">
        <v>10000.0</v>
      </c>
    </row>
    <row r="31" ht="15.75" customHeight="1">
      <c r="A31" s="86" t="s">
        <v>59</v>
      </c>
      <c r="B31" s="54">
        <f>12^3</f>
        <v>1728</v>
      </c>
      <c r="C31" s="54" t="s">
        <v>60</v>
      </c>
      <c r="G31" s="88"/>
      <c r="J31" s="86"/>
      <c r="M31" s="54" t="s">
        <v>61</v>
      </c>
      <c r="N31" s="54">
        <v>62.42796</v>
      </c>
      <c r="O31" s="88"/>
      <c r="Q31" s="86" t="s">
        <v>59</v>
      </c>
      <c r="R31" s="54">
        <f>12^3</f>
        <v>1728</v>
      </c>
      <c r="S31" s="54" t="s">
        <v>60</v>
      </c>
      <c r="W31" s="88"/>
      <c r="Y31" s="54">
        <v>6000.0</v>
      </c>
    </row>
    <row r="32" ht="15.75" customHeight="1">
      <c r="A32" s="86"/>
      <c r="C32" s="54" t="s">
        <v>62</v>
      </c>
      <c r="E32" s="87">
        <v>495.0</v>
      </c>
      <c r="G32" s="88"/>
      <c r="J32" s="86" t="s">
        <v>63</v>
      </c>
      <c r="K32" s="54" t="s">
        <v>64</v>
      </c>
      <c r="L32" s="54" t="s">
        <v>65</v>
      </c>
      <c r="M32" s="54" t="s">
        <v>66</v>
      </c>
      <c r="O32" s="88"/>
      <c r="Q32" s="86"/>
      <c r="S32" s="54" t="s">
        <v>62</v>
      </c>
      <c r="U32" s="87">
        <v>305.0</v>
      </c>
      <c r="W32" s="88"/>
      <c r="Y32" s="54">
        <v>4000.0</v>
      </c>
    </row>
    <row r="33" ht="15.75" customHeight="1">
      <c r="A33" s="86"/>
      <c r="C33" s="54" t="s">
        <v>164</v>
      </c>
      <c r="E33" s="89">
        <v>0.14</v>
      </c>
      <c r="G33" s="88"/>
      <c r="J33" s="86" t="s">
        <v>69</v>
      </c>
      <c r="K33" s="54">
        <v>7075.0</v>
      </c>
      <c r="L33" s="54">
        <v>2.81</v>
      </c>
      <c r="M33" s="54">
        <f t="shared" ref="M33:M36" si="1">L33*$N$31</f>
        <v>175.4225676</v>
      </c>
      <c r="O33" s="88"/>
      <c r="Q33" s="86"/>
      <c r="S33" s="54" t="s">
        <v>164</v>
      </c>
      <c r="U33" s="89">
        <v>0.18</v>
      </c>
      <c r="W33" s="88"/>
    </row>
    <row r="34" ht="15.75" customHeight="1">
      <c r="A34" s="86"/>
      <c r="C34" s="54" t="s">
        <v>165</v>
      </c>
      <c r="E34" s="204">
        <v>0.16</v>
      </c>
      <c r="G34" s="88"/>
      <c r="J34" s="86" t="s">
        <v>69</v>
      </c>
      <c r="K34" s="54">
        <v>2219.0</v>
      </c>
      <c r="L34" s="54">
        <v>2.84</v>
      </c>
      <c r="M34" s="54">
        <f t="shared" si="1"/>
        <v>177.2954064</v>
      </c>
      <c r="O34" s="88"/>
      <c r="Q34" s="86"/>
      <c r="S34" s="54" t="s">
        <v>165</v>
      </c>
      <c r="U34" s="205">
        <v>0.2</v>
      </c>
      <c r="W34" s="88"/>
    </row>
    <row r="35" ht="15.75" customHeight="1">
      <c r="A35" s="86"/>
      <c r="G35" s="88"/>
      <c r="J35" s="86" t="s">
        <v>69</v>
      </c>
      <c r="K35" s="54">
        <v>6061.0</v>
      </c>
      <c r="L35" s="54">
        <v>2.7</v>
      </c>
      <c r="M35" s="54">
        <f t="shared" si="1"/>
        <v>168.555492</v>
      </c>
      <c r="O35" s="88"/>
      <c r="Q35" s="86"/>
      <c r="W35" s="88"/>
    </row>
    <row r="36" ht="15.75" customHeight="1">
      <c r="A36" s="86"/>
      <c r="G36" s="88"/>
      <c r="J36" s="86" t="s">
        <v>69</v>
      </c>
      <c r="K36" s="54">
        <v>7050.0</v>
      </c>
      <c r="L36" s="54">
        <v>2.83</v>
      </c>
      <c r="M36" s="54">
        <f t="shared" si="1"/>
        <v>176.6711268</v>
      </c>
      <c r="O36" s="88"/>
      <c r="Q36" s="86"/>
      <c r="W36" s="88"/>
    </row>
    <row r="37" ht="15.75" customHeight="1">
      <c r="A37" s="90" t="s">
        <v>70</v>
      </c>
      <c r="B37" s="91" t="s">
        <v>166</v>
      </c>
      <c r="C37" s="91" t="s">
        <v>72</v>
      </c>
      <c r="D37" s="91" t="s">
        <v>73</v>
      </c>
      <c r="E37" s="91" t="s">
        <v>74</v>
      </c>
      <c r="F37" s="91" t="s">
        <v>75</v>
      </c>
      <c r="G37" s="92" t="s">
        <v>76</v>
      </c>
      <c r="H37" s="91"/>
      <c r="I37" s="91"/>
      <c r="J37" s="90" t="s">
        <v>77</v>
      </c>
      <c r="K37" s="91"/>
      <c r="L37" s="91"/>
      <c r="M37" s="91">
        <v>494.21</v>
      </c>
      <c r="N37" s="91" t="s">
        <v>78</v>
      </c>
      <c r="O37" s="92"/>
      <c r="P37" s="91"/>
      <c r="Q37" s="90" t="s">
        <v>70</v>
      </c>
      <c r="R37" s="91" t="s">
        <v>166</v>
      </c>
      <c r="S37" s="91" t="s">
        <v>72</v>
      </c>
      <c r="T37" s="91" t="s">
        <v>73</v>
      </c>
      <c r="U37" s="91" t="s">
        <v>74</v>
      </c>
      <c r="V37" s="91" t="s">
        <v>75</v>
      </c>
      <c r="W37" s="92" t="s">
        <v>76</v>
      </c>
    </row>
    <row r="38" ht="15.75" customHeight="1">
      <c r="A38" s="93">
        <f t="shared" ref="A38:C38" si="2">A4</f>
        <v>4</v>
      </c>
      <c r="B38" s="50">
        <f t="shared" si="2"/>
        <v>3.1</v>
      </c>
      <c r="C38" s="50">
        <f t="shared" si="2"/>
        <v>5.35</v>
      </c>
      <c r="D38" s="54">
        <f t="shared" ref="D38:D42" si="5">A38*B38*C38</f>
        <v>66.34</v>
      </c>
      <c r="E38" s="54">
        <f t="shared" ref="E38:E42" si="6">D38/$B$31</f>
        <v>0.0383912037</v>
      </c>
      <c r="F38" s="54">
        <f t="shared" ref="F38:F42" si="7">E38*$E$32</f>
        <v>19.00364583</v>
      </c>
      <c r="G38" s="94">
        <f>F38*$E$33</f>
        <v>2.660510417</v>
      </c>
      <c r="J38" s="86" t="s">
        <v>79</v>
      </c>
      <c r="M38" s="54">
        <v>283.39</v>
      </c>
      <c r="N38" s="54" t="s">
        <v>80</v>
      </c>
      <c r="O38" s="88"/>
      <c r="Q38" s="93">
        <f t="shared" ref="Q38:S38" si="3">A13</f>
        <v>2</v>
      </c>
      <c r="R38" s="50">
        <f t="shared" si="3"/>
        <v>48</v>
      </c>
      <c r="S38" s="50">
        <f t="shared" si="3"/>
        <v>62</v>
      </c>
      <c r="T38" s="54">
        <f t="shared" ref="T38:T42" si="9">Q38*R38*S38</f>
        <v>5952</v>
      </c>
      <c r="U38" s="54">
        <f t="shared" ref="U38:U42" si="10">T38/$B$31</f>
        <v>3.444444444</v>
      </c>
      <c r="V38" s="54">
        <f t="shared" ref="V38:V39" si="11">U38*$U$32</f>
        <v>1050.555556</v>
      </c>
      <c r="W38" s="94">
        <f>ROUNDUP(V38*$U$33,1)</f>
        <v>189.1</v>
      </c>
    </row>
    <row r="39" ht="15.75" customHeight="1">
      <c r="A39" s="95">
        <f>+A8</f>
        <v>1</v>
      </c>
      <c r="B39" s="96">
        <f t="shared" ref="B39:C39" si="4">B8</f>
        <v>25</v>
      </c>
      <c r="C39" s="96">
        <f t="shared" si="4"/>
        <v>25</v>
      </c>
      <c r="D39" s="54">
        <f t="shared" si="5"/>
        <v>625</v>
      </c>
      <c r="E39" s="54">
        <f t="shared" si="6"/>
        <v>0.3616898148</v>
      </c>
      <c r="F39" s="54">
        <f t="shared" si="7"/>
        <v>179.0364583</v>
      </c>
      <c r="G39" s="97">
        <f>F39*$E$34</f>
        <v>28.64583333</v>
      </c>
      <c r="J39" s="86" t="s">
        <v>81</v>
      </c>
      <c r="M39" s="54">
        <v>490.0</v>
      </c>
      <c r="O39" s="88"/>
      <c r="Q39" s="95">
        <f t="shared" ref="Q39:S39" si="8">A17</f>
        <v>2</v>
      </c>
      <c r="R39" s="96">
        <f t="shared" si="8"/>
        <v>14</v>
      </c>
      <c r="S39" s="96">
        <f t="shared" si="8"/>
        <v>16</v>
      </c>
      <c r="T39" s="54">
        <f t="shared" si="9"/>
        <v>448</v>
      </c>
      <c r="U39" s="54">
        <f t="shared" si="10"/>
        <v>0.2592592593</v>
      </c>
      <c r="V39" s="54">
        <f t="shared" si="11"/>
        <v>79.07407407</v>
      </c>
      <c r="W39" s="97">
        <f>ROUNDUP(V39*$U$34,1)</f>
        <v>15.9</v>
      </c>
    </row>
    <row r="40" ht="15.75" customHeight="1">
      <c r="A40" s="98">
        <v>5.625</v>
      </c>
      <c r="B40" s="99">
        <v>5.75</v>
      </c>
      <c r="C40" s="99">
        <v>9.0</v>
      </c>
      <c r="D40" s="54">
        <f t="shared" si="5"/>
        <v>291.09375</v>
      </c>
      <c r="E40" s="54">
        <f t="shared" si="6"/>
        <v>0.1684570313</v>
      </c>
      <c r="F40" s="54">
        <f t="shared" si="7"/>
        <v>83.38623047</v>
      </c>
      <c r="G40" s="100">
        <f t="shared" ref="G40:G42" si="12">F40*$E$33</f>
        <v>11.67407227</v>
      </c>
      <c r="J40" s="86" t="s">
        <v>82</v>
      </c>
      <c r="M40" s="54">
        <v>1204.41</v>
      </c>
      <c r="O40" s="88"/>
      <c r="Q40" s="98">
        <v>5.625</v>
      </c>
      <c r="R40" s="99">
        <v>5.75</v>
      </c>
      <c r="S40" s="99">
        <v>9.0</v>
      </c>
      <c r="T40" s="54">
        <f t="shared" si="9"/>
        <v>291.09375</v>
      </c>
      <c r="U40" s="54">
        <f t="shared" si="10"/>
        <v>0.1684570313</v>
      </c>
      <c r="V40" s="54">
        <f t="shared" ref="V40:V42" si="13">U40*$E$32</f>
        <v>83.38623047</v>
      </c>
      <c r="W40" s="100">
        <f t="shared" ref="W40:W42" si="14">V40*$E$33</f>
        <v>11.67407227</v>
      </c>
    </row>
    <row r="41" ht="15.75" customHeight="1">
      <c r="A41" s="101">
        <v>11.75</v>
      </c>
      <c r="B41" s="102">
        <v>5.75</v>
      </c>
      <c r="C41" s="102">
        <v>55.875</v>
      </c>
      <c r="D41" s="54">
        <f t="shared" si="5"/>
        <v>3775.054688</v>
      </c>
      <c r="E41" s="54">
        <f t="shared" si="6"/>
        <v>2.184638129</v>
      </c>
      <c r="F41" s="54">
        <f t="shared" si="7"/>
        <v>1081.395874</v>
      </c>
      <c r="G41" s="103">
        <f t="shared" si="12"/>
        <v>151.3954224</v>
      </c>
      <c r="J41" s="86" t="s">
        <v>83</v>
      </c>
      <c r="M41" s="54">
        <v>568.5</v>
      </c>
      <c r="O41" s="88"/>
      <c r="Q41" s="101">
        <v>11.75</v>
      </c>
      <c r="R41" s="102">
        <v>5.75</v>
      </c>
      <c r="S41" s="102">
        <v>55.875</v>
      </c>
      <c r="T41" s="54">
        <f t="shared" si="9"/>
        <v>3775.054688</v>
      </c>
      <c r="U41" s="54">
        <f t="shared" si="10"/>
        <v>2.184638129</v>
      </c>
      <c r="V41" s="54">
        <f t="shared" si="13"/>
        <v>1081.395874</v>
      </c>
      <c r="W41" s="103">
        <f t="shared" si="14"/>
        <v>151.3954224</v>
      </c>
    </row>
    <row r="42" ht="15.75" customHeight="1">
      <c r="A42" s="104">
        <v>10.0</v>
      </c>
      <c r="B42" s="105">
        <v>10.0</v>
      </c>
      <c r="C42" s="105">
        <v>10.0</v>
      </c>
      <c r="D42" s="106">
        <f t="shared" si="5"/>
        <v>1000</v>
      </c>
      <c r="E42" s="106">
        <f t="shared" si="6"/>
        <v>0.5787037037</v>
      </c>
      <c r="F42" s="106">
        <f t="shared" si="7"/>
        <v>286.4583333</v>
      </c>
      <c r="G42" s="107">
        <f t="shared" si="12"/>
        <v>40.10416667</v>
      </c>
      <c r="J42" s="167"/>
      <c r="K42" s="106"/>
      <c r="L42" s="106"/>
      <c r="M42" s="106"/>
      <c r="N42" s="106"/>
      <c r="O42" s="169"/>
      <c r="Q42" s="104">
        <v>10.0</v>
      </c>
      <c r="R42" s="105">
        <v>10.0</v>
      </c>
      <c r="S42" s="105">
        <v>10.0</v>
      </c>
      <c r="T42" s="106">
        <f t="shared" si="9"/>
        <v>1000</v>
      </c>
      <c r="U42" s="106">
        <f t="shared" si="10"/>
        <v>0.5787037037</v>
      </c>
      <c r="V42" s="106">
        <f t="shared" si="13"/>
        <v>286.4583333</v>
      </c>
      <c r="W42" s="107">
        <f t="shared" si="14"/>
        <v>40.10416667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4">
    <cfRule type="expression" dxfId="3" priority="1">
      <formula>$F$38&gt;$Y$30</formula>
    </cfRule>
  </conditionalFormatting>
  <conditionalFormatting sqref="P8">
    <cfRule type="expression" dxfId="3" priority="2">
      <formula>$F$39&gt;$Y$30</formula>
    </cfRule>
  </conditionalFormatting>
  <conditionalFormatting sqref="P13">
    <cfRule type="expression" dxfId="3" priority="3">
      <formula>$V$38&gt;$Y$30</formula>
    </cfRule>
  </conditionalFormatting>
  <conditionalFormatting sqref="P13">
    <cfRule type="expression" dxfId="2" priority="4">
      <formula>$V$38&gt;$Y$30</formula>
    </cfRule>
  </conditionalFormatting>
  <conditionalFormatting sqref="P17">
    <cfRule type="expression" dxfId="3" priority="5">
      <formula>$V$39&gt;$Y$30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3" width="17.86"/>
    <col customWidth="1" min="4" max="13" width="8.71"/>
    <col customWidth="1" min="14" max="14" width="17.0"/>
    <col customWidth="1" min="15" max="15" width="8.71"/>
    <col customWidth="1" min="16" max="16" width="12.0"/>
    <col customWidth="1" min="17" max="26" width="8.71"/>
  </cols>
  <sheetData>
    <row r="2" ht="37.5" customHeight="1"/>
    <row r="3" ht="53.25" customHeight="1">
      <c r="B3" s="9" t="s">
        <v>85</v>
      </c>
      <c r="C3" s="108" t="s">
        <v>86</v>
      </c>
      <c r="D3" s="9" t="s">
        <v>87</v>
      </c>
      <c r="E3" s="9" t="s">
        <v>88</v>
      </c>
      <c r="F3" s="9" t="s">
        <v>89</v>
      </c>
      <c r="G3" s="108" t="s">
        <v>90</v>
      </c>
      <c r="H3" s="9" t="s">
        <v>91</v>
      </c>
      <c r="I3" s="9" t="s">
        <v>67</v>
      </c>
      <c r="J3" s="108" t="s">
        <v>92</v>
      </c>
      <c r="L3" s="55" t="s">
        <v>93</v>
      </c>
      <c r="M3" s="55" t="s">
        <v>94</v>
      </c>
      <c r="P3" s="11" t="s">
        <v>95</v>
      </c>
    </row>
    <row r="4">
      <c r="B4" s="109" t="s">
        <v>96</v>
      </c>
      <c r="C4" s="307">
        <v>13.0</v>
      </c>
      <c r="D4" s="308">
        <v>60.0</v>
      </c>
      <c r="E4" s="110">
        <f t="shared" ref="E4:E8" si="1">C4/2</f>
        <v>6.5</v>
      </c>
      <c r="F4" s="87">
        <v>3.14159265359</v>
      </c>
      <c r="G4" s="87">
        <f t="shared" ref="G4:G8" si="2">F4*(E4^2)</f>
        <v>132.7322896</v>
      </c>
      <c r="H4" s="87">
        <f t="shared" ref="H4:H8" si="3">G4*D4</f>
        <v>7963.937377</v>
      </c>
      <c r="I4" s="87">
        <v>0.283</v>
      </c>
      <c r="J4" s="111">
        <f t="shared" ref="J4:J8" si="4">H4*I4</f>
        <v>2253.794278</v>
      </c>
      <c r="L4" s="112">
        <v>0.14</v>
      </c>
      <c r="M4" s="113">
        <f t="shared" ref="M4:M8" si="5">ROUND(L4*J4, 2)</f>
        <v>315.53</v>
      </c>
      <c r="P4" s="9">
        <v>6000.0</v>
      </c>
    </row>
    <row r="5">
      <c r="B5" s="114" t="s">
        <v>97</v>
      </c>
      <c r="C5" s="307">
        <v>10.5</v>
      </c>
      <c r="D5" s="308">
        <v>144.0</v>
      </c>
      <c r="E5" s="115">
        <f t="shared" si="1"/>
        <v>5.25</v>
      </c>
      <c r="F5" s="116">
        <v>3.14159265359</v>
      </c>
      <c r="G5" s="116">
        <f t="shared" si="2"/>
        <v>86.59014751</v>
      </c>
      <c r="H5" s="116">
        <f t="shared" si="3"/>
        <v>12468.98124</v>
      </c>
      <c r="I5" s="116">
        <v>0.29</v>
      </c>
      <c r="J5" s="117">
        <f t="shared" si="4"/>
        <v>3616.00456</v>
      </c>
      <c r="L5" s="112">
        <v>0.14</v>
      </c>
      <c r="M5" s="113">
        <f t="shared" si="5"/>
        <v>506.24</v>
      </c>
    </row>
    <row r="6">
      <c r="B6" s="118" t="s">
        <v>98</v>
      </c>
      <c r="C6" s="307">
        <v>13.0</v>
      </c>
      <c r="D6" s="308">
        <v>148.0</v>
      </c>
      <c r="E6" s="119">
        <f t="shared" si="1"/>
        <v>6.5</v>
      </c>
      <c r="F6" s="120">
        <v>3.14159265359</v>
      </c>
      <c r="G6" s="120">
        <f t="shared" si="2"/>
        <v>132.7322896</v>
      </c>
      <c r="H6" s="120">
        <f t="shared" si="3"/>
        <v>19644.37886</v>
      </c>
      <c r="I6" s="120">
        <v>0.1</v>
      </c>
      <c r="J6" s="121">
        <f t="shared" si="4"/>
        <v>1964.437886</v>
      </c>
      <c r="L6" s="112">
        <v>0.16</v>
      </c>
      <c r="M6" s="113">
        <f t="shared" si="5"/>
        <v>314.31</v>
      </c>
    </row>
    <row r="7">
      <c r="B7" s="122" t="s">
        <v>99</v>
      </c>
      <c r="C7" s="307">
        <v>13.0</v>
      </c>
      <c r="D7" s="308">
        <v>148.0</v>
      </c>
      <c r="E7" s="123">
        <f t="shared" si="1"/>
        <v>6.5</v>
      </c>
      <c r="F7" s="124">
        <v>3.14159265359</v>
      </c>
      <c r="G7" s="124">
        <f t="shared" si="2"/>
        <v>132.7322896</v>
      </c>
      <c r="H7" s="124">
        <f t="shared" si="3"/>
        <v>19644.37886</v>
      </c>
      <c r="I7" s="124">
        <v>0.16</v>
      </c>
      <c r="J7" s="125">
        <f t="shared" si="4"/>
        <v>3143.100618</v>
      </c>
      <c r="L7" s="112">
        <v>0.2</v>
      </c>
      <c r="M7" s="113">
        <f t="shared" si="5"/>
        <v>628.62</v>
      </c>
    </row>
    <row r="8">
      <c r="B8" s="126" t="s">
        <v>100</v>
      </c>
      <c r="C8" s="307">
        <v>5.0</v>
      </c>
      <c r="D8" s="308">
        <v>144.0</v>
      </c>
      <c r="E8" s="127">
        <f t="shared" si="1"/>
        <v>2.5</v>
      </c>
      <c r="F8" s="128">
        <v>3.14159265359</v>
      </c>
      <c r="G8" s="128">
        <f t="shared" si="2"/>
        <v>19.63495408</v>
      </c>
      <c r="H8" s="128">
        <f t="shared" si="3"/>
        <v>2827.433388</v>
      </c>
      <c r="I8" s="128">
        <v>0.2965</v>
      </c>
      <c r="J8" s="129">
        <f t="shared" si="4"/>
        <v>838.3339996</v>
      </c>
      <c r="L8" s="112">
        <v>0.14</v>
      </c>
      <c r="M8" s="113">
        <f t="shared" si="5"/>
        <v>117.37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4:J8">
    <cfRule type="cellIs" dxfId="0" priority="1" operator="greaterThan">
      <formula>$Q$24</formula>
    </cfRule>
  </conditionalFormatting>
  <conditionalFormatting sqref="J8">
    <cfRule type="cellIs" dxfId="0" priority="2" operator="greaterThan">
      <formula>6296.819819</formula>
    </cfRule>
  </conditionalFormatting>
  <conditionalFormatting sqref="J8">
    <cfRule type="cellIs" dxfId="1" priority="3" operator="greaterThan">
      <formula>$Q$24</formula>
    </cfRule>
  </conditionalFormatting>
  <conditionalFormatting sqref="M8">
    <cfRule type="cellIs" dxfId="0" priority="4" operator="greaterThan">
      <formula>960</formula>
    </cfRule>
  </conditionalFormatting>
  <conditionalFormatting sqref="M8">
    <cfRule type="cellIs" dxfId="2" priority="5" operator="greaterThan">
      <formula>960</formula>
    </cfRule>
  </conditionalFormatting>
  <conditionalFormatting sqref="M8">
    <cfRule type="expression" dxfId="2" priority="6">
      <formula>$K$28</formula>
    </cfRule>
  </conditionalFormatting>
  <conditionalFormatting sqref="M8">
    <cfRule type="expression" dxfId="2" priority="7">
      <formula>"IF K28 IS RED"</formula>
    </cfRule>
  </conditionalFormatting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12.0"/>
    <col customWidth="1" min="20" max="20" width="10.57"/>
    <col customWidth="1" min="21" max="21" width="8.71"/>
    <col customWidth="1" min="22" max="22" width="9.86"/>
    <col customWidth="1" min="23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0.625</v>
      </c>
      <c r="B3" s="14">
        <v>13.5</v>
      </c>
      <c r="C3" s="14">
        <v>14.25</v>
      </c>
      <c r="D3" s="15">
        <v>0.125</v>
      </c>
      <c r="E3" s="15">
        <v>0.065</v>
      </c>
      <c r="F3" s="15">
        <f>(A3+B3)*C3</f>
        <v>201.28125</v>
      </c>
      <c r="G3" s="15">
        <f>(A3+B3)/E3</f>
        <v>217.3076923</v>
      </c>
      <c r="H3" s="15">
        <f>C3/10</f>
        <v>1.425</v>
      </c>
      <c r="I3" s="15">
        <v>2.5</v>
      </c>
      <c r="J3" s="16">
        <f>H3*G3/60</f>
        <v>5.161057692</v>
      </c>
      <c r="K3" s="16">
        <f>J3+I3</f>
        <v>7.661057692</v>
      </c>
      <c r="L3" s="17">
        <v>225.0</v>
      </c>
      <c r="M3" s="18">
        <f>L3/60</f>
        <v>3.75</v>
      </c>
      <c r="N3" s="18">
        <f>ROUNDUP(K3*M3,1)</f>
        <v>28.8</v>
      </c>
      <c r="O3" s="106"/>
      <c r="P3" s="22">
        <v>125.0</v>
      </c>
      <c r="Q3" s="151">
        <v>0.02</v>
      </c>
      <c r="R3" s="20">
        <v>141.0</v>
      </c>
      <c r="S3" s="21">
        <f>N3*R3</f>
        <v>4060.8</v>
      </c>
      <c r="T3" s="21">
        <f>(N3*R3)+P3</f>
        <v>4185.8</v>
      </c>
      <c r="U3" s="21">
        <f>ROUNDUP(T3*Q3,0)</f>
        <v>84</v>
      </c>
      <c r="V3" s="21">
        <f>T3+U3</f>
        <v>4269.8</v>
      </c>
      <c r="W3" s="9"/>
      <c r="X3" s="24">
        <v>225.0</v>
      </c>
      <c r="Y3" s="152">
        <f>ROUNDDOWN(X3/N3,0)</f>
        <v>7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2.0</v>
      </c>
      <c r="C6" s="14">
        <v>2.0</v>
      </c>
      <c r="D6" s="15" t="s">
        <v>24</v>
      </c>
      <c r="E6" s="47">
        <v>0.065</v>
      </c>
      <c r="F6" s="47">
        <f>B6*3.14</f>
        <v>6.28</v>
      </c>
      <c r="G6" s="48">
        <f>F6/E6</f>
        <v>96.61538462</v>
      </c>
      <c r="H6" s="47">
        <f>C6/10</f>
        <v>0.2</v>
      </c>
      <c r="I6" s="47">
        <v>2.5</v>
      </c>
      <c r="J6" s="16">
        <f>H6*G6/60</f>
        <v>0.3220512821</v>
      </c>
      <c r="K6" s="49">
        <f>J6+I6</f>
        <v>2.822051282</v>
      </c>
      <c r="L6" s="17">
        <v>225.0</v>
      </c>
      <c r="M6" s="18">
        <f>L6/60</f>
        <v>3.75</v>
      </c>
      <c r="N6" s="21">
        <f>ROUNDUP(K6*M6,1)</f>
        <v>10.6</v>
      </c>
      <c r="O6" s="106"/>
      <c r="P6" s="22">
        <v>125.0</v>
      </c>
      <c r="Q6" s="151">
        <v>0.02</v>
      </c>
      <c r="R6" s="20">
        <v>1.0</v>
      </c>
      <c r="S6" s="161">
        <f>N6*R6</f>
        <v>10.6</v>
      </c>
      <c r="T6" s="161">
        <f>(N6*R6)+P6</f>
        <v>135.6</v>
      </c>
      <c r="U6" s="21">
        <f>ROUNDUP(T6*Q6,0)</f>
        <v>3</v>
      </c>
      <c r="V6" s="21">
        <f>T6+U6</f>
        <v>138.6</v>
      </c>
      <c r="W6" s="106"/>
      <c r="X6" s="162">
        <v>225.0</v>
      </c>
      <c r="Y6" s="163">
        <f>ROUNDDOWN(X6/N6,0)</f>
        <v>21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310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1.5</v>
      </c>
      <c r="B11" s="14">
        <v>36.0</v>
      </c>
      <c r="C11" s="14">
        <v>96.0</v>
      </c>
      <c r="D11" s="15">
        <v>0.125</v>
      </c>
      <c r="E11" s="15">
        <v>0.065</v>
      </c>
      <c r="F11" s="15">
        <f>(A11+B11)*C11</f>
        <v>3600</v>
      </c>
      <c r="G11" s="15">
        <f>(A11+B11)/E11</f>
        <v>576.9230769</v>
      </c>
      <c r="H11" s="15">
        <f>C11/10</f>
        <v>9.6</v>
      </c>
      <c r="I11" s="15">
        <v>3.0</v>
      </c>
      <c r="J11" s="16">
        <f>H11*G11/60</f>
        <v>92.30769231</v>
      </c>
      <c r="K11" s="16">
        <f>J11+I11</f>
        <v>95.30769231</v>
      </c>
      <c r="L11" s="17">
        <v>250.0</v>
      </c>
      <c r="M11" s="18">
        <f>L11/60</f>
        <v>4.166666667</v>
      </c>
      <c r="N11" s="18">
        <f>ROUNDUP(K11*M11,1)</f>
        <v>397.2</v>
      </c>
      <c r="O11" s="106"/>
      <c r="P11" s="22">
        <v>125.0</v>
      </c>
      <c r="Q11" s="151">
        <v>0.02</v>
      </c>
      <c r="R11" s="20">
        <v>1.0</v>
      </c>
      <c r="S11" s="21">
        <f>N11*R11</f>
        <v>397.2</v>
      </c>
      <c r="T11" s="21">
        <f>(N11*R11)+P11</f>
        <v>522.2</v>
      </c>
      <c r="U11" s="21">
        <f>ROUNDUP(T11*Q11,0)</f>
        <v>11</v>
      </c>
      <c r="V11" s="21">
        <f>T11+U11</f>
        <v>533.2</v>
      </c>
      <c r="W11" s="9"/>
      <c r="X11" s="24">
        <v>250.0</v>
      </c>
      <c r="Y11" s="152">
        <f>ROUNDDOWN(X11/N11,0)</f>
        <v>0</v>
      </c>
    </row>
    <row r="12">
      <c r="A12" s="3"/>
      <c r="B12" s="153" t="s">
        <v>311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2.0</v>
      </c>
      <c r="C14" s="14">
        <v>2.0</v>
      </c>
      <c r="D14" s="15" t="s">
        <v>24</v>
      </c>
      <c r="E14" s="47">
        <v>0.065</v>
      </c>
      <c r="F14" s="47">
        <f>B14*3.14</f>
        <v>6.28</v>
      </c>
      <c r="G14" s="48">
        <f>F14/E14</f>
        <v>96.61538462</v>
      </c>
      <c r="H14" s="47">
        <f>C14/10</f>
        <v>0.2</v>
      </c>
      <c r="I14" s="47">
        <v>3.0</v>
      </c>
      <c r="J14" s="16">
        <f>H14*G14/60</f>
        <v>0.3220512821</v>
      </c>
      <c r="K14" s="49">
        <f>J14+I14</f>
        <v>3.322051282</v>
      </c>
      <c r="L14" s="17">
        <v>250.0</v>
      </c>
      <c r="M14" s="18">
        <f>L14/60</f>
        <v>4.166666667</v>
      </c>
      <c r="N14" s="21">
        <f>ROUNDUP(K14*M14,1)</f>
        <v>13.9</v>
      </c>
      <c r="O14" s="106"/>
      <c r="P14" s="22">
        <v>125.0</v>
      </c>
      <c r="Q14" s="151">
        <v>0.02</v>
      </c>
      <c r="R14" s="20">
        <v>1.0</v>
      </c>
      <c r="S14" s="161">
        <f>N14*R14</f>
        <v>13.9</v>
      </c>
      <c r="T14" s="161">
        <f>(N14*R14)+P14</f>
        <v>138.9</v>
      </c>
      <c r="U14" s="21">
        <f>ROUNDUP(T14*Q14,0)</f>
        <v>3</v>
      </c>
      <c r="V14" s="21">
        <f>T14+U14</f>
        <v>141.9</v>
      </c>
      <c r="W14" s="106"/>
      <c r="X14" s="162">
        <v>250.0</v>
      </c>
      <c r="Y14" s="163">
        <f>ROUNDDOWN(X14/N14,0)</f>
        <v>17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88" t="s">
        <v>131</v>
      </c>
      <c r="I20" s="86"/>
      <c r="R20" s="88"/>
      <c r="V20" s="52"/>
    </row>
    <row r="21" ht="15.75" customHeight="1">
      <c r="A21" s="86" t="s">
        <v>132</v>
      </c>
      <c r="C21" s="88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07">
        <v>150.0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15" width="8.71"/>
    <col customWidth="1" min="16" max="18" width="8.71"/>
    <col customWidth="1" min="19" max="19" width="14.29"/>
    <col customWidth="1" min="20" max="26" width="8.71"/>
  </cols>
  <sheetData>
    <row r="1">
      <c r="A1" s="196" t="s">
        <v>154</v>
      </c>
      <c r="B1" s="197"/>
      <c r="C1" s="197"/>
      <c r="D1" s="197"/>
      <c r="E1" s="197"/>
      <c r="F1" s="197"/>
      <c r="G1" s="197"/>
      <c r="H1" s="197"/>
      <c r="I1" s="197"/>
      <c r="J1" s="2"/>
      <c r="K1" s="2"/>
      <c r="L1" s="2"/>
      <c r="M1" s="2"/>
      <c r="N1" s="2"/>
      <c r="O1" s="32"/>
      <c r="P1" s="32"/>
      <c r="Q1" s="3"/>
      <c r="R1" s="3"/>
      <c r="S1" s="4"/>
      <c r="T1" s="4"/>
      <c r="U1" s="4"/>
      <c r="V1" s="4"/>
      <c r="W1" s="5"/>
      <c r="X1" s="4"/>
      <c r="Y1" s="4"/>
      <c r="Z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131" t="s">
        <v>155</v>
      </c>
      <c r="O2" s="198" t="s">
        <v>156</v>
      </c>
      <c r="P2" s="198" t="s">
        <v>157</v>
      </c>
      <c r="Q2" s="108"/>
      <c r="R2" s="10" t="s">
        <v>15</v>
      </c>
      <c r="S2" s="11" t="s">
        <v>16</v>
      </c>
      <c r="T2" s="11" t="s">
        <v>17</v>
      </c>
      <c r="U2" s="10" t="s">
        <v>18</v>
      </c>
      <c r="V2" s="10" t="s">
        <v>19</v>
      </c>
      <c r="W2" s="12" t="s">
        <v>20</v>
      </c>
      <c r="X2" s="10" t="s">
        <v>21</v>
      </c>
      <c r="Y2" s="11" t="s">
        <v>22</v>
      </c>
      <c r="Z2" s="13" t="s">
        <v>23</v>
      </c>
    </row>
    <row r="3">
      <c r="A3" s="14">
        <v>3.0</v>
      </c>
      <c r="B3" s="14">
        <v>55.0</v>
      </c>
      <c r="C3" s="14">
        <v>59.0</v>
      </c>
      <c r="D3" s="15" t="s">
        <v>24</v>
      </c>
      <c r="E3" s="15">
        <v>0.065</v>
      </c>
      <c r="F3" s="193">
        <f>(A3+B3)*C3</f>
        <v>3422</v>
      </c>
      <c r="G3" s="193">
        <f>(A3+B3)/E3</f>
        <v>892.3076923</v>
      </c>
      <c r="H3" s="193">
        <f>C3/10</f>
        <v>5.9</v>
      </c>
      <c r="I3" s="15">
        <v>4.0</v>
      </c>
      <c r="J3" s="16">
        <f>H3*G3/60</f>
        <v>87.74358974</v>
      </c>
      <c r="K3" s="16">
        <f>J3+I3</f>
        <v>91.74358974</v>
      </c>
      <c r="L3" s="17">
        <v>225.0</v>
      </c>
      <c r="M3" s="18">
        <f>L3/60</f>
        <v>3.75</v>
      </c>
      <c r="N3" s="18">
        <f>ROUNDUP(K3*M3,1)</f>
        <v>344.1</v>
      </c>
      <c r="O3" s="199">
        <f>G37</f>
        <v>390.4140625</v>
      </c>
      <c r="P3" s="200">
        <f>IF(N3&gt;O3, N3, O3)</f>
        <v>390.4140625</v>
      </c>
      <c r="Q3" s="19" t="s">
        <v>158</v>
      </c>
      <c r="R3" s="20">
        <v>20.0</v>
      </c>
      <c r="S3" s="21">
        <f>P3*R3</f>
        <v>7808.28125</v>
      </c>
      <c r="T3" s="22">
        <v>125.0</v>
      </c>
      <c r="U3" s="23">
        <v>0.02</v>
      </c>
      <c r="V3" s="21">
        <f>S3+T3</f>
        <v>7933.28125</v>
      </c>
      <c r="W3" s="18">
        <f>ROUNDUP(V3*U3,0)</f>
        <v>159</v>
      </c>
      <c r="X3" s="21">
        <f>V3+W3</f>
        <v>8092.28125</v>
      </c>
      <c r="Y3" s="24">
        <v>225.0</v>
      </c>
      <c r="Z3" s="25">
        <f>ROUNDDOWN(Y3/N3,0)</f>
        <v>0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27"/>
      <c r="R4" s="3"/>
      <c r="S4" s="28"/>
      <c r="T4" s="29"/>
      <c r="U4" s="30"/>
      <c r="V4" s="28"/>
      <c r="W4" s="31"/>
      <c r="X4" s="28"/>
      <c r="Y4" s="32"/>
      <c r="Z4" s="26"/>
    </row>
    <row r="5">
      <c r="A5" s="196" t="s">
        <v>159</v>
      </c>
      <c r="B5" s="197"/>
      <c r="C5" s="201"/>
      <c r="D5" s="197"/>
      <c r="E5" s="197"/>
      <c r="F5" s="197"/>
      <c r="G5" s="197"/>
      <c r="H5" s="197"/>
      <c r="I5" s="197"/>
      <c r="J5" s="2"/>
      <c r="K5" s="2"/>
      <c r="L5" s="2"/>
      <c r="M5" s="2"/>
      <c r="N5" s="2"/>
      <c r="O5" s="32"/>
      <c r="P5" s="32"/>
      <c r="Q5" s="3"/>
      <c r="R5" s="3"/>
      <c r="S5" s="4"/>
      <c r="T5" s="4"/>
      <c r="U5" s="4"/>
      <c r="V5" s="4"/>
      <c r="W5" s="5"/>
      <c r="X5" s="4"/>
      <c r="Y5" s="4"/>
      <c r="Z5" s="4"/>
    </row>
    <row r="6">
      <c r="A6" s="7" t="s">
        <v>1</v>
      </c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131" t="s">
        <v>155</v>
      </c>
      <c r="O6" s="198" t="s">
        <v>156</v>
      </c>
      <c r="P6" s="198" t="s">
        <v>157</v>
      </c>
      <c r="Q6" s="108"/>
      <c r="R6" s="10" t="s">
        <v>15</v>
      </c>
      <c r="S6" s="11" t="s">
        <v>16</v>
      </c>
      <c r="T6" s="11" t="s">
        <v>17</v>
      </c>
      <c r="U6" s="10" t="s">
        <v>18</v>
      </c>
      <c r="V6" s="10" t="s">
        <v>19</v>
      </c>
      <c r="W6" s="12" t="s">
        <v>20</v>
      </c>
      <c r="X6" s="10" t="s">
        <v>21</v>
      </c>
      <c r="Y6" s="11" t="s">
        <v>22</v>
      </c>
      <c r="Z6" s="13" t="s">
        <v>23</v>
      </c>
    </row>
    <row r="7">
      <c r="A7" s="14">
        <v>5.0</v>
      </c>
      <c r="B7" s="14">
        <v>10.0</v>
      </c>
      <c r="C7" s="14">
        <v>10.0</v>
      </c>
      <c r="D7" s="15" t="s">
        <v>24</v>
      </c>
      <c r="E7" s="15">
        <v>0.045</v>
      </c>
      <c r="F7" s="193">
        <f>(A7+B7)*C7</f>
        <v>150</v>
      </c>
      <c r="G7" s="193">
        <f>(A7+B7)/E7</f>
        <v>333.3333333</v>
      </c>
      <c r="H7" s="193">
        <f>C7/10</f>
        <v>1</v>
      </c>
      <c r="I7" s="15">
        <v>4.0</v>
      </c>
      <c r="J7" s="16">
        <f>H7*G7/60</f>
        <v>5.555555556</v>
      </c>
      <c r="K7" s="16">
        <f>J7+I7</f>
        <v>9.555555556</v>
      </c>
      <c r="L7" s="17">
        <v>225.0</v>
      </c>
      <c r="M7" s="18">
        <f>L7/60</f>
        <v>3.75</v>
      </c>
      <c r="N7" s="18">
        <f>ROUNDUP(K7*M7,1)</f>
        <v>35.9</v>
      </c>
      <c r="O7" s="199">
        <f>G38</f>
        <v>22.91666667</v>
      </c>
      <c r="P7" s="200">
        <f>IF(N7&gt;O7, N7, O7)</f>
        <v>35.9</v>
      </c>
      <c r="Q7" s="19" t="s">
        <v>160</v>
      </c>
      <c r="R7" s="20">
        <v>1.0</v>
      </c>
      <c r="S7" s="21">
        <f>P7*R7</f>
        <v>35.9</v>
      </c>
      <c r="T7" s="22">
        <v>125.0</v>
      </c>
      <c r="U7" s="23">
        <v>0.02</v>
      </c>
      <c r="V7" s="21">
        <f>S7+T7</f>
        <v>160.9</v>
      </c>
      <c r="W7" s="18">
        <f>ROUNDUP(V7*U7,0)</f>
        <v>4</v>
      </c>
      <c r="X7" s="21">
        <f>V7+W7</f>
        <v>164.9</v>
      </c>
      <c r="Y7" s="24">
        <v>225.0</v>
      </c>
      <c r="Z7" s="25">
        <f>ROUNDDOWN(Y7/N7,0)</f>
        <v>6</v>
      </c>
    </row>
    <row r="10">
      <c r="A10" s="202" t="s">
        <v>161</v>
      </c>
      <c r="B10" s="197"/>
      <c r="C10" s="197"/>
      <c r="D10" s="197"/>
      <c r="E10" s="197"/>
      <c r="F10" s="197"/>
      <c r="G10" s="197"/>
      <c r="H10" s="197"/>
      <c r="I10" s="197"/>
      <c r="J10" s="2"/>
      <c r="K10" s="2"/>
      <c r="L10" s="2"/>
      <c r="M10" s="2"/>
      <c r="N10" s="2"/>
      <c r="O10" s="32"/>
      <c r="P10" s="32"/>
      <c r="Q10" s="3"/>
      <c r="R10" s="3"/>
      <c r="S10" s="4"/>
      <c r="T10" s="4"/>
      <c r="U10" s="4"/>
      <c r="V10" s="4"/>
      <c r="W10" s="5"/>
      <c r="X10" s="4"/>
      <c r="Y10" s="4"/>
      <c r="Z10" s="4"/>
    </row>
    <row r="11">
      <c r="A11" s="7" t="s">
        <v>1</v>
      </c>
      <c r="B11" s="7" t="s">
        <v>2</v>
      </c>
      <c r="C11" s="7" t="s">
        <v>3</v>
      </c>
      <c r="D11" s="7" t="s">
        <v>4</v>
      </c>
      <c r="E11" s="7" t="s">
        <v>5</v>
      </c>
      <c r="F11" s="7" t="s">
        <v>6</v>
      </c>
      <c r="G11" s="7" t="s">
        <v>7</v>
      </c>
      <c r="H11" s="7" t="s">
        <v>8</v>
      </c>
      <c r="I11" s="7" t="s">
        <v>9</v>
      </c>
      <c r="J11" s="7" t="s">
        <v>10</v>
      </c>
      <c r="K11" s="7" t="s">
        <v>11</v>
      </c>
      <c r="L11" s="7" t="s">
        <v>12</v>
      </c>
      <c r="M11" s="7" t="s">
        <v>13</v>
      </c>
      <c r="N11" s="131" t="s">
        <v>155</v>
      </c>
      <c r="O11" s="198" t="s">
        <v>156</v>
      </c>
      <c r="P11" s="198" t="s">
        <v>157</v>
      </c>
      <c r="Q11" s="108"/>
      <c r="R11" s="10" t="s">
        <v>15</v>
      </c>
      <c r="S11" s="11" t="s">
        <v>16</v>
      </c>
      <c r="T11" s="11" t="s">
        <v>17</v>
      </c>
      <c r="U11" s="10" t="s">
        <v>18</v>
      </c>
      <c r="V11" s="10" t="s">
        <v>19</v>
      </c>
      <c r="W11" s="12" t="s">
        <v>20</v>
      </c>
      <c r="X11" s="10" t="s">
        <v>21</v>
      </c>
      <c r="Y11" s="11" t="s">
        <v>22</v>
      </c>
      <c r="Z11" s="13" t="s">
        <v>23</v>
      </c>
    </row>
    <row r="12">
      <c r="A12" s="14">
        <v>8.0</v>
      </c>
      <c r="B12" s="14">
        <v>26.0</v>
      </c>
      <c r="C12" s="14">
        <v>90.0</v>
      </c>
      <c r="D12" s="15" t="s">
        <v>24</v>
      </c>
      <c r="E12" s="15">
        <v>0.05</v>
      </c>
      <c r="F12" s="193">
        <f>(A12+B12)*C12</f>
        <v>3060</v>
      </c>
      <c r="G12" s="193">
        <f>(A12+B12)/E12</f>
        <v>680</v>
      </c>
      <c r="H12" s="193">
        <f>C12/10</f>
        <v>9</v>
      </c>
      <c r="I12" s="15">
        <v>4.0</v>
      </c>
      <c r="J12" s="16">
        <f>H12*G12/60</f>
        <v>102</v>
      </c>
      <c r="K12" s="16">
        <f>J12+I12</f>
        <v>106</v>
      </c>
      <c r="L12" s="17">
        <v>225.0</v>
      </c>
      <c r="M12" s="18">
        <f>L12/60</f>
        <v>3.75</v>
      </c>
      <c r="N12" s="18">
        <f>ROUNDUP(K12*M12,1)</f>
        <v>397.5</v>
      </c>
      <c r="O12" s="199">
        <f>W37</f>
        <v>594.8</v>
      </c>
      <c r="P12" s="200">
        <f>IF(N12&gt;O12, N12, O12)</f>
        <v>594.8</v>
      </c>
      <c r="Q12" s="19" t="s">
        <v>158</v>
      </c>
      <c r="R12" s="20">
        <v>2.0</v>
      </c>
      <c r="S12" s="21">
        <f>P12*R12</f>
        <v>1189.6</v>
      </c>
      <c r="T12" s="22">
        <v>0.0</v>
      </c>
      <c r="U12" s="23">
        <v>0.02</v>
      </c>
      <c r="V12" s="21">
        <f>S12+T12</f>
        <v>1189.6</v>
      </c>
      <c r="W12" s="18">
        <f>ROUNDUP(V12*U12,0)</f>
        <v>24</v>
      </c>
      <c r="X12" s="21">
        <f>V12+W12</f>
        <v>1213.6</v>
      </c>
      <c r="Y12" s="24">
        <v>225.0</v>
      </c>
      <c r="Z12" s="25">
        <f>ROUNDDOWN(Y12/N12,0)</f>
        <v>0</v>
      </c>
    </row>
    <row r="13">
      <c r="A13" s="3"/>
      <c r="B13" s="3"/>
      <c r="C13" s="3">
        <v>2.0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Q13" s="27"/>
      <c r="R13" s="3"/>
      <c r="S13" s="28"/>
      <c r="T13" s="29"/>
      <c r="U13" s="30"/>
      <c r="V13" s="28"/>
      <c r="W13" s="31"/>
      <c r="X13" s="28"/>
      <c r="Y13" s="32"/>
      <c r="Z13" s="26"/>
    </row>
    <row r="14">
      <c r="A14" s="202" t="s">
        <v>162</v>
      </c>
      <c r="B14" s="197"/>
      <c r="C14" s="197"/>
      <c r="D14" s="197"/>
      <c r="E14" s="197"/>
      <c r="F14" s="197"/>
      <c r="G14" s="197"/>
      <c r="H14" s="197"/>
      <c r="I14" s="197"/>
      <c r="J14" s="2"/>
      <c r="K14" s="2"/>
      <c r="L14" s="2"/>
      <c r="M14" s="2"/>
      <c r="N14" s="2"/>
      <c r="O14" s="32"/>
      <c r="P14" s="32"/>
      <c r="Q14" s="3"/>
      <c r="R14" s="3"/>
      <c r="S14" s="4"/>
      <c r="T14" s="4"/>
      <c r="U14" s="4"/>
      <c r="V14" s="4"/>
      <c r="W14" s="5"/>
      <c r="X14" s="4"/>
      <c r="Y14" s="4"/>
      <c r="Z14" s="4"/>
    </row>
    <row r="15">
      <c r="A15" s="7" t="s">
        <v>1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131" t="s">
        <v>155</v>
      </c>
      <c r="O15" s="198" t="s">
        <v>156</v>
      </c>
      <c r="P15" s="198" t="s">
        <v>157</v>
      </c>
      <c r="Q15" s="108"/>
      <c r="R15" s="10" t="s">
        <v>15</v>
      </c>
      <c r="S15" s="11" t="s">
        <v>16</v>
      </c>
      <c r="T15" s="11" t="s">
        <v>17</v>
      </c>
      <c r="U15" s="10" t="s">
        <v>18</v>
      </c>
      <c r="V15" s="10" t="s">
        <v>19</v>
      </c>
      <c r="W15" s="12" t="s">
        <v>20</v>
      </c>
      <c r="X15" s="10" t="s">
        <v>21</v>
      </c>
      <c r="Y15" s="11" t="s">
        <v>22</v>
      </c>
      <c r="Z15" s="13" t="s">
        <v>23</v>
      </c>
    </row>
    <row r="16">
      <c r="A16" s="14">
        <v>5.0</v>
      </c>
      <c r="B16" s="14">
        <v>18.0</v>
      </c>
      <c r="C16" s="14">
        <v>90.0</v>
      </c>
      <c r="D16" s="15" t="s">
        <v>24</v>
      </c>
      <c r="E16" s="15">
        <v>0.04</v>
      </c>
      <c r="F16" s="193">
        <f>(A16+B16)*C16</f>
        <v>2070</v>
      </c>
      <c r="G16" s="193">
        <f>(A16+B16)/E16</f>
        <v>575</v>
      </c>
      <c r="H16" s="193">
        <f>C16/10</f>
        <v>9</v>
      </c>
      <c r="I16" s="15">
        <v>4.0</v>
      </c>
      <c r="J16" s="16">
        <f>H16*G16/60</f>
        <v>86.25</v>
      </c>
      <c r="K16" s="16">
        <f>J16+I16</f>
        <v>90.25</v>
      </c>
      <c r="L16" s="17">
        <v>225.0</v>
      </c>
      <c r="M16" s="18">
        <f>L16/60</f>
        <v>3.75</v>
      </c>
      <c r="N16" s="18">
        <f>ROUNDUP(K16*M16,1)</f>
        <v>338.5</v>
      </c>
      <c r="O16" s="199">
        <f>W38</f>
        <v>286</v>
      </c>
      <c r="P16" s="200">
        <f>IF(N16&gt;O16, N16, O16)</f>
        <v>338.5</v>
      </c>
      <c r="Q16" s="19" t="s">
        <v>160</v>
      </c>
      <c r="R16" s="20">
        <v>2.0</v>
      </c>
      <c r="S16" s="21">
        <f>P16*R16</f>
        <v>677</v>
      </c>
      <c r="T16" s="22">
        <v>125.0</v>
      </c>
      <c r="U16" s="23">
        <v>0.02</v>
      </c>
      <c r="V16" s="21">
        <f>S16+T16</f>
        <v>802</v>
      </c>
      <c r="W16" s="18">
        <f>ROUNDUP(V16*U16,0)</f>
        <v>17</v>
      </c>
      <c r="X16" s="21">
        <f>V16+W16</f>
        <v>819</v>
      </c>
      <c r="Y16" s="24">
        <v>225.0</v>
      </c>
      <c r="Z16" s="25">
        <f>ROUNDDOWN(Y16/N16,0)</f>
        <v>0</v>
      </c>
    </row>
    <row r="21" ht="15.75" customHeight="1"/>
    <row r="22" ht="15.75" customHeight="1"/>
    <row r="23" ht="15.75" customHeight="1"/>
    <row r="24" ht="15.75" customHeight="1">
      <c r="A24" s="133" t="s">
        <v>28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134"/>
      <c r="S24" s="135"/>
      <c r="T24" s="136"/>
      <c r="U24" s="134"/>
      <c r="V24" s="137"/>
      <c r="W24" s="134"/>
      <c r="X24" s="84"/>
      <c r="Y24" s="138"/>
    </row>
    <row r="25" ht="15.75" customHeight="1">
      <c r="A25" s="40" t="s">
        <v>29</v>
      </c>
      <c r="B25" s="40" t="s">
        <v>3</v>
      </c>
      <c r="C25" s="7" t="s">
        <v>4</v>
      </c>
      <c r="D25" s="40" t="s">
        <v>5</v>
      </c>
      <c r="E25" s="41" t="s">
        <v>30</v>
      </c>
      <c r="F25" s="40" t="s">
        <v>31</v>
      </c>
      <c r="G25" s="40" t="s">
        <v>32</v>
      </c>
      <c r="H25" s="40" t="s">
        <v>33</v>
      </c>
      <c r="I25" s="40" t="s">
        <v>34</v>
      </c>
      <c r="J25" s="40" t="s">
        <v>35</v>
      </c>
      <c r="K25" s="7" t="s">
        <v>12</v>
      </c>
      <c r="L25" s="7" t="s">
        <v>13</v>
      </c>
      <c r="M25" s="42" t="s">
        <v>36</v>
      </c>
      <c r="N25" s="42"/>
      <c r="O25" s="42"/>
      <c r="P25" s="11"/>
      <c r="Q25" s="10" t="s">
        <v>15</v>
      </c>
      <c r="R25" s="43" t="s">
        <v>16</v>
      </c>
      <c r="S25" s="44" t="s">
        <v>17</v>
      </c>
      <c r="T25" s="45" t="s">
        <v>18</v>
      </c>
      <c r="U25" s="43" t="s">
        <v>19</v>
      </c>
      <c r="V25" s="46" t="s">
        <v>20</v>
      </c>
      <c r="W25" s="43" t="s">
        <v>21</v>
      </c>
      <c r="X25" s="11" t="s">
        <v>22</v>
      </c>
      <c r="Y25" s="13" t="s">
        <v>23</v>
      </c>
    </row>
    <row r="26" ht="15.75" customHeight="1">
      <c r="A26" s="14">
        <v>2.0</v>
      </c>
      <c r="B26" s="14">
        <v>70.0</v>
      </c>
      <c r="C26" s="15" t="s">
        <v>24</v>
      </c>
      <c r="D26" s="47">
        <v>0.065</v>
      </c>
      <c r="E26" s="47">
        <f>A26*3.14</f>
        <v>6.28</v>
      </c>
      <c r="F26" s="48">
        <f>E26/D26</f>
        <v>96.61538462</v>
      </c>
      <c r="G26" s="47">
        <f>B26/10</f>
        <v>7</v>
      </c>
      <c r="H26" s="47">
        <v>3.5</v>
      </c>
      <c r="I26" s="16">
        <f>G26*F26/60</f>
        <v>11.27179487</v>
      </c>
      <c r="J26" s="49">
        <f>I26+H26</f>
        <v>14.77179487</v>
      </c>
      <c r="K26" s="17">
        <v>225.0</v>
      </c>
      <c r="L26" s="18">
        <f>K26/60</f>
        <v>3.75</v>
      </c>
      <c r="M26" s="21">
        <f>ROUNDUP(J26*L26,1)</f>
        <v>55.4</v>
      </c>
      <c r="N26" s="142"/>
      <c r="O26" s="142"/>
      <c r="P26" s="106" t="s">
        <v>169</v>
      </c>
      <c r="Q26" s="20">
        <v>6.0</v>
      </c>
      <c r="R26" s="21">
        <f>M26+Q26</f>
        <v>61.4</v>
      </c>
      <c r="S26" s="22">
        <v>0.0</v>
      </c>
      <c r="T26" s="23">
        <v>0.02</v>
      </c>
      <c r="U26" s="21">
        <f>R26+S26</f>
        <v>61.4</v>
      </c>
      <c r="V26" s="18">
        <f>ROUNDUP(U26*T26,0)</f>
        <v>2</v>
      </c>
      <c r="W26" s="21">
        <f>U26+V26</f>
        <v>63.4</v>
      </c>
      <c r="X26" s="24">
        <v>225.0</v>
      </c>
      <c r="Y26" s="25">
        <f>ROUNDDOWN(X26/M26,0)</f>
        <v>4</v>
      </c>
    </row>
    <row r="27" ht="15.75" customHeight="1">
      <c r="A27" s="83"/>
      <c r="B27" s="84"/>
      <c r="C27" s="84"/>
      <c r="D27" s="84"/>
      <c r="E27" s="84"/>
      <c r="F27" s="84"/>
      <c r="G27" s="85"/>
    </row>
    <row r="28" ht="15.75" customHeight="1">
      <c r="A28" s="86"/>
      <c r="G28" s="88"/>
      <c r="Q28" s="83"/>
      <c r="R28" s="84"/>
      <c r="S28" s="84"/>
      <c r="T28" s="84"/>
      <c r="U28" s="84"/>
      <c r="V28" s="84"/>
      <c r="W28" s="85"/>
      <c r="Y28" s="54" t="s">
        <v>95</v>
      </c>
    </row>
    <row r="29" ht="15.75" customHeight="1">
      <c r="A29" s="86"/>
      <c r="G29" s="88"/>
      <c r="J29" s="83"/>
      <c r="K29" s="84"/>
      <c r="L29" s="203" t="s">
        <v>163</v>
      </c>
      <c r="M29" s="84"/>
      <c r="N29" s="84"/>
      <c r="O29" s="85"/>
      <c r="Q29" s="86"/>
      <c r="W29" s="88"/>
      <c r="Y29" s="54">
        <v>10000.0</v>
      </c>
    </row>
    <row r="30" ht="15.75" customHeight="1">
      <c r="A30" s="86" t="s">
        <v>59</v>
      </c>
      <c r="B30" s="54">
        <f>12^3</f>
        <v>1728</v>
      </c>
      <c r="C30" s="54" t="s">
        <v>60</v>
      </c>
      <c r="G30" s="88"/>
      <c r="J30" s="86"/>
      <c r="M30" s="54" t="s">
        <v>61</v>
      </c>
      <c r="N30" s="54">
        <v>62.42796</v>
      </c>
      <c r="O30" s="88"/>
      <c r="Q30" s="86" t="s">
        <v>59</v>
      </c>
      <c r="R30" s="54">
        <f>12^3</f>
        <v>1728</v>
      </c>
      <c r="S30" s="54" t="s">
        <v>60</v>
      </c>
      <c r="W30" s="88"/>
      <c r="Y30" s="54">
        <v>6000.0</v>
      </c>
    </row>
    <row r="31" ht="15.75" customHeight="1">
      <c r="A31" s="86"/>
      <c r="C31" s="54" t="s">
        <v>62</v>
      </c>
      <c r="E31" s="87">
        <v>495.0</v>
      </c>
      <c r="G31" s="88"/>
      <c r="J31" s="86" t="s">
        <v>63</v>
      </c>
      <c r="K31" s="54" t="s">
        <v>64</v>
      </c>
      <c r="L31" s="54" t="s">
        <v>65</v>
      </c>
      <c r="M31" s="54" t="s">
        <v>66</v>
      </c>
      <c r="O31" s="88"/>
      <c r="Q31" s="86"/>
      <c r="S31" s="54" t="s">
        <v>62</v>
      </c>
      <c r="U31" s="87">
        <v>305.0</v>
      </c>
      <c r="W31" s="88"/>
      <c r="Y31" s="54">
        <v>4000.0</v>
      </c>
    </row>
    <row r="32" ht="15.75" customHeight="1">
      <c r="A32" s="86"/>
      <c r="C32" s="54" t="s">
        <v>164</v>
      </c>
      <c r="E32" s="89">
        <v>0.14</v>
      </c>
      <c r="G32" s="88"/>
      <c r="J32" s="86" t="s">
        <v>69</v>
      </c>
      <c r="K32" s="54">
        <v>7075.0</v>
      </c>
      <c r="L32" s="54">
        <v>2.81</v>
      </c>
      <c r="M32" s="54">
        <f t="shared" ref="M32:M35" si="1">L32*$N$30</f>
        <v>175.4225676</v>
      </c>
      <c r="O32" s="88"/>
      <c r="Q32" s="86"/>
      <c r="S32" s="54" t="s">
        <v>164</v>
      </c>
      <c r="U32" s="89">
        <v>0.18</v>
      </c>
      <c r="W32" s="88"/>
    </row>
    <row r="33" ht="15.75" customHeight="1">
      <c r="A33" s="86"/>
      <c r="C33" s="54" t="s">
        <v>165</v>
      </c>
      <c r="E33" s="204">
        <v>0.16</v>
      </c>
      <c r="G33" s="88"/>
      <c r="J33" s="86" t="s">
        <v>69</v>
      </c>
      <c r="K33" s="54">
        <v>2219.0</v>
      </c>
      <c r="L33" s="54">
        <v>2.84</v>
      </c>
      <c r="M33" s="54">
        <f t="shared" si="1"/>
        <v>177.2954064</v>
      </c>
      <c r="O33" s="88"/>
      <c r="Q33" s="86"/>
      <c r="S33" s="54" t="s">
        <v>165</v>
      </c>
      <c r="U33" s="205">
        <v>0.2</v>
      </c>
      <c r="W33" s="88"/>
    </row>
    <row r="34" ht="15.75" customHeight="1">
      <c r="A34" s="86"/>
      <c r="G34" s="88"/>
      <c r="J34" s="86" t="s">
        <v>69</v>
      </c>
      <c r="K34" s="54">
        <v>6061.0</v>
      </c>
      <c r="L34" s="54">
        <v>2.7</v>
      </c>
      <c r="M34" s="54">
        <f t="shared" si="1"/>
        <v>168.555492</v>
      </c>
      <c r="O34" s="88"/>
      <c r="Q34" s="86"/>
      <c r="W34" s="88"/>
    </row>
    <row r="35" ht="15.75" customHeight="1">
      <c r="A35" s="86"/>
      <c r="G35" s="88"/>
      <c r="J35" s="86" t="s">
        <v>69</v>
      </c>
      <c r="K35" s="54">
        <v>7050.0</v>
      </c>
      <c r="L35" s="54">
        <v>2.83</v>
      </c>
      <c r="M35" s="54">
        <f t="shared" si="1"/>
        <v>176.6711268</v>
      </c>
      <c r="O35" s="88"/>
      <c r="Q35" s="86"/>
      <c r="W35" s="88"/>
    </row>
    <row r="36" ht="15.75" customHeight="1">
      <c r="A36" s="90" t="s">
        <v>70</v>
      </c>
      <c r="B36" s="91" t="s">
        <v>166</v>
      </c>
      <c r="C36" s="91" t="s">
        <v>72</v>
      </c>
      <c r="D36" s="91" t="s">
        <v>73</v>
      </c>
      <c r="E36" s="91" t="s">
        <v>74</v>
      </c>
      <c r="F36" s="91" t="s">
        <v>75</v>
      </c>
      <c r="G36" s="92" t="s">
        <v>76</v>
      </c>
      <c r="H36" s="91"/>
      <c r="I36" s="91"/>
      <c r="J36" s="90" t="s">
        <v>77</v>
      </c>
      <c r="K36" s="91"/>
      <c r="L36" s="91"/>
      <c r="M36" s="91">
        <v>494.21</v>
      </c>
      <c r="N36" s="91" t="s">
        <v>78</v>
      </c>
      <c r="O36" s="92"/>
      <c r="P36" s="91"/>
      <c r="Q36" s="90" t="s">
        <v>70</v>
      </c>
      <c r="R36" s="91" t="s">
        <v>166</v>
      </c>
      <c r="S36" s="91" t="s">
        <v>72</v>
      </c>
      <c r="T36" s="91" t="s">
        <v>73</v>
      </c>
      <c r="U36" s="91" t="s">
        <v>74</v>
      </c>
      <c r="V36" s="91" t="s">
        <v>75</v>
      </c>
      <c r="W36" s="92" t="s">
        <v>76</v>
      </c>
    </row>
    <row r="37" ht="15.75" customHeight="1">
      <c r="A37" s="93">
        <f t="shared" ref="A37:C37" si="2">A3</f>
        <v>3</v>
      </c>
      <c r="B37" s="50">
        <f t="shared" si="2"/>
        <v>55</v>
      </c>
      <c r="C37" s="50">
        <f t="shared" si="2"/>
        <v>59</v>
      </c>
      <c r="D37" s="54">
        <f t="shared" ref="D37:D41" si="5">A37*B37*C37</f>
        <v>9735</v>
      </c>
      <c r="E37" s="54">
        <f t="shared" ref="E37:E41" si="6">D37/$B$30</f>
        <v>5.633680556</v>
      </c>
      <c r="F37" s="54">
        <f t="shared" ref="F37:F41" si="7">E37*$E$31</f>
        <v>2788.671875</v>
      </c>
      <c r="G37" s="94">
        <f>F37*$E$32</f>
        <v>390.4140625</v>
      </c>
      <c r="J37" s="86" t="s">
        <v>79</v>
      </c>
      <c r="M37" s="54">
        <v>283.39</v>
      </c>
      <c r="N37" s="54" t="s">
        <v>80</v>
      </c>
      <c r="O37" s="88"/>
      <c r="Q37" s="93">
        <f t="shared" ref="Q37:S37" si="3">A12</f>
        <v>8</v>
      </c>
      <c r="R37" s="50">
        <f t="shared" si="3"/>
        <v>26</v>
      </c>
      <c r="S37" s="50">
        <f t="shared" si="3"/>
        <v>90</v>
      </c>
      <c r="T37" s="54">
        <f t="shared" ref="T37:T41" si="9">Q37*R37*S37</f>
        <v>18720</v>
      </c>
      <c r="U37" s="54">
        <f t="shared" ref="U37:U41" si="10">T37/$B$30</f>
        <v>10.83333333</v>
      </c>
      <c r="V37" s="54">
        <f t="shared" ref="V37:V38" si="11">U37*$U$31</f>
        <v>3304.166667</v>
      </c>
      <c r="W37" s="94">
        <f>ROUNDUP(V37*$U$32,1)</f>
        <v>594.8</v>
      </c>
    </row>
    <row r="38" ht="15.75" customHeight="1">
      <c r="A38" s="95">
        <f>+A7</f>
        <v>5</v>
      </c>
      <c r="B38" s="96">
        <f t="shared" ref="B38:C38" si="4">B7</f>
        <v>10</v>
      </c>
      <c r="C38" s="96">
        <f t="shared" si="4"/>
        <v>10</v>
      </c>
      <c r="D38" s="54">
        <f t="shared" si="5"/>
        <v>500</v>
      </c>
      <c r="E38" s="54">
        <f t="shared" si="6"/>
        <v>0.2893518519</v>
      </c>
      <c r="F38" s="54">
        <f t="shared" si="7"/>
        <v>143.2291667</v>
      </c>
      <c r="G38" s="97">
        <f>F38*$E$33</f>
        <v>22.91666667</v>
      </c>
      <c r="J38" s="86" t="s">
        <v>81</v>
      </c>
      <c r="M38" s="54">
        <v>490.0</v>
      </c>
      <c r="O38" s="88"/>
      <c r="Q38" s="95">
        <f t="shared" ref="Q38:S38" si="8">A16</f>
        <v>5</v>
      </c>
      <c r="R38" s="96">
        <f t="shared" si="8"/>
        <v>18</v>
      </c>
      <c r="S38" s="96">
        <f t="shared" si="8"/>
        <v>90</v>
      </c>
      <c r="T38" s="54">
        <f t="shared" si="9"/>
        <v>8100</v>
      </c>
      <c r="U38" s="54">
        <f t="shared" si="10"/>
        <v>4.6875</v>
      </c>
      <c r="V38" s="54">
        <f t="shared" si="11"/>
        <v>1429.6875</v>
      </c>
      <c r="W38" s="97">
        <f>ROUNDUP(V38*$U$33,1)</f>
        <v>286</v>
      </c>
    </row>
    <row r="39" ht="15.75" customHeight="1">
      <c r="A39" s="98">
        <v>5.625</v>
      </c>
      <c r="B39" s="99">
        <v>5.75</v>
      </c>
      <c r="C39" s="99">
        <v>9.0</v>
      </c>
      <c r="D39" s="54">
        <f t="shared" si="5"/>
        <v>291.09375</v>
      </c>
      <c r="E39" s="54">
        <f t="shared" si="6"/>
        <v>0.1684570313</v>
      </c>
      <c r="F39" s="54">
        <f t="shared" si="7"/>
        <v>83.38623047</v>
      </c>
      <c r="G39" s="100">
        <f t="shared" ref="G39:G41" si="12">F39*$E$32</f>
        <v>11.67407227</v>
      </c>
      <c r="J39" s="86" t="s">
        <v>82</v>
      </c>
      <c r="M39" s="54">
        <v>1204.41</v>
      </c>
      <c r="O39" s="88"/>
      <c r="Q39" s="98">
        <v>5.625</v>
      </c>
      <c r="R39" s="99">
        <v>5.75</v>
      </c>
      <c r="S39" s="99">
        <v>9.0</v>
      </c>
      <c r="T39" s="54">
        <f t="shared" si="9"/>
        <v>291.09375</v>
      </c>
      <c r="U39" s="54">
        <f t="shared" si="10"/>
        <v>0.1684570313</v>
      </c>
      <c r="V39" s="54">
        <f t="shared" ref="V39:V41" si="13">U39*$E$31</f>
        <v>83.38623047</v>
      </c>
      <c r="W39" s="100">
        <f t="shared" ref="W39:W41" si="14">V39*$E$32</f>
        <v>11.67407227</v>
      </c>
    </row>
    <row r="40" ht="15.75" customHeight="1">
      <c r="A40" s="101">
        <v>11.75</v>
      </c>
      <c r="B40" s="102">
        <v>5.75</v>
      </c>
      <c r="C40" s="102">
        <v>55.875</v>
      </c>
      <c r="D40" s="54">
        <f t="shared" si="5"/>
        <v>3775.054688</v>
      </c>
      <c r="E40" s="54">
        <f t="shared" si="6"/>
        <v>2.184638129</v>
      </c>
      <c r="F40" s="54">
        <f t="shared" si="7"/>
        <v>1081.395874</v>
      </c>
      <c r="G40" s="103">
        <f t="shared" si="12"/>
        <v>151.3954224</v>
      </c>
      <c r="J40" s="86" t="s">
        <v>83</v>
      </c>
      <c r="M40" s="54">
        <v>568.5</v>
      </c>
      <c r="O40" s="88"/>
      <c r="Q40" s="101">
        <v>11.75</v>
      </c>
      <c r="R40" s="102">
        <v>5.75</v>
      </c>
      <c r="S40" s="102">
        <v>55.875</v>
      </c>
      <c r="T40" s="54">
        <f t="shared" si="9"/>
        <v>3775.054688</v>
      </c>
      <c r="U40" s="54">
        <f t="shared" si="10"/>
        <v>2.184638129</v>
      </c>
      <c r="V40" s="54">
        <f t="shared" si="13"/>
        <v>1081.395874</v>
      </c>
      <c r="W40" s="103">
        <f t="shared" si="14"/>
        <v>151.3954224</v>
      </c>
    </row>
    <row r="41" ht="15.75" customHeight="1">
      <c r="A41" s="104">
        <v>10.0</v>
      </c>
      <c r="B41" s="105">
        <v>10.0</v>
      </c>
      <c r="C41" s="105">
        <v>10.0</v>
      </c>
      <c r="D41" s="106">
        <f t="shared" si="5"/>
        <v>1000</v>
      </c>
      <c r="E41" s="106">
        <f t="shared" si="6"/>
        <v>0.5787037037</v>
      </c>
      <c r="F41" s="106">
        <f t="shared" si="7"/>
        <v>286.4583333</v>
      </c>
      <c r="G41" s="107">
        <f t="shared" si="12"/>
        <v>40.10416667</v>
      </c>
      <c r="J41" s="167"/>
      <c r="K41" s="106"/>
      <c r="L41" s="106"/>
      <c r="M41" s="106"/>
      <c r="N41" s="106"/>
      <c r="O41" s="169"/>
      <c r="Q41" s="104">
        <v>10.0</v>
      </c>
      <c r="R41" s="105">
        <v>10.0</v>
      </c>
      <c r="S41" s="105">
        <v>10.0</v>
      </c>
      <c r="T41" s="106">
        <f t="shared" si="9"/>
        <v>1000</v>
      </c>
      <c r="U41" s="106">
        <f t="shared" si="10"/>
        <v>0.5787037037</v>
      </c>
      <c r="V41" s="106">
        <f t="shared" si="13"/>
        <v>286.4583333</v>
      </c>
      <c r="W41" s="107">
        <f t="shared" si="14"/>
        <v>40.10416667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3">
    <cfRule type="expression" dxfId="3" priority="1">
      <formula>$F$37&gt;$Y$29</formula>
    </cfRule>
  </conditionalFormatting>
  <conditionalFormatting sqref="P7">
    <cfRule type="expression" dxfId="3" priority="2">
      <formula>$F$38&gt;$Y$29</formula>
    </cfRule>
  </conditionalFormatting>
  <conditionalFormatting sqref="P12">
    <cfRule type="expression" dxfId="3" priority="3">
      <formula>$V$37&gt;$Y$29</formula>
    </cfRule>
  </conditionalFormatting>
  <conditionalFormatting sqref="P12">
    <cfRule type="expression" dxfId="2" priority="4">
      <formula>$V$37&gt;$Y$29</formula>
    </cfRule>
  </conditionalFormatting>
  <conditionalFormatting sqref="P16">
    <cfRule type="expression" dxfId="3" priority="5">
      <formula>$V$38&gt;$Y$29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4" width="8.71"/>
    <col customWidth="1" min="5" max="5" width="8.71"/>
    <col customWidth="1" hidden="1" min="6" max="8" width="9.14"/>
    <col customWidth="1" min="9" max="9" width="8.71"/>
    <col customWidth="1" hidden="1" min="10" max="13" width="9.14"/>
    <col customWidth="1" min="14" max="16" width="8.71"/>
    <col customWidth="1" min="17" max="17" width="10.29"/>
    <col customWidth="1" min="18" max="23" width="8.71"/>
    <col customWidth="1" min="24" max="24" width="14.86"/>
    <col customWidth="1" min="25" max="25" width="11.29"/>
    <col customWidth="1" min="26" max="27" width="8.71"/>
    <col customWidth="1" min="28" max="28" width="10.29"/>
    <col customWidth="1" min="29" max="29" width="8.71"/>
    <col customWidth="1" min="30" max="30" width="10.29"/>
    <col customWidth="1" min="31" max="32" width="8.71"/>
  </cols>
  <sheetData>
    <row r="1">
      <c r="A1" s="3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34"/>
      <c r="Q1" s="34"/>
      <c r="R1" s="145"/>
      <c r="S1" s="145"/>
      <c r="T1" s="145"/>
      <c r="U1" s="145"/>
      <c r="V1" s="290"/>
      <c r="W1" s="145"/>
      <c r="X1" s="145"/>
      <c r="Y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0" t="s">
        <v>144</v>
      </c>
      <c r="R2" s="11" t="s">
        <v>16</v>
      </c>
      <c r="S2" s="11" t="s">
        <v>17</v>
      </c>
      <c r="T2" s="10" t="s">
        <v>18</v>
      </c>
      <c r="U2" s="10" t="s">
        <v>19</v>
      </c>
      <c r="V2" s="12" t="s">
        <v>20</v>
      </c>
      <c r="W2" s="10" t="s">
        <v>21</v>
      </c>
      <c r="X2" s="11" t="s">
        <v>22</v>
      </c>
      <c r="Y2" s="13" t="s">
        <v>23</v>
      </c>
    </row>
    <row r="3">
      <c r="A3" s="14">
        <v>3.938</v>
      </c>
      <c r="B3" s="14">
        <v>3.782</v>
      </c>
      <c r="C3" s="14">
        <v>70.0</v>
      </c>
      <c r="D3" s="193" t="s">
        <v>24</v>
      </c>
      <c r="E3" s="15">
        <v>0.125</v>
      </c>
      <c r="F3" s="193">
        <f>(A3+B3)*C3</f>
        <v>540.4</v>
      </c>
      <c r="G3" s="193">
        <f>(A3+B3)/E3</f>
        <v>61.76</v>
      </c>
      <c r="H3" s="193">
        <f>C3/10</f>
        <v>7</v>
      </c>
      <c r="I3" s="15">
        <v>3.5</v>
      </c>
      <c r="J3" s="291">
        <f>H3*G3/60</f>
        <v>7.205333333</v>
      </c>
      <c r="K3" s="291">
        <f>J3+I3</f>
        <v>10.70533333</v>
      </c>
      <c r="L3" s="194">
        <v>225.0</v>
      </c>
      <c r="M3" s="195">
        <f>L3/60</f>
        <v>3.75</v>
      </c>
      <c r="N3" s="18">
        <f>ROUNDUP(K3*M3,1)</f>
        <v>40.2</v>
      </c>
      <c r="O3" s="19" t="s">
        <v>312</v>
      </c>
      <c r="P3" s="20">
        <v>13.0</v>
      </c>
      <c r="Q3" s="171">
        <f>N3*P3</f>
        <v>522.6</v>
      </c>
      <c r="R3" s="21">
        <f>IF(Q3&gt;X3, Q3, X3)</f>
        <v>522.6</v>
      </c>
      <c r="S3" s="22">
        <v>0.0</v>
      </c>
      <c r="T3" s="23">
        <v>0.0</v>
      </c>
      <c r="U3" s="21">
        <f>R3+S3</f>
        <v>522.6</v>
      </c>
      <c r="V3" s="18">
        <v>0.0</v>
      </c>
      <c r="W3" s="21">
        <f>U3+V3</f>
        <v>522.6</v>
      </c>
      <c r="X3" s="24">
        <v>225.0</v>
      </c>
      <c r="Y3" s="25">
        <f>ROUNDDOWN(X3/N3,0)</f>
        <v>5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3"/>
      <c r="R4" s="28"/>
      <c r="S4" s="29"/>
      <c r="T4" s="30"/>
      <c r="U4" s="28"/>
      <c r="V4" s="31"/>
      <c r="W4" s="28"/>
      <c r="X4" s="32"/>
      <c r="Y4" s="26"/>
    </row>
    <row r="5">
      <c r="A5" s="3"/>
      <c r="B5" s="33" t="s">
        <v>28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5"/>
      <c r="S5" s="36"/>
      <c r="T5" s="37"/>
      <c r="U5" s="35"/>
      <c r="V5" s="38"/>
      <c r="W5" s="35"/>
      <c r="X5" s="34"/>
      <c r="Y5" s="39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10" t="s">
        <v>144</v>
      </c>
      <c r="R6" s="43" t="s">
        <v>16</v>
      </c>
      <c r="S6" s="44" t="s">
        <v>17</v>
      </c>
      <c r="T6" s="45" t="s">
        <v>18</v>
      </c>
      <c r="U6" s="43" t="s">
        <v>19</v>
      </c>
      <c r="V6" s="46" t="s">
        <v>20</v>
      </c>
      <c r="W6" s="43" t="s">
        <v>21</v>
      </c>
      <c r="X6" s="11" t="s">
        <v>22</v>
      </c>
      <c r="Y6" s="13" t="s">
        <v>23</v>
      </c>
    </row>
    <row r="7">
      <c r="A7" s="3"/>
      <c r="B7" s="14">
        <v>5.0</v>
      </c>
      <c r="C7" s="14">
        <v>1.25</v>
      </c>
      <c r="D7" s="193" t="s">
        <v>24</v>
      </c>
      <c r="E7" s="47">
        <v>0.125</v>
      </c>
      <c r="F7" s="47">
        <f>B7*3.14</f>
        <v>15.7</v>
      </c>
      <c r="G7" s="48">
        <f>F7/E7</f>
        <v>125.6</v>
      </c>
      <c r="H7" s="47">
        <f>C7/10</f>
        <v>0.125</v>
      </c>
      <c r="I7" s="47">
        <v>3.0</v>
      </c>
      <c r="J7" s="16">
        <f>H7*G7/60</f>
        <v>0.2616666667</v>
      </c>
      <c r="K7" s="49">
        <f>J7+I7</f>
        <v>3.261666667</v>
      </c>
      <c r="L7" s="194">
        <v>225.0</v>
      </c>
      <c r="M7" s="195">
        <f>L7/60</f>
        <v>3.75</v>
      </c>
      <c r="N7" s="21">
        <f>ROUNDUP(K7*M7,1)</f>
        <v>12.3</v>
      </c>
      <c r="O7" s="3" t="s">
        <v>312</v>
      </c>
      <c r="P7" s="20">
        <v>2.0</v>
      </c>
      <c r="Q7" s="171">
        <f>N7*P7</f>
        <v>24.6</v>
      </c>
      <c r="R7" s="21">
        <f>N7*P7</f>
        <v>24.6</v>
      </c>
      <c r="S7" s="22">
        <v>0.0</v>
      </c>
      <c r="T7" s="23">
        <v>0.02</v>
      </c>
      <c r="U7" s="21">
        <f>IF(R7&gt;X7, R7, X7)</f>
        <v>225</v>
      </c>
      <c r="V7" s="18">
        <f>ROUNDUP(U7*T7,0)</f>
        <v>5</v>
      </c>
      <c r="W7" s="21">
        <f>U7+V7</f>
        <v>230</v>
      </c>
      <c r="X7" s="24">
        <v>225.0</v>
      </c>
      <c r="Y7" s="25">
        <f>ROUNDDOWN(X7/N7,0)</f>
        <v>18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6"/>
      <c r="W8" s="3"/>
      <c r="X8" s="3"/>
      <c r="Y8" s="3"/>
    </row>
    <row r="9">
      <c r="A9" s="1" t="s">
        <v>101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2"/>
      <c r="W9" s="3"/>
      <c r="X9" s="3"/>
      <c r="Y9" s="4"/>
      <c r="Z9" s="4"/>
      <c r="AA9" s="4"/>
      <c r="AB9" s="4"/>
      <c r="AC9" s="5"/>
      <c r="AD9" s="4"/>
      <c r="AE9" s="4"/>
      <c r="AF9" s="6"/>
    </row>
    <row r="10">
      <c r="A10" s="7" t="s">
        <v>102</v>
      </c>
      <c r="B10" s="7" t="s">
        <v>103</v>
      </c>
      <c r="C10" s="7" t="s">
        <v>87</v>
      </c>
      <c r="D10" s="130" t="s">
        <v>4</v>
      </c>
      <c r="E10" s="7" t="s">
        <v>5</v>
      </c>
      <c r="F10" s="130" t="s">
        <v>104</v>
      </c>
      <c r="G10" s="130" t="s">
        <v>30</v>
      </c>
      <c r="H10" s="7" t="s">
        <v>105</v>
      </c>
      <c r="I10" s="130" t="s">
        <v>9</v>
      </c>
      <c r="J10" s="130" t="s">
        <v>106</v>
      </c>
      <c r="K10" s="130" t="s">
        <v>107</v>
      </c>
      <c r="L10" s="130" t="s">
        <v>108</v>
      </c>
      <c r="M10" s="130" t="s">
        <v>109</v>
      </c>
      <c r="N10" s="130" t="s">
        <v>110</v>
      </c>
      <c r="O10" s="130" t="s">
        <v>111</v>
      </c>
      <c r="P10" s="130" t="s">
        <v>112</v>
      </c>
      <c r="Q10" s="130" t="s">
        <v>113</v>
      </c>
      <c r="R10" s="130" t="s">
        <v>11</v>
      </c>
      <c r="S10" s="130" t="s">
        <v>12</v>
      </c>
      <c r="T10" s="130" t="s">
        <v>13</v>
      </c>
      <c r="U10" s="131" t="s">
        <v>114</v>
      </c>
      <c r="V10" s="131"/>
      <c r="W10" s="132"/>
      <c r="X10" s="10" t="s">
        <v>15</v>
      </c>
      <c r="Y10" s="11" t="s">
        <v>16</v>
      </c>
      <c r="Z10" s="11" t="s">
        <v>17</v>
      </c>
      <c r="AA10" s="10" t="s">
        <v>18</v>
      </c>
      <c r="AB10" s="10" t="s">
        <v>19</v>
      </c>
      <c r="AC10" s="12" t="s">
        <v>20</v>
      </c>
      <c r="AD10" s="10" t="s">
        <v>21</v>
      </c>
      <c r="AE10" s="11" t="s">
        <v>22</v>
      </c>
      <c r="AF10" s="13" t="s">
        <v>23</v>
      </c>
    </row>
    <row r="11">
      <c r="A11" s="14">
        <v>12.5</v>
      </c>
      <c r="B11" s="14">
        <v>6.88</v>
      </c>
      <c r="C11" s="14">
        <v>16.75</v>
      </c>
      <c r="D11" s="15" t="s">
        <v>24</v>
      </c>
      <c r="E11" s="15">
        <v>0.1</v>
      </c>
      <c r="F11" s="15">
        <f>(A11-B11)/2</f>
        <v>2.81</v>
      </c>
      <c r="G11" s="15">
        <f>A11*3.14159265359</f>
        <v>39.26990817</v>
      </c>
      <c r="H11" s="15">
        <v>3.14159265359</v>
      </c>
      <c r="I11" s="15">
        <v>5.0</v>
      </c>
      <c r="J11" s="15">
        <f>(A11+B11)*C11</f>
        <v>324.615</v>
      </c>
      <c r="K11" s="15">
        <f>F11*G11</f>
        <v>110.348442</v>
      </c>
      <c r="L11" s="15">
        <f>C11/E11</f>
        <v>167.5</v>
      </c>
      <c r="M11" s="15">
        <f>F11/E11</f>
        <v>28.1</v>
      </c>
      <c r="N11" s="15">
        <f>G11/10</f>
        <v>3.926990817</v>
      </c>
      <c r="O11" s="15">
        <f>G11/10</f>
        <v>3.926990817</v>
      </c>
      <c r="P11" s="16">
        <f t="shared" ref="P11:Q11" si="1">N11*L11/60</f>
        <v>10.96284936</v>
      </c>
      <c r="Q11" s="16">
        <f t="shared" si="1"/>
        <v>1.839140699</v>
      </c>
      <c r="R11" s="16">
        <f>P11+I11+Q11</f>
        <v>17.80199006</v>
      </c>
      <c r="S11" s="17">
        <v>225.0</v>
      </c>
      <c r="T11" s="18">
        <f>S11/60</f>
        <v>3.75</v>
      </c>
      <c r="U11" s="18">
        <f>ROUNDUP(R11*T11,1)</f>
        <v>66.8</v>
      </c>
      <c r="V11" s="18"/>
      <c r="W11" s="48" t="s">
        <v>115</v>
      </c>
      <c r="X11" s="20">
        <v>30.0</v>
      </c>
      <c r="Y11" s="21">
        <f>U11*X11</f>
        <v>2004</v>
      </c>
      <c r="Z11" s="22">
        <v>0.0</v>
      </c>
      <c r="AA11" s="23">
        <v>0.0</v>
      </c>
      <c r="AB11" s="21">
        <f>Y11+Z11</f>
        <v>2004</v>
      </c>
      <c r="AC11" s="18">
        <f>ROUNDUP(AB11*AA11,0)</f>
        <v>0</v>
      </c>
      <c r="AD11" s="21">
        <f>AB11+AC11</f>
        <v>2004</v>
      </c>
      <c r="AE11" s="24">
        <v>225.0</v>
      </c>
      <c r="AF11" s="25">
        <f>ROUNDDOWN(AE11/U11,0)</f>
        <v>3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92"/>
      <c r="V12" s="309" t="s">
        <v>291</v>
      </c>
      <c r="W12" s="303"/>
      <c r="X12" s="303"/>
      <c r="Y12" s="3"/>
    </row>
    <row r="13">
      <c r="A13" s="83"/>
      <c r="B13" s="164" t="s">
        <v>126</v>
      </c>
      <c r="C13" s="8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83"/>
      <c r="P13" s="84"/>
      <c r="Q13" s="164" t="s">
        <v>127</v>
      </c>
      <c r="R13" s="85"/>
      <c r="U13" s="295"/>
      <c r="V13" s="296" t="s">
        <v>292</v>
      </c>
      <c r="W13" s="84"/>
      <c r="X13" s="84"/>
      <c r="Y13" s="297">
        <f>N3</f>
        <v>40.2</v>
      </c>
    </row>
    <row r="14">
      <c r="A14" s="86" t="s">
        <v>22</v>
      </c>
      <c r="C14" s="215">
        <v>225.0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86" t="s">
        <v>128</v>
      </c>
      <c r="R14" s="88"/>
      <c r="V14" s="298" t="s">
        <v>293</v>
      </c>
      <c r="W14" s="3"/>
      <c r="Y14" s="299">
        <f>P3</f>
        <v>13</v>
      </c>
    </row>
    <row r="15">
      <c r="A15" s="86" t="s">
        <v>129</v>
      </c>
      <c r="C15" s="215" t="s">
        <v>143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86" t="s">
        <v>130</v>
      </c>
      <c r="R15" s="88"/>
      <c r="V15" s="298" t="s">
        <v>294</v>
      </c>
      <c r="W15" s="3"/>
      <c r="Y15" s="300">
        <f>U3</f>
        <v>522.6</v>
      </c>
    </row>
    <row r="16">
      <c r="A16" s="86" t="s">
        <v>20</v>
      </c>
      <c r="C16" s="166" t="s">
        <v>131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86"/>
      <c r="R16" s="88"/>
      <c r="V16" s="298" t="s">
        <v>295</v>
      </c>
      <c r="W16" s="3"/>
      <c r="Y16" s="300">
        <f>V3</f>
        <v>0</v>
      </c>
    </row>
    <row r="17">
      <c r="A17" s="86" t="s">
        <v>132</v>
      </c>
      <c r="C17" s="166" t="s">
        <v>133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86" t="s">
        <v>134</v>
      </c>
      <c r="R17" s="88"/>
      <c r="V17" s="298" t="s">
        <v>313</v>
      </c>
      <c r="Y17" s="310">
        <f>S3</f>
        <v>0</v>
      </c>
    </row>
    <row r="18">
      <c r="A18" s="167" t="s">
        <v>135</v>
      </c>
      <c r="B18" s="106"/>
      <c r="C18" s="168" t="s">
        <v>143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86" t="s">
        <v>137</v>
      </c>
      <c r="R18" s="88"/>
      <c r="V18" s="301" t="s">
        <v>296</v>
      </c>
      <c r="W18" s="106"/>
      <c r="X18" s="106"/>
      <c r="Y18" s="302">
        <f>W3</f>
        <v>522.6</v>
      </c>
    </row>
    <row r="19">
      <c r="A19" s="304" t="s">
        <v>298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86"/>
      <c r="R19" s="88"/>
      <c r="V19" s="303" t="s">
        <v>297</v>
      </c>
      <c r="W19" s="303"/>
      <c r="X19" s="30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86" t="s">
        <v>138</v>
      </c>
      <c r="R20" s="88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67" t="s">
        <v>139</v>
      </c>
      <c r="P21" s="106"/>
      <c r="Q21" s="106"/>
      <c r="R21" s="169"/>
      <c r="Y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86" t="s">
        <v>59</v>
      </c>
      <c r="B27" s="54">
        <f>12^3</f>
        <v>1728</v>
      </c>
      <c r="C27" s="54" t="s">
        <v>60</v>
      </c>
      <c r="G27" s="88"/>
      <c r="J27" s="83"/>
      <c r="K27" s="84"/>
      <c r="L27" s="203" t="s">
        <v>163</v>
      </c>
      <c r="M27" s="84"/>
      <c r="N27" s="84"/>
      <c r="O27" s="85"/>
    </row>
    <row r="28" ht="15.75" customHeight="1">
      <c r="A28" s="86"/>
      <c r="C28" s="54" t="s">
        <v>62</v>
      </c>
      <c r="E28" s="87">
        <v>305.0</v>
      </c>
      <c r="G28" s="88"/>
      <c r="J28" s="86"/>
      <c r="M28" s="54" t="s">
        <v>61</v>
      </c>
      <c r="N28" s="54">
        <v>62.42796</v>
      </c>
      <c r="O28" s="88"/>
    </row>
    <row r="29" ht="15.75" customHeight="1">
      <c r="A29" s="86"/>
      <c r="C29" s="54" t="s">
        <v>164</v>
      </c>
      <c r="E29" s="89">
        <v>0.18</v>
      </c>
      <c r="G29" s="88"/>
      <c r="J29" s="86" t="s">
        <v>63</v>
      </c>
      <c r="K29" s="54" t="s">
        <v>64</v>
      </c>
      <c r="L29" s="54" t="s">
        <v>65</v>
      </c>
      <c r="M29" s="54" t="s">
        <v>66</v>
      </c>
      <c r="O29" s="88"/>
    </row>
    <row r="30" ht="15.75" customHeight="1">
      <c r="A30" s="86"/>
      <c r="C30" s="54" t="s">
        <v>165</v>
      </c>
      <c r="E30" s="205">
        <v>0.2</v>
      </c>
      <c r="G30" s="88"/>
      <c r="J30" s="86" t="s">
        <v>69</v>
      </c>
      <c r="K30" s="54">
        <v>7075.0</v>
      </c>
      <c r="L30" s="54">
        <v>2.81</v>
      </c>
      <c r="M30" s="54">
        <f t="shared" ref="M30:M33" si="2">L30*$N$31</f>
        <v>0</v>
      </c>
      <c r="O30" s="88"/>
      <c r="Q30" s="54">
        <v>175.4225676</v>
      </c>
    </row>
    <row r="31" ht="15.75" customHeight="1">
      <c r="A31" s="86"/>
      <c r="G31" s="88"/>
      <c r="J31" s="86" t="s">
        <v>69</v>
      </c>
      <c r="K31" s="54">
        <v>2219.0</v>
      </c>
      <c r="L31" s="54">
        <v>2.84</v>
      </c>
      <c r="M31" s="54">
        <f t="shared" si="2"/>
        <v>0</v>
      </c>
      <c r="O31" s="88"/>
      <c r="Q31" s="54">
        <v>177.2954064</v>
      </c>
    </row>
    <row r="32" ht="15.75" customHeight="1">
      <c r="A32" s="86"/>
      <c r="G32" s="88"/>
      <c r="J32" s="86" t="s">
        <v>69</v>
      </c>
      <c r="K32" s="54">
        <v>6061.0</v>
      </c>
      <c r="L32" s="54">
        <v>2.7</v>
      </c>
      <c r="M32" s="54">
        <f t="shared" si="2"/>
        <v>0</v>
      </c>
      <c r="O32" s="88"/>
      <c r="Q32" s="54">
        <v>168.55549200000002</v>
      </c>
    </row>
    <row r="33" ht="15.75" customHeight="1">
      <c r="A33" s="90" t="s">
        <v>70</v>
      </c>
      <c r="B33" s="91" t="s">
        <v>166</v>
      </c>
      <c r="C33" s="91" t="s">
        <v>72</v>
      </c>
      <c r="D33" s="91" t="s">
        <v>73</v>
      </c>
      <c r="E33" s="91" t="s">
        <v>74</v>
      </c>
      <c r="F33" s="91" t="s">
        <v>75</v>
      </c>
      <c r="G33" s="92" t="s">
        <v>76</v>
      </c>
      <c r="J33" s="86" t="s">
        <v>69</v>
      </c>
      <c r="K33" s="54">
        <v>7050.0</v>
      </c>
      <c r="L33" s="54">
        <v>2.83</v>
      </c>
      <c r="M33" s="54">
        <f t="shared" si="2"/>
        <v>0</v>
      </c>
      <c r="O33" s="88"/>
      <c r="Q33" s="54">
        <v>176.6711268</v>
      </c>
    </row>
    <row r="34" ht="15.75" customHeight="1">
      <c r="A34" s="93" t="str">
        <f t="shared" ref="A34:C34" si="3">#REF!</f>
        <v>#REF!</v>
      </c>
      <c r="B34" s="50" t="str">
        <f t="shared" si="3"/>
        <v>#REF!</v>
      </c>
      <c r="C34" s="50" t="str">
        <f t="shared" si="3"/>
        <v>#REF!</v>
      </c>
      <c r="D34" s="54" t="str">
        <f t="shared" ref="D34:D38" si="5">A34*B34*C34</f>
        <v>#REF!</v>
      </c>
      <c r="E34" s="54" t="str">
        <f t="shared" ref="E34:E38" si="6">D34/$B$31</f>
        <v>#REF!</v>
      </c>
      <c r="F34" s="54" t="str">
        <f t="shared" ref="F34:F35" si="7">E34*$U$32</f>
        <v>#REF!</v>
      </c>
      <c r="G34" s="94" t="str">
        <f>ROUNDUP(F34*$U$33,1)</f>
        <v>#REF!</v>
      </c>
      <c r="J34" s="90" t="s">
        <v>77</v>
      </c>
      <c r="K34" s="91"/>
      <c r="L34" s="91"/>
      <c r="M34" s="91">
        <v>494.21</v>
      </c>
      <c r="N34" s="91" t="s">
        <v>78</v>
      </c>
      <c r="O34" s="92"/>
    </row>
    <row r="35" ht="15.75" customHeight="1">
      <c r="A35" s="95" t="str">
        <f t="shared" ref="A35:C35" si="4">#REF!</f>
        <v>#REF!</v>
      </c>
      <c r="B35" s="96" t="str">
        <f t="shared" si="4"/>
        <v>#REF!</v>
      </c>
      <c r="C35" s="96" t="str">
        <f t="shared" si="4"/>
        <v>#REF!</v>
      </c>
      <c r="D35" s="54" t="str">
        <f t="shared" si="5"/>
        <v>#REF!</v>
      </c>
      <c r="E35" s="54" t="str">
        <f t="shared" si="6"/>
        <v>#REF!</v>
      </c>
      <c r="F35" s="54" t="str">
        <f t="shared" si="7"/>
        <v>#REF!</v>
      </c>
      <c r="G35" s="97" t="str">
        <f>ROUNDUP(F35*$U$34,1)</f>
        <v>#REF!</v>
      </c>
      <c r="J35" s="86" t="s">
        <v>79</v>
      </c>
      <c r="M35" s="54">
        <v>283.39</v>
      </c>
      <c r="N35" s="54" t="s">
        <v>80</v>
      </c>
      <c r="O35" s="88"/>
    </row>
    <row r="36" ht="15.75" customHeight="1">
      <c r="A36" s="98">
        <v>5.625</v>
      </c>
      <c r="B36" s="99">
        <v>5.75</v>
      </c>
      <c r="C36" s="99">
        <v>9.0</v>
      </c>
      <c r="D36" s="54">
        <f t="shared" si="5"/>
        <v>291.09375</v>
      </c>
      <c r="E36" s="54" t="str">
        <f t="shared" si="6"/>
        <v>#DIV/0!</v>
      </c>
      <c r="F36" s="54" t="str">
        <f t="shared" ref="F36:F38" si="8">E36*$E$32</f>
        <v>#DIV/0!</v>
      </c>
      <c r="G36" s="100" t="str">
        <f t="shared" ref="G36:G38" si="9">F36*$E$33</f>
        <v>#DIV/0!</v>
      </c>
      <c r="J36" s="86" t="s">
        <v>81</v>
      </c>
      <c r="M36" s="54">
        <v>490.0</v>
      </c>
      <c r="O36" s="88"/>
    </row>
    <row r="37" ht="15.75" customHeight="1">
      <c r="A37" s="101">
        <v>11.75</v>
      </c>
      <c r="B37" s="102">
        <v>5.75</v>
      </c>
      <c r="C37" s="102">
        <v>55.875</v>
      </c>
      <c r="D37" s="54">
        <f t="shared" si="5"/>
        <v>3775.054688</v>
      </c>
      <c r="E37" s="54" t="str">
        <f t="shared" si="6"/>
        <v>#DIV/0!</v>
      </c>
      <c r="F37" s="54" t="str">
        <f t="shared" si="8"/>
        <v>#DIV/0!</v>
      </c>
      <c r="G37" s="103" t="str">
        <f t="shared" si="9"/>
        <v>#DIV/0!</v>
      </c>
      <c r="J37" s="86" t="s">
        <v>82</v>
      </c>
      <c r="M37" s="54">
        <v>1204.41</v>
      </c>
      <c r="O37" s="88"/>
    </row>
    <row r="38" ht="15.75" customHeight="1">
      <c r="A38" s="104">
        <v>10.0</v>
      </c>
      <c r="B38" s="105">
        <v>10.0</v>
      </c>
      <c r="C38" s="105">
        <v>10.0</v>
      </c>
      <c r="D38" s="106">
        <f t="shared" si="5"/>
        <v>1000</v>
      </c>
      <c r="E38" s="106" t="str">
        <f t="shared" si="6"/>
        <v>#DIV/0!</v>
      </c>
      <c r="F38" s="106" t="str">
        <f t="shared" si="8"/>
        <v>#DIV/0!</v>
      </c>
      <c r="G38" s="107" t="str">
        <f t="shared" si="9"/>
        <v>#DIV/0!</v>
      </c>
      <c r="J38" s="86" t="s">
        <v>83</v>
      </c>
      <c r="M38" s="54">
        <v>568.5</v>
      </c>
      <c r="O38" s="88"/>
    </row>
    <row r="39" ht="15.75" customHeight="1">
      <c r="J39" s="167"/>
      <c r="K39" s="106"/>
      <c r="L39" s="106"/>
      <c r="M39" s="106"/>
      <c r="N39" s="106"/>
      <c r="O39" s="16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3.71"/>
    <col customWidth="1" hidden="1" min="2" max="2" width="8.71"/>
    <col customWidth="1" min="3" max="4" width="8.71"/>
    <col customWidth="1" hidden="1" min="5" max="10" width="8.71"/>
    <col customWidth="1" min="11" max="11" width="13.57"/>
    <col customWidth="1" min="12" max="31" width="8.71"/>
  </cols>
  <sheetData>
    <row r="1">
      <c r="A1" s="311" t="s">
        <v>314</v>
      </c>
      <c r="B1" s="213"/>
      <c r="C1" s="213"/>
      <c r="D1" s="213"/>
      <c r="E1" s="213"/>
      <c r="F1" s="213"/>
      <c r="G1" s="213"/>
      <c r="H1" s="213"/>
      <c r="I1" s="213"/>
      <c r="J1" s="213"/>
      <c r="K1" s="214"/>
      <c r="N1" s="83"/>
      <c r="O1" s="164" t="s">
        <v>126</v>
      </c>
      <c r="P1" s="85"/>
      <c r="V1" s="83"/>
      <c r="W1" s="84"/>
      <c r="X1" s="84"/>
      <c r="Y1" s="84"/>
      <c r="Z1" s="84"/>
      <c r="AA1" s="164" t="s">
        <v>127</v>
      </c>
      <c r="AB1" s="84"/>
      <c r="AC1" s="84"/>
      <c r="AD1" s="84"/>
      <c r="AE1" s="85"/>
    </row>
    <row r="2">
      <c r="A2" s="7" t="s">
        <v>315</v>
      </c>
      <c r="B2" s="7" t="s">
        <v>5</v>
      </c>
      <c r="C2" s="7" t="s">
        <v>2</v>
      </c>
      <c r="D2" s="7" t="s">
        <v>3</v>
      </c>
      <c r="E2" s="7" t="s">
        <v>6</v>
      </c>
      <c r="F2" s="7" t="s">
        <v>7</v>
      </c>
      <c r="G2" s="7" t="s">
        <v>8</v>
      </c>
      <c r="H2" s="7" t="s">
        <v>10</v>
      </c>
      <c r="I2" s="7" t="s">
        <v>9</v>
      </c>
      <c r="J2" s="7" t="s">
        <v>11</v>
      </c>
      <c r="K2" s="8" t="s">
        <v>14</v>
      </c>
      <c r="N2" s="86" t="s">
        <v>22</v>
      </c>
      <c r="P2" s="165">
        <v>225.0</v>
      </c>
      <c r="V2" s="86" t="s">
        <v>128</v>
      </c>
      <c r="AE2" s="88"/>
    </row>
    <row r="3">
      <c r="A3" s="312">
        <v>4.0</v>
      </c>
      <c r="B3" s="313">
        <v>0.0495</v>
      </c>
      <c r="C3" s="14">
        <v>20.0</v>
      </c>
      <c r="D3" s="14">
        <v>100.0</v>
      </c>
      <c r="E3" s="313">
        <f>C3*D3</f>
        <v>2000</v>
      </c>
      <c r="F3" s="313">
        <f t="shared" ref="F3:F18" si="1">C3/B3</f>
        <v>404.040404</v>
      </c>
      <c r="G3" s="313">
        <f t="shared" ref="G3:G18" si="2">D3/10</f>
        <v>10</v>
      </c>
      <c r="H3" s="313">
        <f t="shared" ref="H3:H18" si="3">G3*F3/60</f>
        <v>67.34006734</v>
      </c>
      <c r="I3" s="313">
        <v>8.0</v>
      </c>
      <c r="J3" s="313">
        <f t="shared" ref="J3:J18" si="4">H3+I3</f>
        <v>75.34006734</v>
      </c>
      <c r="K3" s="225">
        <f t="shared" ref="K3:K18" si="5">J3* 2.92</f>
        <v>219.9929966</v>
      </c>
      <c r="N3" s="86" t="s">
        <v>129</v>
      </c>
      <c r="P3" s="165">
        <v>125.0</v>
      </c>
      <c r="V3" s="86" t="s">
        <v>130</v>
      </c>
      <c r="AE3" s="88"/>
    </row>
    <row r="4">
      <c r="A4" s="312">
        <v>3.75</v>
      </c>
      <c r="B4" s="313">
        <v>0.05</v>
      </c>
      <c r="C4" s="14">
        <v>20.0</v>
      </c>
      <c r="D4" s="14">
        <v>100.0</v>
      </c>
      <c r="E4" s="313">
        <v>150.0</v>
      </c>
      <c r="F4" s="313">
        <f t="shared" si="1"/>
        <v>400</v>
      </c>
      <c r="G4" s="313">
        <f t="shared" si="2"/>
        <v>10</v>
      </c>
      <c r="H4" s="313">
        <f t="shared" si="3"/>
        <v>66.66666667</v>
      </c>
      <c r="I4" s="313">
        <v>8.0</v>
      </c>
      <c r="J4" s="313">
        <f t="shared" si="4"/>
        <v>74.66666667</v>
      </c>
      <c r="K4" s="225">
        <f t="shared" si="5"/>
        <v>218.0266667</v>
      </c>
      <c r="N4" s="86" t="s">
        <v>20</v>
      </c>
      <c r="P4" s="88" t="s">
        <v>131</v>
      </c>
      <c r="V4" s="86"/>
      <c r="AE4" s="88"/>
    </row>
    <row r="5">
      <c r="A5" s="312">
        <v>3.5</v>
      </c>
      <c r="B5" s="313">
        <v>0.0525</v>
      </c>
      <c r="C5" s="14">
        <v>20.0</v>
      </c>
      <c r="D5" s="14">
        <v>100.0</v>
      </c>
      <c r="E5" s="313">
        <f t="shared" ref="E5:E9" si="6">C5*D5</f>
        <v>2000</v>
      </c>
      <c r="F5" s="313">
        <f t="shared" si="1"/>
        <v>380.952381</v>
      </c>
      <c r="G5" s="313">
        <f t="shared" si="2"/>
        <v>10</v>
      </c>
      <c r="H5" s="313">
        <f t="shared" si="3"/>
        <v>63.49206349</v>
      </c>
      <c r="I5" s="313">
        <v>8.0</v>
      </c>
      <c r="J5" s="313">
        <f t="shared" si="4"/>
        <v>71.49206349</v>
      </c>
      <c r="K5" s="225">
        <f t="shared" si="5"/>
        <v>208.7568254</v>
      </c>
      <c r="N5" s="86" t="s">
        <v>132</v>
      </c>
      <c r="P5" s="88" t="s">
        <v>133</v>
      </c>
      <c r="V5" s="86" t="s">
        <v>134</v>
      </c>
      <c r="AE5" s="88"/>
    </row>
    <row r="6">
      <c r="A6" s="312">
        <v>3.25</v>
      </c>
      <c r="B6" s="313">
        <v>0.055</v>
      </c>
      <c r="C6" s="14">
        <v>20.0</v>
      </c>
      <c r="D6" s="14">
        <v>100.0</v>
      </c>
      <c r="E6" s="313">
        <f t="shared" si="6"/>
        <v>2000</v>
      </c>
      <c r="F6" s="313">
        <f t="shared" si="1"/>
        <v>363.6363636</v>
      </c>
      <c r="G6" s="313">
        <f t="shared" si="2"/>
        <v>10</v>
      </c>
      <c r="H6" s="313">
        <f t="shared" si="3"/>
        <v>60.60606061</v>
      </c>
      <c r="I6" s="313">
        <v>8.0</v>
      </c>
      <c r="J6" s="313">
        <f t="shared" si="4"/>
        <v>68.60606061</v>
      </c>
      <c r="K6" s="225">
        <f t="shared" si="5"/>
        <v>200.329697</v>
      </c>
      <c r="N6" s="167" t="s">
        <v>135</v>
      </c>
      <c r="O6" s="106"/>
      <c r="P6" s="107">
        <v>150.0</v>
      </c>
      <c r="V6" s="86" t="s">
        <v>137</v>
      </c>
      <c r="AE6" s="88"/>
    </row>
    <row r="7">
      <c r="A7" s="312">
        <v>3.0</v>
      </c>
      <c r="B7" s="313">
        <v>0.0575</v>
      </c>
      <c r="C7" s="14">
        <v>25.0</v>
      </c>
      <c r="D7" s="14">
        <v>30.0</v>
      </c>
      <c r="E7" s="313">
        <f t="shared" si="6"/>
        <v>750</v>
      </c>
      <c r="F7" s="313">
        <f t="shared" si="1"/>
        <v>434.7826087</v>
      </c>
      <c r="G7" s="313">
        <f t="shared" si="2"/>
        <v>3</v>
      </c>
      <c r="H7" s="313">
        <f t="shared" si="3"/>
        <v>21.73913043</v>
      </c>
      <c r="I7" s="313">
        <v>8.0</v>
      </c>
      <c r="J7" s="313">
        <f t="shared" si="4"/>
        <v>29.73913043</v>
      </c>
      <c r="K7" s="225">
        <f t="shared" si="5"/>
        <v>86.83826087</v>
      </c>
      <c r="V7" s="86"/>
      <c r="AE7" s="88"/>
    </row>
    <row r="8">
      <c r="A8" s="314">
        <v>2.75</v>
      </c>
      <c r="B8" s="315">
        <v>0.06</v>
      </c>
      <c r="C8" s="316">
        <v>40.0</v>
      </c>
      <c r="D8" s="316">
        <v>75.0</v>
      </c>
      <c r="E8" s="315">
        <f t="shared" si="6"/>
        <v>3000</v>
      </c>
      <c r="F8" s="315">
        <f t="shared" si="1"/>
        <v>666.6666667</v>
      </c>
      <c r="G8" s="315">
        <f t="shared" si="2"/>
        <v>7.5</v>
      </c>
      <c r="H8" s="315">
        <f t="shared" si="3"/>
        <v>83.33333333</v>
      </c>
      <c r="I8" s="315">
        <v>8.0</v>
      </c>
      <c r="J8" s="315">
        <f t="shared" si="4"/>
        <v>91.33333333</v>
      </c>
      <c r="K8" s="317">
        <f t="shared" si="5"/>
        <v>266.6933333</v>
      </c>
      <c r="V8" s="86" t="s">
        <v>138</v>
      </c>
      <c r="AE8" s="88"/>
    </row>
    <row r="9">
      <c r="A9" s="312">
        <v>2.5</v>
      </c>
      <c r="B9" s="313">
        <v>0.065</v>
      </c>
      <c r="C9" s="14">
        <v>39.0</v>
      </c>
      <c r="D9" s="14">
        <v>56.0</v>
      </c>
      <c r="E9" s="313">
        <f t="shared" si="6"/>
        <v>2184</v>
      </c>
      <c r="F9" s="313">
        <f t="shared" si="1"/>
        <v>600</v>
      </c>
      <c r="G9" s="313">
        <f t="shared" si="2"/>
        <v>5.6</v>
      </c>
      <c r="H9" s="313">
        <f t="shared" si="3"/>
        <v>56</v>
      </c>
      <c r="I9" s="313">
        <v>8.0</v>
      </c>
      <c r="J9" s="313">
        <f t="shared" si="4"/>
        <v>64</v>
      </c>
      <c r="K9" s="225">
        <f t="shared" si="5"/>
        <v>186.88</v>
      </c>
      <c r="V9" s="167" t="s">
        <v>139</v>
      </c>
      <c r="W9" s="106"/>
      <c r="X9" s="106"/>
      <c r="Y9" s="106"/>
      <c r="Z9" s="106"/>
      <c r="AA9" s="106"/>
      <c r="AB9" s="106"/>
      <c r="AC9" s="106"/>
      <c r="AD9" s="106"/>
      <c r="AE9" s="169"/>
    </row>
    <row r="10">
      <c r="A10" s="318">
        <v>2.25</v>
      </c>
      <c r="B10" s="193">
        <v>0.07</v>
      </c>
      <c r="C10" s="14">
        <v>40.0</v>
      </c>
      <c r="D10" s="14">
        <v>64.0</v>
      </c>
      <c r="E10" s="193">
        <v>150.0</v>
      </c>
      <c r="F10" s="193">
        <f t="shared" si="1"/>
        <v>571.4285714</v>
      </c>
      <c r="G10" s="193">
        <f t="shared" si="2"/>
        <v>6.4</v>
      </c>
      <c r="H10" s="193">
        <f t="shared" si="3"/>
        <v>60.95238095</v>
      </c>
      <c r="I10" s="193">
        <v>8.0</v>
      </c>
      <c r="J10" s="193">
        <f t="shared" si="4"/>
        <v>68.95238095</v>
      </c>
      <c r="K10" s="225">
        <f t="shared" si="5"/>
        <v>201.3409524</v>
      </c>
    </row>
    <row r="11">
      <c r="A11" s="318">
        <v>2.0</v>
      </c>
      <c r="B11" s="193">
        <v>0.075</v>
      </c>
      <c r="C11" s="14">
        <v>39.0</v>
      </c>
      <c r="D11" s="14">
        <v>56.0</v>
      </c>
      <c r="E11" s="193">
        <f t="shared" ref="E11:E18" si="7">C11*D11</f>
        <v>2184</v>
      </c>
      <c r="F11" s="193">
        <f t="shared" si="1"/>
        <v>520</v>
      </c>
      <c r="G11" s="193">
        <f t="shared" si="2"/>
        <v>5.6</v>
      </c>
      <c r="H11" s="193">
        <f t="shared" si="3"/>
        <v>48.53333333</v>
      </c>
      <c r="I11" s="193">
        <v>8.0</v>
      </c>
      <c r="J11" s="193">
        <f t="shared" si="4"/>
        <v>56.53333333</v>
      </c>
      <c r="K11" s="225">
        <f t="shared" si="5"/>
        <v>165.0773333</v>
      </c>
    </row>
    <row r="12">
      <c r="A12" s="318">
        <v>1.75</v>
      </c>
      <c r="B12" s="193">
        <v>0.08</v>
      </c>
      <c r="C12" s="14">
        <v>18.25</v>
      </c>
      <c r="D12" s="14">
        <v>68.0</v>
      </c>
      <c r="E12" s="193">
        <f t="shared" si="7"/>
        <v>1241</v>
      </c>
      <c r="F12" s="193">
        <f t="shared" si="1"/>
        <v>228.125</v>
      </c>
      <c r="G12" s="193">
        <f t="shared" si="2"/>
        <v>6.8</v>
      </c>
      <c r="H12" s="193">
        <f t="shared" si="3"/>
        <v>25.85416667</v>
      </c>
      <c r="I12" s="193">
        <v>8.0</v>
      </c>
      <c r="J12" s="193">
        <f t="shared" si="4"/>
        <v>33.85416667</v>
      </c>
      <c r="K12" s="225">
        <f t="shared" si="5"/>
        <v>98.85416667</v>
      </c>
    </row>
    <row r="13">
      <c r="A13" s="319">
        <v>1.5</v>
      </c>
      <c r="B13" s="320">
        <v>0.085</v>
      </c>
      <c r="C13" s="14">
        <v>36.0</v>
      </c>
      <c r="D13" s="14">
        <v>96.0</v>
      </c>
      <c r="E13" s="320">
        <f t="shared" si="7"/>
        <v>3456</v>
      </c>
      <c r="F13" s="320">
        <f t="shared" si="1"/>
        <v>423.5294118</v>
      </c>
      <c r="G13" s="320">
        <f t="shared" si="2"/>
        <v>9.6</v>
      </c>
      <c r="H13" s="320">
        <f t="shared" si="3"/>
        <v>67.76470588</v>
      </c>
      <c r="I13" s="320">
        <v>8.0</v>
      </c>
      <c r="J13" s="320">
        <f t="shared" si="4"/>
        <v>75.76470588</v>
      </c>
      <c r="K13" s="225">
        <f t="shared" si="5"/>
        <v>221.2329412</v>
      </c>
    </row>
    <row r="14">
      <c r="A14" s="321">
        <v>1.25</v>
      </c>
      <c r="B14" s="322">
        <v>0.09</v>
      </c>
      <c r="C14" s="316">
        <v>40.0</v>
      </c>
      <c r="D14" s="316">
        <v>81.0</v>
      </c>
      <c r="E14" s="322">
        <f t="shared" si="7"/>
        <v>3240</v>
      </c>
      <c r="F14" s="322">
        <f t="shared" si="1"/>
        <v>444.4444444</v>
      </c>
      <c r="G14" s="322">
        <f t="shared" si="2"/>
        <v>8.1</v>
      </c>
      <c r="H14" s="322">
        <f t="shared" si="3"/>
        <v>60</v>
      </c>
      <c r="I14" s="322">
        <v>8.0</v>
      </c>
      <c r="J14" s="322">
        <f t="shared" si="4"/>
        <v>68</v>
      </c>
      <c r="K14" s="317">
        <f t="shared" si="5"/>
        <v>198.56</v>
      </c>
    </row>
    <row r="15">
      <c r="A15" s="319">
        <v>1.0</v>
      </c>
      <c r="B15" s="320">
        <v>0.095</v>
      </c>
      <c r="C15" s="14">
        <v>40.0</v>
      </c>
      <c r="D15" s="14">
        <v>73.0</v>
      </c>
      <c r="E15" s="320">
        <f t="shared" si="7"/>
        <v>2920</v>
      </c>
      <c r="F15" s="320">
        <f t="shared" si="1"/>
        <v>421.0526316</v>
      </c>
      <c r="G15" s="320">
        <f t="shared" si="2"/>
        <v>7.3</v>
      </c>
      <c r="H15" s="320">
        <f t="shared" si="3"/>
        <v>51.22807018</v>
      </c>
      <c r="I15" s="320">
        <v>8.0</v>
      </c>
      <c r="J15" s="320">
        <f t="shared" si="4"/>
        <v>59.22807018</v>
      </c>
      <c r="K15" s="225">
        <f t="shared" si="5"/>
        <v>172.9459649</v>
      </c>
    </row>
    <row r="16">
      <c r="A16" s="319">
        <v>0.75</v>
      </c>
      <c r="B16" s="320">
        <v>0.09</v>
      </c>
      <c r="C16" s="14">
        <v>39.0</v>
      </c>
      <c r="D16" s="14">
        <v>91.0</v>
      </c>
      <c r="E16" s="320">
        <f t="shared" si="7"/>
        <v>3549</v>
      </c>
      <c r="F16" s="320">
        <f t="shared" si="1"/>
        <v>433.3333333</v>
      </c>
      <c r="G16" s="320">
        <f t="shared" si="2"/>
        <v>9.1</v>
      </c>
      <c r="H16" s="320">
        <f t="shared" si="3"/>
        <v>65.72222222</v>
      </c>
      <c r="I16" s="320">
        <v>8.0</v>
      </c>
      <c r="J16" s="320">
        <f t="shared" si="4"/>
        <v>73.72222222</v>
      </c>
      <c r="K16" s="225">
        <f t="shared" si="5"/>
        <v>215.2688889</v>
      </c>
    </row>
    <row r="17">
      <c r="A17" s="319">
        <v>0.5</v>
      </c>
      <c r="B17" s="320">
        <v>0.085</v>
      </c>
      <c r="C17" s="14">
        <v>39.0</v>
      </c>
      <c r="D17" s="14">
        <v>117.0</v>
      </c>
      <c r="E17" s="320">
        <f t="shared" si="7"/>
        <v>4563</v>
      </c>
      <c r="F17" s="320">
        <f t="shared" si="1"/>
        <v>458.8235294</v>
      </c>
      <c r="G17" s="320">
        <f t="shared" si="2"/>
        <v>11.7</v>
      </c>
      <c r="H17" s="320">
        <f t="shared" si="3"/>
        <v>89.47058824</v>
      </c>
      <c r="I17" s="320">
        <v>8.0</v>
      </c>
      <c r="J17" s="320">
        <f t="shared" si="4"/>
        <v>97.47058824</v>
      </c>
      <c r="K17" s="225">
        <f t="shared" si="5"/>
        <v>284.6141176</v>
      </c>
    </row>
    <row r="18">
      <c r="A18" s="319">
        <v>0.25</v>
      </c>
      <c r="B18" s="320">
        <v>0.08</v>
      </c>
      <c r="C18" s="14">
        <v>51.0</v>
      </c>
      <c r="D18" s="14">
        <v>106.0</v>
      </c>
      <c r="E18" s="320">
        <f t="shared" si="7"/>
        <v>5406</v>
      </c>
      <c r="F18" s="320">
        <f t="shared" si="1"/>
        <v>637.5</v>
      </c>
      <c r="G18" s="320">
        <f t="shared" si="2"/>
        <v>10.6</v>
      </c>
      <c r="H18" s="320">
        <f t="shared" si="3"/>
        <v>112.625</v>
      </c>
      <c r="I18" s="320">
        <v>8.0</v>
      </c>
      <c r="J18" s="320">
        <f t="shared" si="4"/>
        <v>120.625</v>
      </c>
      <c r="K18" s="225">
        <f t="shared" si="5"/>
        <v>352.225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3.29"/>
    <col customWidth="1" hidden="1" min="4" max="4" width="13.29"/>
    <col customWidth="1" min="5" max="5" width="13.29"/>
    <col customWidth="1" hidden="1" min="6" max="6" width="21.0"/>
    <col customWidth="1" hidden="1" min="7" max="7" width="22.71"/>
    <col customWidth="1" hidden="1" min="8" max="8" width="14.86"/>
    <col customWidth="1" min="9" max="9" width="11.57"/>
    <col customWidth="1" hidden="1" min="10" max="10" width="12.43"/>
    <col customWidth="1" hidden="1" min="11" max="13" width="26.0"/>
    <col customWidth="1" min="14" max="14" width="18.57"/>
    <col customWidth="1" hidden="1" min="15" max="15" width="16.43"/>
    <col customWidth="1" min="16" max="16" width="14.71"/>
    <col customWidth="1" hidden="1" min="17" max="17" width="20.29"/>
    <col customWidth="1" min="18" max="19" width="13.0"/>
    <col customWidth="1" min="20" max="20" width="11.43"/>
    <col customWidth="1" min="21" max="21" width="8.71"/>
    <col customWidth="1" min="22" max="22" width="13.14"/>
    <col customWidth="1" min="23" max="23" width="9.14"/>
    <col customWidth="1" min="24" max="24" width="12.29"/>
    <col customWidth="1" min="25" max="25" width="13.86"/>
    <col customWidth="1" min="26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6"/>
    </row>
    <row r="2" ht="15.75" customHeight="1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16</v>
      </c>
      <c r="T2" s="149" t="s">
        <v>19</v>
      </c>
      <c r="U2" s="148" t="s">
        <v>20</v>
      </c>
      <c r="V2" s="150" t="s">
        <v>21</v>
      </c>
      <c r="W2" s="148"/>
      <c r="X2" s="148" t="s">
        <v>22</v>
      </c>
      <c r="Y2" s="149" t="s">
        <v>23</v>
      </c>
    </row>
    <row r="3">
      <c r="A3" s="14">
        <v>1.5</v>
      </c>
      <c r="B3" s="14">
        <v>2.5</v>
      </c>
      <c r="C3" s="14">
        <v>3.75</v>
      </c>
      <c r="D3" s="15">
        <v>0.125</v>
      </c>
      <c r="E3" s="15">
        <v>0.045</v>
      </c>
      <c r="F3" s="15">
        <f>(A3+B3)*C3</f>
        <v>15</v>
      </c>
      <c r="G3" s="15">
        <f>(A3+B3)/E3</f>
        <v>88.88888889</v>
      </c>
      <c r="H3" s="15">
        <f>C3/10</f>
        <v>0.375</v>
      </c>
      <c r="I3" s="15">
        <v>3.5</v>
      </c>
      <c r="J3" s="16">
        <f>H3*G3/60</f>
        <v>0.5555555556</v>
      </c>
      <c r="K3" s="16">
        <f>J3+I3</f>
        <v>4.055555556</v>
      </c>
      <c r="L3" s="17">
        <v>225.0</v>
      </c>
      <c r="M3" s="18">
        <f>L3/60</f>
        <v>3.75</v>
      </c>
      <c r="N3" s="18">
        <f>ROUNDUP(K3*M3,1)</f>
        <v>15.3</v>
      </c>
      <c r="O3" s="106"/>
      <c r="P3" s="22">
        <v>125.0</v>
      </c>
      <c r="Q3" s="151">
        <v>0.02</v>
      </c>
      <c r="R3" s="20">
        <v>20.0</v>
      </c>
      <c r="S3" s="21">
        <f>N3*R3</f>
        <v>306</v>
      </c>
      <c r="T3" s="21">
        <f>(N3*R3)+P3</f>
        <v>431</v>
      </c>
      <c r="U3" s="21">
        <f>ROUNDUP(T3*Q3,0)</f>
        <v>9</v>
      </c>
      <c r="V3" s="21">
        <f>T3+U3</f>
        <v>440</v>
      </c>
      <c r="W3" s="9"/>
      <c r="X3" s="24">
        <v>225.0</v>
      </c>
      <c r="Y3" s="152">
        <f>ROUNDDOWN(X3/N3,0)</f>
        <v>14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134"/>
      <c r="T4" s="134"/>
      <c r="U4" s="134"/>
      <c r="V4" s="134"/>
      <c r="W4" s="84"/>
      <c r="X4" s="84"/>
      <c r="Y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8" t="s">
        <v>16</v>
      </c>
      <c r="T5" s="43" t="s">
        <v>19</v>
      </c>
      <c r="U5" s="159" t="s">
        <v>20</v>
      </c>
      <c r="V5" s="160" t="s">
        <v>123</v>
      </c>
      <c r="W5" s="3"/>
      <c r="X5" s="11" t="s">
        <v>22</v>
      </c>
      <c r="Y5" s="11" t="s">
        <v>23</v>
      </c>
    </row>
    <row r="6">
      <c r="B6" s="14">
        <v>0.625</v>
      </c>
      <c r="C6" s="14">
        <v>1.0</v>
      </c>
      <c r="D6" s="15" t="s">
        <v>24</v>
      </c>
      <c r="E6" s="47">
        <v>0.045</v>
      </c>
      <c r="F6" s="47">
        <f>B6*3.14</f>
        <v>1.9625</v>
      </c>
      <c r="G6" s="48">
        <f>F6/E6</f>
        <v>43.61111111</v>
      </c>
      <c r="H6" s="47">
        <f>C6/10</f>
        <v>0.1</v>
      </c>
      <c r="I6" s="47">
        <v>4.0</v>
      </c>
      <c r="J6" s="16">
        <f>H6*G6/60</f>
        <v>0.07268518519</v>
      </c>
      <c r="K6" s="49">
        <f>J6+I6</f>
        <v>4.072685185</v>
      </c>
      <c r="L6" s="17">
        <v>225.0</v>
      </c>
      <c r="M6" s="18">
        <f>L6/60</f>
        <v>3.75</v>
      </c>
      <c r="N6" s="21">
        <f>ROUNDUP(K6*M6,1)</f>
        <v>15.3</v>
      </c>
      <c r="O6" s="106"/>
      <c r="P6" s="22">
        <v>125.0</v>
      </c>
      <c r="Q6" s="151">
        <v>0.02</v>
      </c>
      <c r="R6" s="20">
        <v>16.0</v>
      </c>
      <c r="S6" s="161">
        <f>N6*R6</f>
        <v>244.8</v>
      </c>
      <c r="T6" s="161">
        <f>(N6*R6)+P6</f>
        <v>369.8</v>
      </c>
      <c r="U6" s="21">
        <f>ROUNDUP(T6*Q6,0)</f>
        <v>8</v>
      </c>
      <c r="V6" s="21">
        <f>T6+U6</f>
        <v>377.8</v>
      </c>
      <c r="W6" s="106"/>
      <c r="X6" s="162">
        <v>225.0</v>
      </c>
      <c r="Y6" s="163">
        <f>ROUNDDOWN(X6/N6,0)</f>
        <v>14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28"/>
      <c r="T7" s="28"/>
      <c r="U7" s="28"/>
      <c r="V7" s="28"/>
      <c r="W7" s="32"/>
      <c r="X7" s="3"/>
      <c r="Y7" s="3"/>
    </row>
    <row r="8">
      <c r="A8" s="3"/>
    </row>
    <row r="9">
      <c r="A9" s="143" t="s">
        <v>316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16</v>
      </c>
      <c r="T10" s="149" t="s">
        <v>19</v>
      </c>
      <c r="U10" s="148" t="s">
        <v>20</v>
      </c>
      <c r="V10" s="150" t="s">
        <v>21</v>
      </c>
      <c r="W10" s="148"/>
      <c r="X10" s="148" t="s">
        <v>22</v>
      </c>
      <c r="Y10" s="149" t="s">
        <v>23</v>
      </c>
    </row>
    <row r="11">
      <c r="A11" s="14">
        <v>1.25</v>
      </c>
      <c r="B11" s="14">
        <v>10.25</v>
      </c>
      <c r="C11" s="14">
        <v>13.5</v>
      </c>
      <c r="D11" s="15">
        <v>0.125</v>
      </c>
      <c r="E11" s="15">
        <v>0.045</v>
      </c>
      <c r="F11" s="15">
        <f>(A11+B11)*C11</f>
        <v>155.25</v>
      </c>
      <c r="G11" s="15">
        <f>(A11+B11)/E11</f>
        <v>255.5555556</v>
      </c>
      <c r="H11" s="15">
        <f>C11/10</f>
        <v>1.35</v>
      </c>
      <c r="I11" s="15">
        <v>3.5</v>
      </c>
      <c r="J11" s="16">
        <f>H11*G11/60</f>
        <v>5.75</v>
      </c>
      <c r="K11" s="16">
        <f>J11+I11</f>
        <v>9.25</v>
      </c>
      <c r="L11" s="17">
        <v>250.0</v>
      </c>
      <c r="M11" s="18">
        <f>L11/60</f>
        <v>4.166666667</v>
      </c>
      <c r="N11" s="18">
        <f>ROUNDUP(K11*M11,1)</f>
        <v>38.6</v>
      </c>
      <c r="O11" s="106"/>
      <c r="P11" s="22">
        <v>125.0</v>
      </c>
      <c r="Q11" s="151">
        <v>0.02</v>
      </c>
      <c r="R11" s="20">
        <v>55.0</v>
      </c>
      <c r="S11" s="21">
        <f>N11*R11</f>
        <v>2123</v>
      </c>
      <c r="T11" s="21">
        <f>(N11*R11)+P11</f>
        <v>2248</v>
      </c>
      <c r="U11" s="21">
        <f>ROUNDUP(T11*Q11,0)</f>
        <v>45</v>
      </c>
      <c r="V11" s="21">
        <f>T11+U11</f>
        <v>2293</v>
      </c>
      <c r="W11" s="9"/>
      <c r="X11" s="24">
        <v>250.0</v>
      </c>
      <c r="Y11" s="152">
        <f>ROUNDDOWN(X11/N11,0)</f>
        <v>6</v>
      </c>
    </row>
    <row r="12">
      <c r="A12" s="3"/>
      <c r="B12" s="153" t="s">
        <v>317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134"/>
      <c r="T12" s="134"/>
      <c r="U12" s="134"/>
      <c r="V12" s="134"/>
      <c r="W12" s="84"/>
      <c r="X12" s="84"/>
      <c r="Y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58" t="s">
        <v>16</v>
      </c>
      <c r="T13" s="43" t="s">
        <v>19</v>
      </c>
      <c r="U13" s="159" t="s">
        <v>20</v>
      </c>
      <c r="V13" s="160" t="s">
        <v>123</v>
      </c>
      <c r="W13" s="3"/>
      <c r="X13" s="11" t="s">
        <v>22</v>
      </c>
      <c r="Y13" s="11" t="s">
        <v>23</v>
      </c>
    </row>
    <row r="14">
      <c r="A14" s="3"/>
      <c r="B14" s="14">
        <v>2.625</v>
      </c>
      <c r="C14" s="14">
        <v>2.15</v>
      </c>
      <c r="D14" s="15" t="s">
        <v>24</v>
      </c>
      <c r="E14" s="47">
        <v>0.045</v>
      </c>
      <c r="F14" s="47">
        <f>B14*3.14</f>
        <v>8.2425</v>
      </c>
      <c r="G14" s="48">
        <f>F14/E14</f>
        <v>183.1666667</v>
      </c>
      <c r="H14" s="47">
        <f>C14/10</f>
        <v>0.215</v>
      </c>
      <c r="I14" s="47">
        <v>4.0</v>
      </c>
      <c r="J14" s="16">
        <f>H14*G14/60</f>
        <v>0.6563472222</v>
      </c>
      <c r="K14" s="49">
        <f>J14+I14</f>
        <v>4.656347222</v>
      </c>
      <c r="L14" s="17">
        <v>250.0</v>
      </c>
      <c r="M14" s="18">
        <f>L14/60</f>
        <v>4.166666667</v>
      </c>
      <c r="N14" s="21">
        <f>ROUNDUP(K14*M14,1)</f>
        <v>19.5</v>
      </c>
      <c r="O14" s="106"/>
      <c r="P14" s="22">
        <v>125.0</v>
      </c>
      <c r="Q14" s="151">
        <v>0.02</v>
      </c>
      <c r="R14" s="20">
        <v>65.0</v>
      </c>
      <c r="S14" s="161">
        <f>N14*R14</f>
        <v>1267.5</v>
      </c>
      <c r="T14" s="161">
        <f>(N14*R14)+P14</f>
        <v>1392.5</v>
      </c>
      <c r="U14" s="21">
        <f>ROUNDUP(T14*Q14,0)</f>
        <v>28</v>
      </c>
      <c r="V14" s="21">
        <f>T14+U14</f>
        <v>1420.5</v>
      </c>
      <c r="W14" s="106"/>
      <c r="X14" s="162">
        <v>250.0</v>
      </c>
      <c r="Y14" s="163">
        <f>ROUNDDOWN(X14/N14,0)</f>
        <v>12</v>
      </c>
    </row>
    <row r="17">
      <c r="A17" s="83"/>
      <c r="B17" s="164" t="s">
        <v>126</v>
      </c>
      <c r="C17" s="85"/>
      <c r="I17" s="83"/>
      <c r="J17" s="84"/>
      <c r="K17" s="84"/>
      <c r="L17" s="84"/>
      <c r="M17" s="84"/>
      <c r="N17" s="164" t="s">
        <v>127</v>
      </c>
      <c r="O17" s="84"/>
      <c r="P17" s="84"/>
      <c r="Q17" s="84"/>
      <c r="R17" s="85"/>
    </row>
    <row r="18">
      <c r="A18" s="86" t="s">
        <v>22</v>
      </c>
      <c r="C18" s="165">
        <v>225.0</v>
      </c>
      <c r="I18" s="86" t="s">
        <v>128</v>
      </c>
      <c r="R18" s="88"/>
    </row>
    <row r="19">
      <c r="A19" s="86" t="s">
        <v>129</v>
      </c>
      <c r="C19" s="165">
        <v>125.0</v>
      </c>
      <c r="I19" s="86" t="s">
        <v>130</v>
      </c>
      <c r="R19" s="88"/>
      <c r="V19" s="51"/>
    </row>
    <row r="20">
      <c r="A20" s="86" t="s">
        <v>20</v>
      </c>
      <c r="C20" s="166" t="s">
        <v>131</v>
      </c>
      <c r="I20" s="86"/>
      <c r="R20" s="88"/>
      <c r="V20" s="52"/>
    </row>
    <row r="21" ht="15.75" customHeight="1">
      <c r="A21" s="86" t="s">
        <v>132</v>
      </c>
      <c r="C21" s="166" t="s">
        <v>133</v>
      </c>
      <c r="I21" s="86" t="s">
        <v>134</v>
      </c>
      <c r="R21" s="88"/>
      <c r="V21" s="52"/>
    </row>
    <row r="22" ht="15.75" customHeight="1">
      <c r="A22" s="167" t="s">
        <v>135</v>
      </c>
      <c r="B22" s="106"/>
      <c r="C22" s="168" t="s">
        <v>136</v>
      </c>
      <c r="I22" s="86" t="s">
        <v>137</v>
      </c>
      <c r="R22" s="88"/>
      <c r="V22" s="52"/>
    </row>
    <row r="23" ht="15.75" customHeight="1">
      <c r="I23" s="86"/>
      <c r="R23" s="88"/>
      <c r="V23" s="52"/>
    </row>
    <row r="24" ht="15.75" customHeight="1">
      <c r="I24" s="86" t="s">
        <v>138</v>
      </c>
      <c r="R24" s="88"/>
    </row>
    <row r="25" ht="15.75" customHeight="1">
      <c r="I25" s="167" t="s">
        <v>139</v>
      </c>
      <c r="J25" s="106"/>
      <c r="K25" s="106"/>
      <c r="L25" s="106"/>
      <c r="M25" s="106"/>
      <c r="N25" s="106"/>
      <c r="O25" s="106"/>
      <c r="P25" s="106"/>
      <c r="Q25" s="106"/>
      <c r="R25" s="169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3" width="8.71"/>
    <col customWidth="1" hidden="1" min="4" max="13" width="8.71"/>
    <col customWidth="1" min="14" max="19" width="8.71"/>
    <col customWidth="1" min="20" max="20" width="12.0"/>
    <col customWidth="1" min="21" max="21" width="10.86"/>
    <col customWidth="1" min="22" max="22" width="8.71"/>
    <col customWidth="1" min="23" max="23" width="10.86"/>
    <col customWidth="1" min="24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0.25</v>
      </c>
      <c r="B3" s="14">
        <v>11.0</v>
      </c>
      <c r="C3" s="14">
        <v>50.0</v>
      </c>
      <c r="D3" s="15">
        <v>0.125</v>
      </c>
      <c r="E3" s="15">
        <v>0.085</v>
      </c>
      <c r="F3" s="15">
        <f>(A3+B3)*C3</f>
        <v>562.5</v>
      </c>
      <c r="G3" s="15">
        <f>(A3+B3)/E3</f>
        <v>132.3529412</v>
      </c>
      <c r="H3" s="15">
        <f>C3/10</f>
        <v>5</v>
      </c>
      <c r="I3" s="15">
        <v>4.0</v>
      </c>
      <c r="J3" s="16">
        <f>H3*G3/60</f>
        <v>11.02941176</v>
      </c>
      <c r="K3" s="16">
        <f>J3+I3</f>
        <v>15.02941176</v>
      </c>
      <c r="L3" s="17">
        <v>225.0</v>
      </c>
      <c r="M3" s="18">
        <f>L3/60</f>
        <v>3.75</v>
      </c>
      <c r="N3" s="18">
        <f>ROUNDUP(K3*M3,1)</f>
        <v>56.4</v>
      </c>
      <c r="O3" s="106"/>
      <c r="P3" s="22">
        <v>125.0</v>
      </c>
      <c r="Q3" s="151">
        <v>0.02</v>
      </c>
      <c r="R3" s="20">
        <v>17.0</v>
      </c>
      <c r="S3" s="171">
        <f>N3*R3</f>
        <v>958.8</v>
      </c>
      <c r="T3" s="21">
        <f>IF(S3&gt;Y3, S3, Y3)</f>
        <v>958.8</v>
      </c>
      <c r="U3" s="21">
        <f>T3+P3</f>
        <v>1083.8</v>
      </c>
      <c r="V3" s="21">
        <f>ROUNDUP(U3*Q3,0)</f>
        <v>22</v>
      </c>
      <c r="W3" s="21">
        <f>U3+V3</f>
        <v>1105.8</v>
      </c>
      <c r="X3" s="9"/>
      <c r="Y3" s="24">
        <v>225.0</v>
      </c>
      <c r="Z3" s="152">
        <f>ROUNDDOWN(Y3/N3,0)</f>
        <v>3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49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13.0</v>
      </c>
      <c r="C6" s="14">
        <v>3.45</v>
      </c>
      <c r="D6" s="15" t="s">
        <v>24</v>
      </c>
      <c r="E6" s="47">
        <v>0.065</v>
      </c>
      <c r="F6" s="47">
        <f>B6*3.14</f>
        <v>40.82</v>
      </c>
      <c r="G6" s="48">
        <f>F6/E6</f>
        <v>628</v>
      </c>
      <c r="H6" s="47">
        <f>C6/10</f>
        <v>0.345</v>
      </c>
      <c r="I6" s="47">
        <v>3.0</v>
      </c>
      <c r="J6" s="16">
        <f>H6*G6/60</f>
        <v>3.611</v>
      </c>
      <c r="K6" s="49">
        <f>J6+I6</f>
        <v>6.611</v>
      </c>
      <c r="L6" s="17">
        <v>225.0</v>
      </c>
      <c r="M6" s="18">
        <f>L6/60</f>
        <v>3.75</v>
      </c>
      <c r="N6" s="21">
        <f>ROUNDUP(K6*M6,1)</f>
        <v>24.8</v>
      </c>
      <c r="O6" s="106"/>
      <c r="P6" s="22">
        <v>125.0</v>
      </c>
      <c r="Q6" s="151">
        <v>0.02</v>
      </c>
      <c r="R6" s="20">
        <v>22.0</v>
      </c>
      <c r="S6" s="171">
        <f>N6*R6</f>
        <v>545.6</v>
      </c>
      <c r="T6" s="21">
        <f>IF(S6&gt;Y6, S6, Y6)</f>
        <v>545.6</v>
      </c>
      <c r="U6" s="21">
        <f>T6+P6</f>
        <v>670.6</v>
      </c>
      <c r="V6" s="21">
        <f>ROUNDUP(U6*Q6,0)</f>
        <v>14</v>
      </c>
      <c r="W6" s="21">
        <f>U6+V6</f>
        <v>684.6</v>
      </c>
      <c r="X6" s="106"/>
      <c r="Y6" s="162">
        <v>225.0</v>
      </c>
      <c r="Z6" s="163">
        <f>ROUNDDOWN(Y6/N6,0)</f>
        <v>9</v>
      </c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7"/>
      <c r="P7" s="29"/>
      <c r="Q7" s="69"/>
      <c r="R7" s="3"/>
      <c r="S7" s="3"/>
      <c r="T7" s="28"/>
      <c r="U7" s="28"/>
      <c r="V7" s="28"/>
      <c r="W7" s="28"/>
      <c r="X7" s="32"/>
      <c r="Y7" s="3"/>
      <c r="Z7" s="3"/>
    </row>
    <row r="8">
      <c r="A8" s="3"/>
    </row>
    <row r="9">
      <c r="A9" s="143" t="s">
        <v>145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4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6"/>
    </row>
    <row r="10">
      <c r="A10" s="146" t="s">
        <v>1</v>
      </c>
      <c r="B10" s="146" t="s">
        <v>2</v>
      </c>
      <c r="C10" s="146" t="s">
        <v>3</v>
      </c>
      <c r="D10" s="146" t="s">
        <v>4</v>
      </c>
      <c r="E10" s="146" t="s">
        <v>5</v>
      </c>
      <c r="F10" s="146" t="s">
        <v>6</v>
      </c>
      <c r="G10" s="146" t="s">
        <v>7</v>
      </c>
      <c r="H10" s="146" t="s">
        <v>8</v>
      </c>
      <c r="I10" s="146" t="s">
        <v>9</v>
      </c>
      <c r="J10" s="146" t="s">
        <v>10</v>
      </c>
      <c r="K10" s="146" t="s">
        <v>11</v>
      </c>
      <c r="L10" s="146" t="s">
        <v>12</v>
      </c>
      <c r="M10" s="146" t="s">
        <v>13</v>
      </c>
      <c r="N10" s="147" t="s">
        <v>14</v>
      </c>
      <c r="O10" s="3"/>
      <c r="P10" s="148" t="s">
        <v>17</v>
      </c>
      <c r="Q10" s="148" t="s">
        <v>121</v>
      </c>
      <c r="R10" s="149" t="s">
        <v>122</v>
      </c>
      <c r="S10" s="149" t="s">
        <v>140</v>
      </c>
      <c r="T10" s="149" t="s">
        <v>16</v>
      </c>
      <c r="U10" s="149" t="s">
        <v>19</v>
      </c>
      <c r="V10" s="148" t="s">
        <v>20</v>
      </c>
      <c r="W10" s="150" t="s">
        <v>21</v>
      </c>
      <c r="X10" s="148"/>
      <c r="Y10" s="148" t="s">
        <v>22</v>
      </c>
      <c r="Z10" s="149" t="s">
        <v>23</v>
      </c>
    </row>
    <row r="11">
      <c r="A11" s="14">
        <v>1.5</v>
      </c>
      <c r="B11" s="14">
        <v>36.0</v>
      </c>
      <c r="C11" s="14">
        <v>96.0</v>
      </c>
      <c r="D11" s="15">
        <v>0.125</v>
      </c>
      <c r="E11" s="15">
        <v>0.065</v>
      </c>
      <c r="F11" s="15">
        <f>(A11+B11)*C11</f>
        <v>3600</v>
      </c>
      <c r="G11" s="15">
        <f>(A11+B11)/E11</f>
        <v>576.9230769</v>
      </c>
      <c r="H11" s="15">
        <f>C11/10</f>
        <v>9.6</v>
      </c>
      <c r="I11" s="15">
        <v>4.0</v>
      </c>
      <c r="J11" s="16">
        <f>H11*G11/60</f>
        <v>92.30769231</v>
      </c>
      <c r="K11" s="16">
        <f>J11+I11</f>
        <v>96.30769231</v>
      </c>
      <c r="L11" s="17">
        <v>250.0</v>
      </c>
      <c r="M11" s="18">
        <f>L11/60</f>
        <v>4.166666667</v>
      </c>
      <c r="N11" s="18">
        <f>ROUNDUP(K11*M11,1)</f>
        <v>401.3</v>
      </c>
      <c r="O11" s="106"/>
      <c r="P11" s="22">
        <v>125.0</v>
      </c>
      <c r="Q11" s="151">
        <v>0.02</v>
      </c>
      <c r="R11" s="20">
        <v>1.0</v>
      </c>
      <c r="S11" s="171">
        <f>N11*R11</f>
        <v>401.3</v>
      </c>
      <c r="T11" s="21">
        <f>IF(S11&gt;Y11, S11, Y11)</f>
        <v>401.3</v>
      </c>
      <c r="U11" s="21">
        <f>T11+P11</f>
        <v>526.3</v>
      </c>
      <c r="V11" s="21">
        <f>ROUNDUP(U11*Q11,0)</f>
        <v>11</v>
      </c>
      <c r="W11" s="21">
        <f>U11+V11</f>
        <v>537.3</v>
      </c>
      <c r="X11" s="9"/>
      <c r="Y11" s="24">
        <v>250.0</v>
      </c>
      <c r="Z11" s="152">
        <f>ROUNDDOWN(Y11/N11,0)</f>
        <v>0</v>
      </c>
    </row>
    <row r="12">
      <c r="A12" s="3"/>
      <c r="B12" s="153" t="s">
        <v>147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135"/>
      <c r="Q12" s="154"/>
      <c r="R12" s="84"/>
      <c r="S12" s="84"/>
      <c r="T12" s="134"/>
      <c r="U12" s="134"/>
      <c r="V12" s="134"/>
      <c r="W12" s="134"/>
      <c r="X12" s="84"/>
      <c r="Y12" s="84"/>
      <c r="Z12" s="85"/>
    </row>
    <row r="13">
      <c r="A13" s="3"/>
      <c r="B13" s="40" t="s">
        <v>29</v>
      </c>
      <c r="C13" s="40" t="s">
        <v>3</v>
      </c>
      <c r="D13" s="7" t="s">
        <v>4</v>
      </c>
      <c r="E13" s="40" t="s">
        <v>5</v>
      </c>
      <c r="F13" s="41" t="s">
        <v>30</v>
      </c>
      <c r="G13" s="40" t="s">
        <v>31</v>
      </c>
      <c r="H13" s="40" t="s">
        <v>32</v>
      </c>
      <c r="I13" s="40" t="s">
        <v>33</v>
      </c>
      <c r="J13" s="40" t="s">
        <v>34</v>
      </c>
      <c r="K13" s="40" t="s">
        <v>35</v>
      </c>
      <c r="L13" s="7" t="s">
        <v>12</v>
      </c>
      <c r="M13" s="7" t="s">
        <v>13</v>
      </c>
      <c r="N13" s="42" t="s">
        <v>36</v>
      </c>
      <c r="O13" s="155"/>
      <c r="P13" s="44" t="s">
        <v>17</v>
      </c>
      <c r="Q13" s="156" t="s">
        <v>121</v>
      </c>
      <c r="R13" s="157" t="s">
        <v>122</v>
      </c>
      <c r="S13" s="149" t="s">
        <v>140</v>
      </c>
      <c r="T13" s="158" t="s">
        <v>16</v>
      </c>
      <c r="U13" s="43" t="s">
        <v>19</v>
      </c>
      <c r="V13" s="159" t="s">
        <v>20</v>
      </c>
      <c r="W13" s="160" t="s">
        <v>123</v>
      </c>
      <c r="X13" s="3"/>
      <c r="Y13" s="11" t="s">
        <v>22</v>
      </c>
      <c r="Z13" s="11" t="s">
        <v>23</v>
      </c>
    </row>
    <row r="14">
      <c r="A14" s="3"/>
      <c r="B14" s="14">
        <v>2.0</v>
      </c>
      <c r="C14" s="14">
        <v>2.0</v>
      </c>
      <c r="D14" s="15" t="s">
        <v>24</v>
      </c>
      <c r="E14" s="47">
        <v>0.065</v>
      </c>
      <c r="F14" s="47">
        <f>B14*3.14</f>
        <v>6.28</v>
      </c>
      <c r="G14" s="48">
        <f>F14/E14</f>
        <v>96.61538462</v>
      </c>
      <c r="H14" s="47">
        <f>C14/10</f>
        <v>0.2</v>
      </c>
      <c r="I14" s="47">
        <v>4.0</v>
      </c>
      <c r="J14" s="16">
        <f>H14*G14/60</f>
        <v>0.3220512821</v>
      </c>
      <c r="K14" s="49">
        <f>J14+I14</f>
        <v>4.322051282</v>
      </c>
      <c r="L14" s="17">
        <v>250.0</v>
      </c>
      <c r="M14" s="18">
        <f>L14/60</f>
        <v>4.166666667</v>
      </c>
      <c r="N14" s="21">
        <f>ROUNDUP(K14*M14,1)</f>
        <v>18.1</v>
      </c>
      <c r="O14" s="106"/>
      <c r="P14" s="22">
        <v>125.0</v>
      </c>
      <c r="Q14" s="151">
        <v>0.02</v>
      </c>
      <c r="R14" s="20">
        <v>1.0</v>
      </c>
      <c r="S14" s="171">
        <f>N14*R14</f>
        <v>18.1</v>
      </c>
      <c r="T14" s="21">
        <f>IF(S14&gt;Y14, S14, Y14)</f>
        <v>250</v>
      </c>
      <c r="U14" s="21">
        <f>T14+P14</f>
        <v>375</v>
      </c>
      <c r="V14" s="21">
        <f>ROUNDUP(U14*Q14,0)</f>
        <v>8</v>
      </c>
      <c r="W14" s="21">
        <f>U14+V14</f>
        <v>383</v>
      </c>
      <c r="X14" s="106"/>
      <c r="Y14" s="162">
        <v>250.0</v>
      </c>
      <c r="Z14" s="163">
        <f>ROUNDDOWN(Y14/N14,0)</f>
        <v>13</v>
      </c>
    </row>
    <row r="17">
      <c r="A17" s="83"/>
      <c r="B17" s="164" t="s">
        <v>126</v>
      </c>
      <c r="C17" s="85"/>
      <c r="F17" s="83"/>
      <c r="G17" s="164" t="s">
        <v>127</v>
      </c>
      <c r="H17" s="84"/>
      <c r="I17" s="84"/>
      <c r="J17" s="84"/>
      <c r="K17" s="85"/>
      <c r="P17" s="83"/>
      <c r="Q17" s="164" t="s">
        <v>127</v>
      </c>
      <c r="R17" s="84"/>
      <c r="S17" s="84"/>
      <c r="T17" s="84"/>
      <c r="U17" s="84"/>
      <c r="V17" s="85"/>
    </row>
    <row r="18">
      <c r="A18" s="86" t="s">
        <v>22</v>
      </c>
      <c r="C18" s="165">
        <v>225.0</v>
      </c>
      <c r="F18" s="86" t="s">
        <v>128</v>
      </c>
      <c r="K18" s="88"/>
      <c r="P18" s="86" t="s">
        <v>128</v>
      </c>
      <c r="V18" s="88"/>
    </row>
    <row r="19">
      <c r="A19" s="86" t="s">
        <v>129</v>
      </c>
      <c r="C19" s="165">
        <v>125.0</v>
      </c>
      <c r="F19" s="86" t="s">
        <v>130</v>
      </c>
      <c r="K19" s="88"/>
      <c r="P19" s="86" t="s">
        <v>130</v>
      </c>
      <c r="V19" s="88"/>
      <c r="W19" s="51"/>
    </row>
    <row r="20">
      <c r="A20" s="86" t="s">
        <v>20</v>
      </c>
      <c r="C20" s="88" t="s">
        <v>131</v>
      </c>
      <c r="F20" s="86"/>
      <c r="K20" s="88"/>
      <c r="P20" s="86"/>
      <c r="V20" s="88"/>
      <c r="W20" s="52"/>
    </row>
    <row r="21" ht="15.75" customHeight="1">
      <c r="A21" s="86" t="s">
        <v>132</v>
      </c>
      <c r="C21" s="88" t="s">
        <v>133</v>
      </c>
      <c r="F21" s="86" t="s">
        <v>134</v>
      </c>
      <c r="K21" s="88"/>
      <c r="P21" s="86" t="s">
        <v>134</v>
      </c>
      <c r="V21" s="88"/>
      <c r="W21" s="52"/>
    </row>
    <row r="22" ht="15.75" customHeight="1">
      <c r="A22" s="167" t="s">
        <v>135</v>
      </c>
      <c r="B22" s="106"/>
      <c r="C22" s="107" t="s">
        <v>171</v>
      </c>
      <c r="F22" s="86" t="s">
        <v>137</v>
      </c>
      <c r="K22" s="88"/>
      <c r="P22" s="86" t="s">
        <v>137</v>
      </c>
      <c r="V22" s="88"/>
      <c r="W22" s="52"/>
    </row>
    <row r="23" ht="15.75" customHeight="1">
      <c r="F23" s="86"/>
      <c r="K23" s="88"/>
      <c r="P23" s="86"/>
      <c r="V23" s="88"/>
    </row>
    <row r="24" ht="15.75" customHeight="1">
      <c r="F24" s="86" t="s">
        <v>138</v>
      </c>
      <c r="K24" s="88"/>
      <c r="P24" s="86" t="s">
        <v>138</v>
      </c>
      <c r="V24" s="88"/>
    </row>
    <row r="25" ht="15.75" customHeight="1">
      <c r="F25" s="167" t="s">
        <v>139</v>
      </c>
      <c r="G25" s="106"/>
      <c r="H25" s="106"/>
      <c r="I25" s="106"/>
      <c r="J25" s="106"/>
      <c r="K25" s="169"/>
      <c r="P25" s="167" t="s">
        <v>139</v>
      </c>
      <c r="Q25" s="106"/>
      <c r="R25" s="106"/>
      <c r="S25" s="106"/>
      <c r="T25" s="106"/>
      <c r="U25" s="106"/>
      <c r="V25" s="16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3.29"/>
    <col customWidth="1" hidden="1" min="4" max="4" width="13.29"/>
    <col customWidth="1" min="5" max="5" width="13.29"/>
    <col customWidth="1" hidden="1" min="6" max="6" width="21.0"/>
    <col customWidth="1" hidden="1" min="7" max="7" width="22.71"/>
    <col customWidth="1" hidden="1" min="8" max="8" width="14.86"/>
    <col customWidth="1" min="9" max="9" width="11.57"/>
    <col customWidth="1" hidden="1" min="10" max="10" width="12.43"/>
    <col customWidth="1" hidden="1" min="11" max="13" width="26.0"/>
    <col customWidth="1" min="14" max="14" width="18.57"/>
    <col customWidth="1" hidden="1" min="15" max="15" width="16.43"/>
    <col customWidth="1" min="16" max="16" width="13.86"/>
    <col customWidth="1" min="17" max="17" width="11.86"/>
    <col customWidth="1" min="18" max="18" width="14.71"/>
    <col customWidth="1" min="19" max="19" width="8.71"/>
    <col customWidth="1" min="20" max="20" width="10.57"/>
    <col customWidth="1" min="21" max="21" width="20.29"/>
    <col customWidth="1" min="22" max="22" width="13.14"/>
    <col customWidth="1" min="23" max="23" width="12.29"/>
    <col customWidth="1" min="24" max="24" width="10.43"/>
    <col customWidth="1" min="25" max="27" width="9.14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4"/>
      <c r="S1" s="4"/>
      <c r="T1" s="4"/>
      <c r="U1" s="5"/>
      <c r="V1" s="4"/>
      <c r="W1" s="4"/>
      <c r="X1" s="6"/>
      <c r="Y1" s="4"/>
      <c r="Z1" s="3"/>
      <c r="AA1" s="3"/>
    </row>
    <row r="2" ht="30.0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8" t="s">
        <v>14</v>
      </c>
      <c r="O2" s="9"/>
      <c r="P2" s="10" t="s">
        <v>15</v>
      </c>
      <c r="Q2" s="11" t="s">
        <v>16</v>
      </c>
      <c r="R2" s="11" t="s">
        <v>17</v>
      </c>
      <c r="S2" s="10" t="s">
        <v>18</v>
      </c>
      <c r="T2" s="10" t="s">
        <v>19</v>
      </c>
      <c r="U2" s="12" t="s">
        <v>20</v>
      </c>
      <c r="V2" s="10" t="s">
        <v>21</v>
      </c>
      <c r="W2" s="11" t="s">
        <v>22</v>
      </c>
      <c r="X2" s="13" t="s">
        <v>23</v>
      </c>
      <c r="Y2" s="3"/>
      <c r="Z2" s="3"/>
      <c r="AA2" s="3"/>
    </row>
    <row r="3">
      <c r="A3" s="14">
        <v>11.68</v>
      </c>
      <c r="B3" s="14">
        <v>26.25</v>
      </c>
      <c r="C3" s="14">
        <v>54.0</v>
      </c>
      <c r="D3" s="15" t="s">
        <v>24</v>
      </c>
      <c r="E3" s="15">
        <v>0.125</v>
      </c>
      <c r="F3" s="15">
        <f>(A3+B3)*C3</f>
        <v>2048.22</v>
      </c>
      <c r="G3" s="15">
        <f>(A3+B3)/E3</f>
        <v>303.44</v>
      </c>
      <c r="H3" s="15">
        <f>C3/10</f>
        <v>5.4</v>
      </c>
      <c r="I3" s="15">
        <v>1.5</v>
      </c>
      <c r="J3" s="16">
        <f>H3*G3/60</f>
        <v>27.3096</v>
      </c>
      <c r="K3" s="16">
        <f>J3+I3</f>
        <v>28.8096</v>
      </c>
      <c r="L3" s="17">
        <v>195.0</v>
      </c>
      <c r="M3" s="18">
        <f>L3/60</f>
        <v>3.25</v>
      </c>
      <c r="N3" s="18">
        <f>ROUNDUP(K3*M3,1)</f>
        <v>93.7</v>
      </c>
      <c r="O3" s="19" t="s">
        <v>318</v>
      </c>
      <c r="P3" s="20">
        <v>334.0</v>
      </c>
      <c r="Q3" s="21">
        <f>N3*P3</f>
        <v>31295.8</v>
      </c>
      <c r="R3" s="22">
        <v>0.0</v>
      </c>
      <c r="S3" s="23">
        <v>0.0</v>
      </c>
      <c r="T3" s="21">
        <f>Q3+R3</f>
        <v>31295.8</v>
      </c>
      <c r="U3" s="18">
        <f>ROUNDUP(T3*S3,0)</f>
        <v>0</v>
      </c>
      <c r="V3" s="21">
        <f>T3+U3</f>
        <v>31295.8</v>
      </c>
      <c r="W3" s="24">
        <v>195.0</v>
      </c>
      <c r="X3" s="25">
        <f>ROUNDDOWN(W3/N3,0)</f>
        <v>2</v>
      </c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7"/>
      <c r="P4" s="3"/>
      <c r="Q4" s="28"/>
      <c r="R4" s="29"/>
      <c r="S4" s="30"/>
      <c r="T4" s="28"/>
      <c r="U4" s="31"/>
      <c r="V4" s="28"/>
      <c r="W4" s="32"/>
      <c r="X4" s="26"/>
      <c r="Y4" s="3"/>
      <c r="Z4" s="3"/>
      <c r="AA4" s="3"/>
    </row>
    <row r="5">
      <c r="A5" s="3"/>
      <c r="B5" s="33" t="s">
        <v>28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6"/>
      <c r="S5" s="37"/>
      <c r="T5" s="35"/>
      <c r="U5" s="38"/>
      <c r="V5" s="35"/>
      <c r="W5" s="34"/>
      <c r="X5" s="39"/>
      <c r="Y5" s="3"/>
      <c r="Z5" s="3"/>
      <c r="AA5" s="3"/>
    </row>
    <row r="6">
      <c r="A6" s="3"/>
      <c r="B6" s="40" t="s">
        <v>29</v>
      </c>
      <c r="C6" s="40" t="s">
        <v>3</v>
      </c>
      <c r="D6" s="7" t="s">
        <v>4</v>
      </c>
      <c r="E6" s="40" t="s">
        <v>5</v>
      </c>
      <c r="F6" s="41" t="s">
        <v>30</v>
      </c>
      <c r="G6" s="40" t="s">
        <v>31</v>
      </c>
      <c r="H6" s="40" t="s">
        <v>32</v>
      </c>
      <c r="I6" s="40" t="s">
        <v>33</v>
      </c>
      <c r="J6" s="40" t="s">
        <v>34</v>
      </c>
      <c r="K6" s="40" t="s">
        <v>35</v>
      </c>
      <c r="L6" s="7" t="s">
        <v>12</v>
      </c>
      <c r="M6" s="7" t="s">
        <v>13</v>
      </c>
      <c r="N6" s="42" t="s">
        <v>36</v>
      </c>
      <c r="O6" s="11"/>
      <c r="P6" s="10" t="s">
        <v>15</v>
      </c>
      <c r="Q6" s="43" t="s">
        <v>16</v>
      </c>
      <c r="R6" s="44" t="s">
        <v>17</v>
      </c>
      <c r="S6" s="45" t="s">
        <v>18</v>
      </c>
      <c r="T6" s="43" t="s">
        <v>19</v>
      </c>
      <c r="U6" s="46" t="s">
        <v>20</v>
      </c>
      <c r="V6" s="43" t="s">
        <v>21</v>
      </c>
      <c r="W6" s="11" t="s">
        <v>22</v>
      </c>
      <c r="X6" s="13" t="s">
        <v>23</v>
      </c>
      <c r="Y6" s="3"/>
      <c r="Z6" s="3"/>
      <c r="AA6" s="3"/>
    </row>
    <row r="7">
      <c r="A7" s="3"/>
      <c r="B7" s="14">
        <v>4.0</v>
      </c>
      <c r="C7" s="14">
        <v>48.0</v>
      </c>
      <c r="D7" s="15" t="s">
        <v>24</v>
      </c>
      <c r="E7" s="47">
        <v>0.125</v>
      </c>
      <c r="F7" s="47">
        <f>B7*3.14</f>
        <v>12.56</v>
      </c>
      <c r="G7" s="48">
        <f>F7/E7</f>
        <v>100.48</v>
      </c>
      <c r="H7" s="47">
        <f>C7/10</f>
        <v>4.8</v>
      </c>
      <c r="I7" s="47">
        <v>3.0</v>
      </c>
      <c r="J7" s="16">
        <f>H7*G7/60</f>
        <v>8.0384</v>
      </c>
      <c r="K7" s="49">
        <f>J7+I7</f>
        <v>11.0384</v>
      </c>
      <c r="L7" s="17">
        <v>195.0</v>
      </c>
      <c r="M7" s="18">
        <f>L7/60</f>
        <v>3.25</v>
      </c>
      <c r="N7" s="21">
        <f>ROUNDUP(K7*M7,1)</f>
        <v>35.9</v>
      </c>
      <c r="O7" s="3" t="s">
        <v>318</v>
      </c>
      <c r="P7" s="20">
        <v>4.0</v>
      </c>
      <c r="Q7" s="21">
        <f>N7*P7</f>
        <v>143.6</v>
      </c>
      <c r="R7" s="22">
        <v>0.0</v>
      </c>
      <c r="S7" s="23">
        <v>0.0</v>
      </c>
      <c r="T7" s="21">
        <f>Q7+R7</f>
        <v>143.6</v>
      </c>
      <c r="U7" s="18">
        <f>ROUNDUP(T7*S7,0)</f>
        <v>0</v>
      </c>
      <c r="V7" s="21">
        <f>T7+U7</f>
        <v>143.6</v>
      </c>
      <c r="W7" s="24">
        <v>195.0</v>
      </c>
      <c r="X7" s="25">
        <f>ROUNDDOWN(W7/N7,0)</f>
        <v>5</v>
      </c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26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6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26"/>
      <c r="V10" s="3"/>
      <c r="W10" s="3"/>
      <c r="X10" s="3"/>
      <c r="Y10" s="3"/>
      <c r="Z10" s="3"/>
      <c r="AA10" s="3"/>
    </row>
    <row r="11" ht="30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26"/>
      <c r="V11" s="3"/>
      <c r="W11" s="3"/>
      <c r="X11" s="3"/>
      <c r="Y11" s="3"/>
      <c r="Z11" s="3"/>
      <c r="AA11" s="3"/>
    </row>
    <row r="12" ht="30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26"/>
      <c r="V12" s="3"/>
      <c r="W12" s="3"/>
      <c r="X12" s="3"/>
      <c r="Y12" s="3"/>
      <c r="Z12" s="3"/>
      <c r="AA12" s="3"/>
    </row>
    <row r="13">
      <c r="A13" s="83"/>
      <c r="B13" s="164" t="s">
        <v>126</v>
      </c>
      <c r="C13" s="85"/>
      <c r="D13" s="3"/>
      <c r="E13" s="3"/>
      <c r="F13" s="3"/>
      <c r="G13" s="3"/>
      <c r="H13" s="3"/>
      <c r="I13" s="83"/>
      <c r="J13" s="164" t="s">
        <v>127</v>
      </c>
      <c r="K13" s="84"/>
      <c r="L13" s="84"/>
      <c r="M13" s="84"/>
      <c r="N13" s="164" t="s">
        <v>127</v>
      </c>
      <c r="O13" s="84"/>
      <c r="P13" s="84"/>
      <c r="Q13" s="85"/>
      <c r="R13" s="3"/>
      <c r="S13" s="3"/>
      <c r="T13" s="3"/>
      <c r="U13" s="26"/>
      <c r="V13" s="3"/>
      <c r="W13" s="3"/>
      <c r="X13" s="3"/>
      <c r="Y13" s="3"/>
      <c r="Z13" s="3"/>
      <c r="AA13" s="3"/>
    </row>
    <row r="14">
      <c r="A14" s="86" t="s">
        <v>22</v>
      </c>
      <c r="C14" s="165">
        <v>195.0</v>
      </c>
      <c r="D14" s="3"/>
      <c r="E14" s="3"/>
      <c r="F14" s="3"/>
      <c r="G14" s="3"/>
      <c r="H14" s="3"/>
      <c r="I14" s="86" t="s">
        <v>128</v>
      </c>
      <c r="O14" s="3"/>
      <c r="P14" s="3"/>
      <c r="Q14" s="88"/>
      <c r="R14" s="3"/>
      <c r="S14" s="3"/>
      <c r="T14" s="3"/>
      <c r="U14" s="26"/>
      <c r="V14" s="3"/>
      <c r="W14" s="3"/>
      <c r="X14" s="3"/>
      <c r="Y14" s="3"/>
      <c r="Z14" s="3"/>
      <c r="AA14" s="3"/>
    </row>
    <row r="15">
      <c r="A15" s="86" t="s">
        <v>129</v>
      </c>
      <c r="B15" s="54" t="s">
        <v>319</v>
      </c>
      <c r="C15" s="165">
        <v>125.0</v>
      </c>
      <c r="D15" s="3"/>
      <c r="E15" s="3"/>
      <c r="F15" s="3"/>
      <c r="G15" s="3"/>
      <c r="H15" s="3"/>
      <c r="I15" s="86" t="s">
        <v>130</v>
      </c>
      <c r="O15" s="3"/>
      <c r="P15" s="3"/>
      <c r="Q15" s="88"/>
      <c r="R15" s="3"/>
      <c r="S15" s="3"/>
      <c r="T15" s="3"/>
      <c r="U15" s="26"/>
      <c r="V15" s="3"/>
      <c r="W15" s="3"/>
      <c r="X15" s="3"/>
      <c r="Y15" s="3"/>
      <c r="Z15" s="3"/>
      <c r="AA15" s="3"/>
    </row>
    <row r="16">
      <c r="A16" s="86" t="s">
        <v>20</v>
      </c>
      <c r="C16" s="166" t="s">
        <v>143</v>
      </c>
      <c r="D16" s="3"/>
      <c r="E16" s="3"/>
      <c r="F16" s="3"/>
      <c r="G16" s="3"/>
      <c r="H16" s="3"/>
      <c r="I16" s="86"/>
      <c r="O16" s="3"/>
      <c r="P16" s="3"/>
      <c r="Q16" s="88"/>
      <c r="R16" s="3"/>
      <c r="S16" s="3"/>
      <c r="T16" s="3"/>
      <c r="U16" s="26"/>
      <c r="V16" s="3"/>
      <c r="W16" s="3"/>
      <c r="X16" s="3"/>
      <c r="Y16" s="3"/>
      <c r="Z16" s="3"/>
      <c r="AA16" s="3"/>
    </row>
    <row r="17">
      <c r="A17" s="86" t="s">
        <v>132</v>
      </c>
      <c r="C17" s="166" t="s">
        <v>133</v>
      </c>
      <c r="D17" s="3"/>
      <c r="E17" s="3"/>
      <c r="F17" s="3"/>
      <c r="G17" s="3"/>
      <c r="H17" s="3"/>
      <c r="I17" s="86" t="s">
        <v>134</v>
      </c>
      <c r="O17" s="3"/>
      <c r="P17" s="3"/>
      <c r="Q17" s="88"/>
      <c r="R17" s="3"/>
      <c r="S17" s="3"/>
      <c r="T17" s="3"/>
      <c r="U17" s="26"/>
      <c r="V17" s="3"/>
      <c r="W17" s="3"/>
      <c r="X17" s="3"/>
      <c r="Y17" s="3"/>
      <c r="Z17" s="3"/>
      <c r="AA17" s="3"/>
    </row>
    <row r="18">
      <c r="A18" s="167" t="s">
        <v>135</v>
      </c>
      <c r="B18" s="106"/>
      <c r="C18" s="168" t="s">
        <v>136</v>
      </c>
      <c r="D18" s="3"/>
      <c r="E18" s="3"/>
      <c r="F18" s="3"/>
      <c r="G18" s="3"/>
      <c r="H18" s="3"/>
      <c r="I18" s="86" t="s">
        <v>137</v>
      </c>
      <c r="O18" s="3"/>
      <c r="P18" s="3"/>
      <c r="Q18" s="88"/>
      <c r="R18" s="3"/>
      <c r="S18" s="3"/>
      <c r="T18" s="3"/>
      <c r="U18" s="26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86"/>
      <c r="O19" s="3"/>
      <c r="P19" s="3"/>
      <c r="Q19" s="88"/>
      <c r="R19" s="3"/>
      <c r="S19" s="3"/>
      <c r="T19" s="3"/>
      <c r="U19" s="26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86" t="s">
        <v>138</v>
      </c>
      <c r="O20" s="3"/>
      <c r="P20" s="3"/>
      <c r="Q20" s="88"/>
      <c r="R20" s="3"/>
      <c r="S20" s="3"/>
      <c r="T20" s="3"/>
      <c r="U20" s="26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167" t="s">
        <v>139</v>
      </c>
      <c r="J21" s="106"/>
      <c r="K21" s="106"/>
      <c r="L21" s="106"/>
      <c r="M21" s="106"/>
      <c r="N21" s="106"/>
      <c r="O21" s="106"/>
      <c r="P21" s="106"/>
      <c r="Q21" s="169"/>
      <c r="R21" s="3"/>
      <c r="S21" s="3"/>
      <c r="T21" s="3"/>
      <c r="U21" s="26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26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6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26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26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26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26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26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26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26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26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26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26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26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6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26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26"/>
      <c r="V37" s="3"/>
      <c r="W37" s="3"/>
      <c r="X37" s="3"/>
      <c r="Y37" s="3"/>
      <c r="Z37" s="3"/>
      <c r="AA37" s="3"/>
    </row>
    <row r="38" ht="28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26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6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6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26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26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26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6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26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26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26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26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26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26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26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26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6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26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6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26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26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26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26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26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26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26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26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26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26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26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26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26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26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6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26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26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26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26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26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26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26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26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26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26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26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26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26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26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26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26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26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26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26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26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26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26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26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26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26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26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26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26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26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26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26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26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26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26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26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26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26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26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26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6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6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6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26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26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26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6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6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6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6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6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6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6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6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6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6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6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6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6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6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6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6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6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6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6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6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6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6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6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6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6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6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6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6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6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6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6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6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6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6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6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6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6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6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6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6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6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6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6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6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6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6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6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6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6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6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6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6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6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6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6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6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6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6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6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6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6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6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6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6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6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6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6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6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6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6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6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6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6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6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6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6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6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6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6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6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6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6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6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6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6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6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6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6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6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6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6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6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6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6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6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6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6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6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6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6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6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6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6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6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6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6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6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6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6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6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6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6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6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6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6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6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6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6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6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6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6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6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6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6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6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6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6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6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6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6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6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6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6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6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6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6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6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6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6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6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6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6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6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6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6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6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6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6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6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6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6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6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6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6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6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6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6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6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6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6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6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6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6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6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6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6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6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6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6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6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6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6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6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6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6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6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6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6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6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6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6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6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6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6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6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6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6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6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6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6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6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6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6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6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6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6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6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6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6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6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6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6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6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6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6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6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6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6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6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6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6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6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6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6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6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6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6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6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6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6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6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6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6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6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6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6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6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6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6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6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6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6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6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6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6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6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6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6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6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6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6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6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6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6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6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6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6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6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6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6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26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26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26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26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26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26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26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26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26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26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26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26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26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26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26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26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26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26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26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26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26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26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26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26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26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26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26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26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26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26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26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26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26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26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26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26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26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26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26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26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26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26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26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26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26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26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26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26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26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26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26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26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26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26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26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26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26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26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26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26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26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26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26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26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26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26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26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26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26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26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26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26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26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26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26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26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26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26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26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26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26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26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26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26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26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26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26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26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26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26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26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26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26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26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26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26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26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26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26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26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26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26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26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26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26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26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26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26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26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26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26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26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26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26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26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26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26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26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26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26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26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26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26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26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26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26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26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26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26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26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26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26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26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26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26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26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26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26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26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26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26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26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26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26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26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26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26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26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26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26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26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26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26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26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26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26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26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26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26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26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26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26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26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26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26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26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26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26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26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26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26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26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26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26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26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26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26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26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26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26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26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26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26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26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26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26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26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26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26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26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26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26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26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26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26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26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26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26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26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26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26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26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26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26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26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26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26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26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26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26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26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26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26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26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26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26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26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26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26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26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26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26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26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26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26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26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26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26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26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26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26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26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26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26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26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26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26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26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26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26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26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26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26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26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26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26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26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26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26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26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26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26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26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26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26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26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26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26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26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26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26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26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26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26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26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26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26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26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26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26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26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26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26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26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26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26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26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26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26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26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26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26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26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26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26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26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26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26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26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26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26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26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26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26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26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26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26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26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26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26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26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26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26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26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26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26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26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26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26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26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26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26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26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26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26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26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26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26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26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26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26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26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26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26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26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26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26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26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26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26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26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26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26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26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26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26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26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26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26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26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26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6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26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26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26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26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26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26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26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26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26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26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26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26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26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26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26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26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26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26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26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26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26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26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26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26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26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26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26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26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26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26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26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26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26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26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26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26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26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26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26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26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26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26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26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26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26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26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26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26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26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26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26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26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26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26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26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26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26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26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26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26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26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26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26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6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26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26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26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26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26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26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26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26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26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26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26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26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26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26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26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26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26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26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26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26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26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26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26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26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26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26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26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26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26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26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26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26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26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26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26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26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26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26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26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26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26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26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26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26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26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26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26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26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26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26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26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26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26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26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6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26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26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26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26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26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26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26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26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26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26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26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26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26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26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26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6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26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26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26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26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26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26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26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26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26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26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26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26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26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26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26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26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26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26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26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26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26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26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26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26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26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26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26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26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6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26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26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26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26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26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26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26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6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26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26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26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26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26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6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26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26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26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26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26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26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26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26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26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26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26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26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26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26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26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26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26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26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26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26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26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26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26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26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26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26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26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26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26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26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26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26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26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26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26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26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26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26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26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26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26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26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26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26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26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26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26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26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26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26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26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26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26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26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26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26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26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26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26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26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26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26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26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26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26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26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26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26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26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26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26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26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26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26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26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26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26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26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26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26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26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26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26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26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26"/>
      <c r="V970" s="3"/>
      <c r="W970" s="3"/>
      <c r="X970" s="3"/>
      <c r="Y970" s="3"/>
      <c r="Z970" s="3"/>
      <c r="AA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26"/>
      <c r="V971" s="3"/>
      <c r="W971" s="3"/>
      <c r="X971" s="3"/>
      <c r="Y971" s="3"/>
      <c r="Z971" s="3"/>
      <c r="AA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26"/>
      <c r="V972" s="3"/>
      <c r="W972" s="3"/>
      <c r="X972" s="3"/>
      <c r="Y972" s="3"/>
      <c r="Z972" s="3"/>
      <c r="AA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26"/>
      <c r="V973" s="3"/>
      <c r="W973" s="3"/>
      <c r="X973" s="3"/>
      <c r="Y973" s="3"/>
      <c r="Z973" s="3"/>
      <c r="AA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26"/>
      <c r="V974" s="3"/>
      <c r="W974" s="3"/>
      <c r="X974" s="3"/>
      <c r="Y974" s="3"/>
      <c r="Z974" s="3"/>
      <c r="AA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26"/>
      <c r="V975" s="3"/>
      <c r="W975" s="3"/>
      <c r="X975" s="3"/>
      <c r="Y975" s="3"/>
      <c r="Z975" s="3"/>
      <c r="AA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26"/>
      <c r="V976" s="3"/>
      <c r="W976" s="3"/>
      <c r="X976" s="3"/>
      <c r="Y976" s="3"/>
      <c r="Z976" s="3"/>
      <c r="AA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26"/>
      <c r="V977" s="3"/>
      <c r="W977" s="3"/>
      <c r="X977" s="3"/>
      <c r="Y977" s="3"/>
      <c r="Z977" s="3"/>
      <c r="AA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26"/>
      <c r="V978" s="3"/>
      <c r="W978" s="3"/>
      <c r="X978" s="3"/>
      <c r="Y978" s="3"/>
      <c r="Z978" s="3"/>
      <c r="AA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26"/>
      <c r="V979" s="3"/>
      <c r="W979" s="3"/>
      <c r="X979" s="3"/>
      <c r="Y979" s="3"/>
      <c r="Z979" s="3"/>
      <c r="AA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26"/>
      <c r="V980" s="3"/>
      <c r="W980" s="3"/>
      <c r="X980" s="3"/>
      <c r="Y980" s="3"/>
      <c r="Z980" s="3"/>
      <c r="AA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26"/>
      <c r="V981" s="3"/>
      <c r="W981" s="3"/>
      <c r="X981" s="3"/>
      <c r="Y981" s="3"/>
      <c r="Z981" s="3"/>
      <c r="AA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26"/>
      <c r="V982" s="3"/>
      <c r="W982" s="3"/>
      <c r="X982" s="3"/>
      <c r="Y982" s="3"/>
      <c r="Z982" s="3"/>
      <c r="AA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26"/>
      <c r="V983" s="3"/>
      <c r="W983" s="3"/>
      <c r="X983" s="3"/>
      <c r="Y983" s="3"/>
      <c r="Z983" s="3"/>
      <c r="AA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26"/>
      <c r="V984" s="3"/>
      <c r="W984" s="3"/>
      <c r="X984" s="3"/>
      <c r="Y984" s="3"/>
      <c r="Z984" s="3"/>
      <c r="AA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26"/>
      <c r="V985" s="3"/>
      <c r="W985" s="3"/>
      <c r="X985" s="3"/>
      <c r="Y985" s="3"/>
      <c r="Z985" s="3"/>
      <c r="AA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26"/>
      <c r="V986" s="3"/>
      <c r="W986" s="3"/>
      <c r="X986" s="3"/>
      <c r="Y986" s="3"/>
      <c r="Z986" s="3"/>
      <c r="AA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26"/>
      <c r="V987" s="3"/>
      <c r="W987" s="3"/>
      <c r="X987" s="3"/>
      <c r="Y987" s="3"/>
      <c r="Z987" s="3"/>
      <c r="AA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26"/>
      <c r="V988" s="3"/>
      <c r="W988" s="3"/>
      <c r="X988" s="3"/>
      <c r="Y988" s="3"/>
      <c r="Z988" s="3"/>
      <c r="AA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26"/>
      <c r="V989" s="3"/>
      <c r="W989" s="3"/>
      <c r="X989" s="3"/>
      <c r="Y989" s="3"/>
      <c r="Z989" s="3"/>
      <c r="AA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26"/>
      <c r="V990" s="3"/>
      <c r="W990" s="3"/>
      <c r="X990" s="3"/>
      <c r="Y990" s="3"/>
      <c r="Z990" s="3"/>
      <c r="AA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26"/>
      <c r="V991" s="3"/>
      <c r="W991" s="3"/>
      <c r="X991" s="3"/>
      <c r="Y991" s="3"/>
      <c r="Z991" s="3"/>
      <c r="AA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26"/>
      <c r="V992" s="3"/>
      <c r="W992" s="3"/>
      <c r="X992" s="3"/>
      <c r="Y992" s="3"/>
      <c r="Z992" s="3"/>
      <c r="AA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26"/>
      <c r="V993" s="3"/>
      <c r="W993" s="3"/>
      <c r="X993" s="3"/>
      <c r="Y993" s="3"/>
      <c r="Z993" s="3"/>
      <c r="AA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26"/>
      <c r="V994" s="3"/>
      <c r="W994" s="3"/>
      <c r="X994" s="3"/>
      <c r="Y994" s="3"/>
      <c r="Z994" s="3"/>
      <c r="AA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26"/>
      <c r="V995" s="3"/>
      <c r="W995" s="3"/>
      <c r="X995" s="3"/>
      <c r="Y995" s="3"/>
      <c r="Z995" s="3"/>
      <c r="AA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26"/>
      <c r="V996" s="3"/>
      <c r="W996" s="3"/>
      <c r="X996" s="3"/>
      <c r="Y996" s="3"/>
      <c r="Z996" s="3"/>
      <c r="AA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26"/>
      <c r="V997" s="3"/>
      <c r="W997" s="3"/>
      <c r="X997" s="3"/>
      <c r="Y997" s="3"/>
      <c r="Z997" s="3"/>
      <c r="AA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26"/>
      <c r="V998" s="3"/>
      <c r="W998" s="3"/>
      <c r="X998" s="3"/>
      <c r="Y998" s="3"/>
      <c r="Z998" s="3"/>
      <c r="AA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26"/>
      <c r="V999" s="3"/>
      <c r="W999" s="3"/>
      <c r="X999" s="3"/>
      <c r="Y999" s="3"/>
      <c r="Z999" s="3"/>
      <c r="AA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26"/>
      <c r="V1000" s="3"/>
      <c r="W1000" s="3"/>
      <c r="X1000" s="3"/>
      <c r="Y1000" s="3"/>
      <c r="Z1000" s="3"/>
      <c r="AA1000" s="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8" width="8.71"/>
    <col customWidth="1" min="19" max="19" width="9.86"/>
    <col customWidth="1" min="20" max="20" width="17.14"/>
    <col customWidth="1" min="21" max="21" width="15.29"/>
    <col customWidth="1" min="22" max="22" width="8.71"/>
    <col customWidth="1" min="23" max="23" width="12.0"/>
    <col customWidth="1" min="24" max="26" width="8.7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34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6"/>
    </row>
    <row r="2">
      <c r="A2" s="146" t="s">
        <v>1</v>
      </c>
      <c r="B2" s="146" t="s">
        <v>2</v>
      </c>
      <c r="C2" s="146" t="s">
        <v>3</v>
      </c>
      <c r="D2" s="146" t="s">
        <v>4</v>
      </c>
      <c r="E2" s="146" t="s">
        <v>5</v>
      </c>
      <c r="F2" s="146" t="s">
        <v>6</v>
      </c>
      <c r="G2" s="146" t="s">
        <v>7</v>
      </c>
      <c r="H2" s="146" t="s">
        <v>8</v>
      </c>
      <c r="I2" s="146" t="s">
        <v>9</v>
      </c>
      <c r="J2" s="146" t="s">
        <v>10</v>
      </c>
      <c r="K2" s="146" t="s">
        <v>11</v>
      </c>
      <c r="L2" s="146" t="s">
        <v>12</v>
      </c>
      <c r="M2" s="146" t="s">
        <v>13</v>
      </c>
      <c r="N2" s="147" t="s">
        <v>14</v>
      </c>
      <c r="O2" s="3"/>
      <c r="P2" s="148" t="s">
        <v>17</v>
      </c>
      <c r="Q2" s="148" t="s">
        <v>121</v>
      </c>
      <c r="R2" s="149" t="s">
        <v>122</v>
      </c>
      <c r="S2" s="149" t="s">
        <v>140</v>
      </c>
      <c r="T2" s="149" t="s">
        <v>16</v>
      </c>
      <c r="U2" s="149" t="s">
        <v>19</v>
      </c>
      <c r="V2" s="148" t="s">
        <v>20</v>
      </c>
      <c r="W2" s="150" t="s">
        <v>21</v>
      </c>
      <c r="X2" s="148"/>
      <c r="Y2" s="148" t="s">
        <v>22</v>
      </c>
      <c r="Z2" s="149" t="s">
        <v>23</v>
      </c>
    </row>
    <row r="3">
      <c r="A3" s="14">
        <v>0.625</v>
      </c>
      <c r="B3" s="14">
        <v>13.5</v>
      </c>
      <c r="C3" s="14">
        <v>14.25</v>
      </c>
      <c r="D3" s="15">
        <v>0.125</v>
      </c>
      <c r="E3" s="15">
        <v>0.065</v>
      </c>
      <c r="F3" s="15">
        <f>(A3+B3)*C3</f>
        <v>201.28125</v>
      </c>
      <c r="G3" s="15">
        <f>(A3+B3)/E3</f>
        <v>217.3076923</v>
      </c>
      <c r="H3" s="15">
        <f>C3/10</f>
        <v>1.425</v>
      </c>
      <c r="I3" s="15">
        <v>2.5</v>
      </c>
      <c r="J3" s="16">
        <f>H3*G3/60</f>
        <v>5.161057692</v>
      </c>
      <c r="K3" s="16">
        <f>J3+I3</f>
        <v>7.661057692</v>
      </c>
      <c r="L3" s="17">
        <v>225.0</v>
      </c>
      <c r="M3" s="18">
        <f>L3/60</f>
        <v>3.75</v>
      </c>
      <c r="N3" s="18">
        <f>ROUNDUP(K3*M3,1)</f>
        <v>28.8</v>
      </c>
      <c r="O3" s="106"/>
      <c r="P3" s="22">
        <v>0.0</v>
      </c>
      <c r="Q3" s="151">
        <v>0.02</v>
      </c>
      <c r="R3" s="20">
        <v>1.0</v>
      </c>
      <c r="S3" s="171">
        <f>N3*R3</f>
        <v>28.8</v>
      </c>
      <c r="T3" s="21">
        <f>IF(S3&gt;Y3,S3, Y3)</f>
        <v>225</v>
      </c>
      <c r="U3" s="21">
        <f>+T3+P3</f>
        <v>225</v>
      </c>
      <c r="V3" s="21">
        <f>ROUNDUP(U3*Q3,0)</f>
        <v>5</v>
      </c>
      <c r="W3" s="21">
        <f>U3+V3</f>
        <v>230</v>
      </c>
      <c r="X3" s="9"/>
      <c r="Y3" s="24">
        <v>225.0</v>
      </c>
      <c r="Z3" s="152">
        <f>ROUNDDOWN(Y3/N3,0)</f>
        <v>7</v>
      </c>
    </row>
    <row r="4">
      <c r="B4" s="153" t="s">
        <v>28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35"/>
      <c r="Q4" s="154"/>
      <c r="R4" s="84"/>
      <c r="S4" s="84"/>
      <c r="T4" s="134"/>
      <c r="U4" s="134"/>
      <c r="V4" s="134"/>
      <c r="W4" s="134"/>
      <c r="X4" s="84"/>
      <c r="Y4" s="84"/>
      <c r="Z4" s="85"/>
    </row>
    <row r="5">
      <c r="B5" s="40" t="s">
        <v>29</v>
      </c>
      <c r="C5" s="40" t="s">
        <v>3</v>
      </c>
      <c r="D5" s="7" t="s">
        <v>4</v>
      </c>
      <c r="E5" s="40" t="s">
        <v>5</v>
      </c>
      <c r="F5" s="41" t="s">
        <v>30</v>
      </c>
      <c r="G5" s="40" t="s">
        <v>31</v>
      </c>
      <c r="H5" s="40" t="s">
        <v>32</v>
      </c>
      <c r="I5" s="40" t="s">
        <v>33</v>
      </c>
      <c r="J5" s="40" t="s">
        <v>34</v>
      </c>
      <c r="K5" s="40" t="s">
        <v>35</v>
      </c>
      <c r="L5" s="7" t="s">
        <v>12</v>
      </c>
      <c r="M5" s="7" t="s">
        <v>13</v>
      </c>
      <c r="N5" s="42" t="s">
        <v>36</v>
      </c>
      <c r="O5" s="155"/>
      <c r="P5" s="44" t="s">
        <v>17</v>
      </c>
      <c r="Q5" s="156" t="s">
        <v>121</v>
      </c>
      <c r="R5" s="157" t="s">
        <v>122</v>
      </c>
      <c r="S5" s="157" t="s">
        <v>140</v>
      </c>
      <c r="T5" s="158" t="s">
        <v>16</v>
      </c>
      <c r="U5" s="43" t="s">
        <v>19</v>
      </c>
      <c r="V5" s="159" t="s">
        <v>20</v>
      </c>
      <c r="W5" s="160" t="s">
        <v>123</v>
      </c>
      <c r="X5" s="3"/>
      <c r="Y5" s="11" t="s">
        <v>22</v>
      </c>
      <c r="Z5" s="11" t="s">
        <v>23</v>
      </c>
    </row>
    <row r="6">
      <c r="B6" s="14">
        <v>13.0</v>
      </c>
      <c r="C6" s="14">
        <v>5.55</v>
      </c>
      <c r="D6" s="15" t="s">
        <v>24</v>
      </c>
      <c r="E6" s="47">
        <v>0.065</v>
      </c>
      <c r="F6" s="47">
        <f>B6*3.14</f>
        <v>40.82</v>
      </c>
      <c r="G6" s="48">
        <f>F6/E6</f>
        <v>628</v>
      </c>
      <c r="H6" s="47">
        <f>C6/10</f>
        <v>0.555</v>
      </c>
      <c r="I6" s="47">
        <v>2.5</v>
      </c>
      <c r="J6" s="16">
        <f>H6*G6/60</f>
        <v>5.809</v>
      </c>
      <c r="K6" s="49">
        <f>J6+I6</f>
        <v>8.309</v>
      </c>
      <c r="L6" s="17">
        <v>225.0</v>
      </c>
      <c r="M6" s="18">
        <f>L6/60</f>
        <v>3.75</v>
      </c>
      <c r="N6" s="21">
        <f>ROUNDUP(K6*M6,1)</f>
        <v>31.2</v>
      </c>
      <c r="O6" s="106"/>
      <c r="P6" s="22">
        <v>0.0</v>
      </c>
      <c r="Q6" s="151">
        <v>0.02</v>
      </c>
      <c r="R6" s="20">
        <v>93.0</v>
      </c>
      <c r="S6" s="171">
        <f>N6*R6</f>
        <v>2901.6</v>
      </c>
      <c r="T6" s="21">
        <f>IF(S6&gt;Y6,S6, Y6)</f>
        <v>2901.6</v>
      </c>
      <c r="U6" s="21">
        <f>+T6+P6</f>
        <v>2901.6</v>
      </c>
      <c r="V6" s="21">
        <f>ROUNDUP(U6*Q6,0)</f>
        <v>59</v>
      </c>
      <c r="W6" s="21">
        <f>U6+V6</f>
        <v>2960.6</v>
      </c>
      <c r="X6" s="106"/>
      <c r="Y6" s="162">
        <v>225.0</v>
      </c>
      <c r="Z6" s="163">
        <f>ROUNDDOWN(Y6/N6,0)</f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2014-03-20T20:37:55Z</dcterms:created>
  <dc:creator>Jonathan Ortiz</dc:creator>
</cp:coreProperties>
</file>