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gif" ContentType="image/gi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/>
  <mc:AlternateContent xmlns:mc="http://schemas.openxmlformats.org/markup-compatibility/2006">
    <mc:Choice Requires="x15">
      <x15ac:absPath xmlns:x15ac="http://schemas.microsoft.com/office/spreadsheetml/2010/11/ac" url="https://american0-my.sharepoint.com/personal/ms7375a_american_edu/Documents/Ford_Valuation/Final Materials/"/>
    </mc:Choice>
  </mc:AlternateContent>
  <xr:revisionPtr revIDLastSave="188" documentId="13_ncr:1_{FFBC2043-C4AE-A14C-A966-C8593C2FB40B}" xr6:coauthVersionLast="47" xr6:coauthVersionMax="47" xr10:uidLastSave="{05A49F49-B2CA-4EB1-8430-3C398A91D563}"/>
  <bookViews>
    <workbookView xWindow="0" yWindow="740" windowWidth="29040" windowHeight="15720" tabRatio="884" activeTab="1" xr2:uid="{00000000-000D-0000-FFFF-FFFF00000000}"/>
  </bookViews>
  <sheets>
    <sheet name="WACC" sheetId="14" r:id="rId1"/>
    <sheet name="Ford-DCF" sheetId="8" r:id="rId2"/>
    <sheet name="Ford v. industry" sheetId="44" r:id="rId3"/>
    <sheet name="PE table" sheetId="45" r:id="rId4"/>
    <sheet name="PS table" sheetId="46" r:id="rId5"/>
    <sheet name="Ford Motor Co | Cash Flow " sheetId="34" r:id="rId6"/>
    <sheet name="Ford Motor Co | Balance Sheet " sheetId="35" r:id="rId7"/>
    <sheet name="Ford Motor Co | Income Statemen" sheetId="36" r:id="rId8"/>
    <sheet name="F_Analyst Recommendations" sheetId="40" r:id="rId9"/>
    <sheet name="Estimate Information" sheetId="41" r:id="rId10"/>
    <sheet name="Refinitive Stock Report" sheetId="42" r:id="rId11"/>
    <sheet name="Ford Motor Co | Ratios - Key Me" sheetId="37" r:id="rId12"/>
    <sheet name="Key metrics" sheetId="38" r:id="rId13"/>
  </sheets>
  <definedNames>
    <definedName name="CIQWBGuid" hidden="1">"43319a7a-97a7-481b-bf0c-21f7395e6aae"</definedName>
    <definedName name="Company_Name">'Ford-DCF'!$F$8</definedName>
    <definedName name="Cost_of_Debt">WACC!$F$8</definedName>
    <definedName name="Cost_of_Preferred">WACC!$F$9</definedName>
    <definedName name="Diluted_Shares">'Ford-DCF'!$K$20</definedName>
    <definedName name="Discount_Rate">'Ford-DCF'!$F$12</definedName>
    <definedName name="Equity_Risk_Premium">WACC!$F$7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44312.5383796296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Multiples_Method">'Ford-DCF'!$K$8</definedName>
    <definedName name="_xlnm.Print_Area" localSheetId="1">'Ford-DCF'!$A$92:$S$126</definedName>
    <definedName name="_xlnm.Print_Area" localSheetId="0">WACC!$A$1:$Q$43</definedName>
    <definedName name="Risk_Free_Rate">WACC!$F$6</definedName>
    <definedName name="Share_Price">'Ford-DCF'!$F$9</definedName>
    <definedName name="Tax_Rate">'Ford-DCF'!$F$11</definedName>
    <definedName name="Terminal_Growth_Rate">'Ford-DCF'!$F$20</definedName>
    <definedName name="Terminal_Multiple">'Ford-DCF'!$F$15</definedName>
    <definedName name="Ticker">'Ford-DCF'!$H$2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9" i="45" l="1"/>
  <c r="E20" i="45"/>
  <c r="K20" i="45" s="1"/>
  <c r="D20" i="45"/>
  <c r="J20" i="45" s="1"/>
  <c r="C20" i="45"/>
  <c r="I20" i="45" s="1"/>
  <c r="K18" i="45"/>
  <c r="J18" i="45"/>
  <c r="I18" i="45"/>
  <c r="E18" i="45"/>
  <c r="D18" i="45"/>
  <c r="C18" i="45"/>
  <c r="I17" i="45"/>
  <c r="E17" i="45"/>
  <c r="K17" i="45" s="1"/>
  <c r="D17" i="45"/>
  <c r="J17" i="45" s="1"/>
  <c r="C17" i="45"/>
  <c r="J11" i="45"/>
  <c r="J10" i="45"/>
  <c r="B19" i="45" s="1"/>
  <c r="J9" i="45"/>
  <c r="J8" i="45"/>
  <c r="D3" i="46"/>
  <c r="D4" i="46"/>
  <c r="B5" i="46"/>
  <c r="K8" i="46"/>
  <c r="E9" i="46"/>
  <c r="K9" i="46"/>
  <c r="K10" i="46"/>
  <c r="E11" i="46"/>
  <c r="B20" i="46" s="1"/>
  <c r="K11" i="46"/>
  <c r="C17" i="46"/>
  <c r="D17" i="46"/>
  <c r="E17" i="46"/>
  <c r="I17" i="46"/>
  <c r="J17" i="46"/>
  <c r="K17" i="46"/>
  <c r="B18" i="46"/>
  <c r="C18" i="46" s="1"/>
  <c r="I18" i="46" s="1"/>
  <c r="B19" i="46"/>
  <c r="D19" i="46" s="1"/>
  <c r="J19" i="46" s="1"/>
  <c r="C19" i="46"/>
  <c r="I19" i="46" s="1"/>
  <c r="E19" i="45" l="1"/>
  <c r="K19" i="45" s="1"/>
  <c r="D19" i="45"/>
  <c r="J19" i="45" s="1"/>
  <c r="I19" i="45"/>
  <c r="E20" i="46"/>
  <c r="K20" i="46" s="1"/>
  <c r="C20" i="46"/>
  <c r="I20" i="46" s="1"/>
  <c r="D20" i="46"/>
  <c r="J20" i="46" s="1"/>
  <c r="E18" i="46"/>
  <c r="K18" i="46" s="1"/>
  <c r="E19" i="46"/>
  <c r="K19" i="46" s="1"/>
  <c r="D18" i="46"/>
  <c r="J18" i="46" s="1"/>
  <c r="B18" i="44" l="1"/>
  <c r="C18" i="44"/>
  <c r="D18" i="44"/>
  <c r="E18" i="44"/>
  <c r="F18" i="44"/>
  <c r="G18" i="44"/>
  <c r="H18" i="44"/>
  <c r="I18" i="44"/>
  <c r="J18" i="44"/>
  <c r="K18" i="44"/>
  <c r="I16" i="14"/>
  <c r="I17" i="14"/>
  <c r="I18" i="14"/>
  <c r="I19" i="14"/>
  <c r="I20" i="14"/>
  <c r="I15" i="14"/>
  <c r="I29" i="14"/>
  <c r="D74" i="8" l="1"/>
  <c r="D75" i="8" s="1"/>
  <c r="D76" i="8" s="1"/>
  <c r="D77" i="8" s="1"/>
  <c r="D72" i="8"/>
  <c r="D71" i="8" s="1"/>
  <c r="D70" i="8" s="1"/>
  <c r="D69" i="8" s="1"/>
  <c r="F68" i="8"/>
  <c r="G68" i="8" s="1"/>
  <c r="H68" i="8" s="1"/>
  <c r="I68" i="8" s="1"/>
  <c r="J68" i="8" s="1"/>
  <c r="K68" i="8" s="1"/>
  <c r="L68" i="8" s="1"/>
  <c r="M68" i="8" s="1"/>
  <c r="F11" i="8" l="1"/>
  <c r="K20" i="8"/>
  <c r="F31" i="8" l="1"/>
  <c r="F33" i="8" s="1"/>
  <c r="B38" i="34"/>
  <c r="F55" i="8" l="1"/>
  <c r="G55" i="8"/>
  <c r="H55" i="8"/>
  <c r="I55" i="8"/>
  <c r="J55" i="8"/>
  <c r="F50" i="8"/>
  <c r="F49" i="8"/>
  <c r="F48" i="8"/>
  <c r="F47" i="8"/>
  <c r="G50" i="8"/>
  <c r="G49" i="8"/>
  <c r="G48" i="8"/>
  <c r="G47" i="8"/>
  <c r="F42" i="8"/>
  <c r="F43" i="8" s="1"/>
  <c r="G42" i="8"/>
  <c r="G43" i="8" s="1"/>
  <c r="F40" i="8"/>
  <c r="G40" i="8"/>
  <c r="G31" i="8"/>
  <c r="F29" i="8"/>
  <c r="F30" i="8" s="1"/>
  <c r="G29" i="8"/>
  <c r="K17" i="8"/>
  <c r="P17" i="8" s="1"/>
  <c r="G61" i="8" l="1"/>
  <c r="F61" i="8"/>
  <c r="F56" i="8"/>
  <c r="G56" i="8"/>
  <c r="G33" i="8"/>
  <c r="F51" i="8"/>
  <c r="G51" i="8"/>
  <c r="F41" i="8"/>
  <c r="G41" i="8"/>
  <c r="F35" i="8"/>
  <c r="F37" i="8" s="1"/>
  <c r="G35" i="8"/>
  <c r="G37" i="8" s="1"/>
  <c r="G30" i="8"/>
  <c r="F32" i="8"/>
  <c r="G32" i="8"/>
  <c r="G58" i="8" l="1"/>
  <c r="G62" i="8"/>
  <c r="F62" i="8"/>
  <c r="F58" i="8"/>
  <c r="F59" i="8" s="1"/>
  <c r="F52" i="8"/>
  <c r="F53" i="8"/>
  <c r="G52" i="8"/>
  <c r="G53" i="8"/>
  <c r="G59" i="8" l="1"/>
  <c r="H16" i="14" l="1"/>
  <c r="H17" i="14"/>
  <c r="H18" i="14"/>
  <c r="L18" i="14" s="1"/>
  <c r="H19" i="14"/>
  <c r="L19" i="14" s="1"/>
  <c r="H20" i="14"/>
  <c r="H15" i="14"/>
  <c r="K29" i="14"/>
  <c r="K30" i="14" s="1"/>
  <c r="D22" i="14"/>
  <c r="J50" i="8" l="1"/>
  <c r="I50" i="8"/>
  <c r="J49" i="8"/>
  <c r="I49" i="8"/>
  <c r="J48" i="8"/>
  <c r="I48" i="8"/>
  <c r="J47" i="8"/>
  <c r="I47" i="8"/>
  <c r="H50" i="8"/>
  <c r="H49" i="8"/>
  <c r="H48" i="8"/>
  <c r="H47" i="8"/>
  <c r="J42" i="8"/>
  <c r="J43" i="8" s="1"/>
  <c r="I42" i="8"/>
  <c r="I43" i="8" s="1"/>
  <c r="H42" i="8"/>
  <c r="H43" i="8" s="1"/>
  <c r="J40" i="8"/>
  <c r="I40" i="8"/>
  <c r="H40" i="8"/>
  <c r="J31" i="8"/>
  <c r="I31" i="8"/>
  <c r="H31" i="8"/>
  <c r="H33" i="8" s="1"/>
  <c r="J29" i="8"/>
  <c r="I29" i="8"/>
  <c r="H29" i="8"/>
  <c r="H30" i="8" s="1"/>
  <c r="K31" i="8" l="1"/>
  <c r="J33" i="8"/>
  <c r="I33" i="8"/>
  <c r="H32" i="8"/>
  <c r="J82" i="8"/>
  <c r="K82" i="8" s="1"/>
  <c r="L82" i="8" s="1"/>
  <c r="M82" i="8" s="1"/>
  <c r="H82" i="8"/>
  <c r="G82" i="8" s="1"/>
  <c r="F82" i="8" s="1"/>
  <c r="E82" i="8" s="1"/>
  <c r="G119" i="8"/>
  <c r="F118" i="8"/>
  <c r="H118" i="8"/>
  <c r="F117" i="8"/>
  <c r="H117" i="8"/>
  <c r="B2" i="8"/>
  <c r="B6" i="8"/>
  <c r="I41" i="8"/>
  <c r="P20" i="8"/>
  <c r="J25" i="8"/>
  <c r="K25" i="8" s="1"/>
  <c r="L25" i="8" s="1"/>
  <c r="M25" i="8" s="1"/>
  <c r="B27" i="8"/>
  <c r="I27" i="8"/>
  <c r="H27" i="8" s="1"/>
  <c r="G27" i="8" s="1"/>
  <c r="F27" i="8" s="1"/>
  <c r="K27" i="8"/>
  <c r="L27" i="8" s="1"/>
  <c r="M27" i="8" s="1"/>
  <c r="N27" i="8" s="1"/>
  <c r="O27" i="8" s="1"/>
  <c r="I30" i="8"/>
  <c r="J30" i="8"/>
  <c r="I32" i="8"/>
  <c r="J32" i="8"/>
  <c r="H41" i="8"/>
  <c r="J41" i="8"/>
  <c r="H44" i="8"/>
  <c r="I44" i="8"/>
  <c r="J44" i="8"/>
  <c r="H51" i="8"/>
  <c r="H52" i="8" s="1"/>
  <c r="I51" i="8"/>
  <c r="I53" i="8" s="1"/>
  <c r="J51" i="8"/>
  <c r="J53" i="8" s="1"/>
  <c r="H56" i="8"/>
  <c r="I56" i="8"/>
  <c r="J56" i="8"/>
  <c r="H61" i="8"/>
  <c r="H62" i="8" s="1"/>
  <c r="I61" i="8"/>
  <c r="J61" i="8"/>
  <c r="C118" i="8"/>
  <c r="I119" i="8"/>
  <c r="B2" i="14"/>
  <c r="L15" i="14"/>
  <c r="L16" i="14"/>
  <c r="L17" i="14"/>
  <c r="L20" i="14"/>
  <c r="E22" i="14"/>
  <c r="G22" i="14"/>
  <c r="I22" i="14"/>
  <c r="K22" i="14"/>
  <c r="B24" i="14"/>
  <c r="B26" i="14"/>
  <c r="C29" i="14"/>
  <c r="C30" i="14"/>
  <c r="L34" i="14"/>
  <c r="K56" i="8" l="1"/>
  <c r="L31" i="8"/>
  <c r="K41" i="8"/>
  <c r="G117" i="8"/>
  <c r="J22" i="14"/>
  <c r="J30" i="14" s="1"/>
  <c r="I30" i="14" s="1"/>
  <c r="I62" i="8"/>
  <c r="G118" i="8"/>
  <c r="J35" i="8"/>
  <c r="J37" i="8" s="1"/>
  <c r="J58" i="8" s="1"/>
  <c r="I35" i="8"/>
  <c r="I37" i="8" s="1"/>
  <c r="I58" i="8" s="1"/>
  <c r="H53" i="8"/>
  <c r="C117" i="8"/>
  <c r="J62" i="8"/>
  <c r="H35" i="8"/>
  <c r="H37" i="8" s="1"/>
  <c r="H58" i="8" s="1"/>
  <c r="H59" i="8" s="1"/>
  <c r="L22" i="14"/>
  <c r="D29" i="14" s="1"/>
  <c r="H22" i="14"/>
  <c r="H30" i="14" s="1"/>
  <c r="G30" i="14" s="1"/>
  <c r="F22" i="14"/>
  <c r="F30" i="14" s="1"/>
  <c r="J52" i="8"/>
  <c r="I52" i="8"/>
  <c r="E30" i="14" l="1"/>
  <c r="L56" i="8"/>
  <c r="M56" i="8" s="1"/>
  <c r="K52" i="8"/>
  <c r="L52" i="8" s="1"/>
  <c r="L41" i="8"/>
  <c r="M31" i="8"/>
  <c r="K29" i="8"/>
  <c r="K32" i="8" s="1"/>
  <c r="L29" i="14"/>
  <c r="L32" i="14" s="1"/>
  <c r="L38" i="14" s="1"/>
  <c r="I59" i="8"/>
  <c r="J59" i="8"/>
  <c r="L40" i="14"/>
  <c r="D30" i="14"/>
  <c r="N56" i="8" l="1"/>
  <c r="O56" i="8" s="1"/>
  <c r="M52" i="8"/>
  <c r="M41" i="8"/>
  <c r="N31" i="8"/>
  <c r="L30" i="14"/>
  <c r="L33" i="14" s="1"/>
  <c r="L39" i="14" s="1"/>
  <c r="L42" i="14" s="1"/>
  <c r="F12" i="8" l="1"/>
  <c r="N52" i="8"/>
  <c r="O52" i="8" s="1"/>
  <c r="N41" i="8"/>
  <c r="O31" i="8"/>
  <c r="K55" i="8"/>
  <c r="O41" i="8" l="1"/>
  <c r="L29" i="8"/>
  <c r="K51" i="8"/>
  <c r="K53" i="8" s="1"/>
  <c r="L32" i="8" l="1"/>
  <c r="K35" i="8"/>
  <c r="K42" i="8" s="1"/>
  <c r="K44" i="8" s="1"/>
  <c r="K61" i="8"/>
  <c r="K62" i="8" s="1"/>
  <c r="L51" i="8"/>
  <c r="L53" i="8" s="1"/>
  <c r="L55" i="8"/>
  <c r="M29" i="8"/>
  <c r="M32" i="8" l="1"/>
  <c r="K37" i="8"/>
  <c r="K58" i="8" s="1"/>
  <c r="K59" i="8" s="1"/>
  <c r="L35" i="8"/>
  <c r="L42" i="8" s="1"/>
  <c r="L44" i="8" s="1"/>
  <c r="L61" i="8"/>
  <c r="L62" i="8" s="1"/>
  <c r="M51" i="8"/>
  <c r="M53" i="8" s="1"/>
  <c r="M55" i="8"/>
  <c r="N29" i="8"/>
  <c r="N32" i="8" l="1"/>
  <c r="O29" i="8"/>
  <c r="N51" i="8"/>
  <c r="N53" i="8" s="1"/>
  <c r="N55" i="8"/>
  <c r="M61" i="8"/>
  <c r="M62" i="8" s="1"/>
  <c r="M35" i="8"/>
  <c r="M42" i="8" s="1"/>
  <c r="M44" i="8" s="1"/>
  <c r="L37" i="8"/>
  <c r="L58" i="8" s="1"/>
  <c r="O32" i="8" l="1"/>
  <c r="M37" i="8"/>
  <c r="M58" i="8" s="1"/>
  <c r="M59" i="8" s="1"/>
  <c r="N61" i="8"/>
  <c r="N62" i="8" s="1"/>
  <c r="N35" i="8"/>
  <c r="N42" i="8" s="1"/>
  <c r="N44" i="8" s="1"/>
  <c r="L59" i="8"/>
  <c r="O51" i="8"/>
  <c r="O53" i="8" s="1"/>
  <c r="O55" i="8"/>
  <c r="O61" i="8" l="1"/>
  <c r="O35" i="8"/>
  <c r="O42" i="8" s="1"/>
  <c r="O44" i="8" s="1"/>
  <c r="N37" i="8"/>
  <c r="N58" i="8" s="1"/>
  <c r="N59" i="8" l="1"/>
  <c r="O62" i="8"/>
  <c r="F16" i="8"/>
  <c r="O37" i="8"/>
  <c r="O58" i="8" s="1"/>
  <c r="O59" i="8" l="1"/>
  <c r="F21" i="8"/>
  <c r="K10" i="8"/>
  <c r="F17" i="8"/>
  <c r="P11" i="8"/>
  <c r="K11" i="8"/>
  <c r="K12" i="8" l="1"/>
  <c r="K19" i="8" s="1"/>
  <c r="K22" i="8" s="1"/>
  <c r="P10" i="8"/>
  <c r="F22" i="8"/>
  <c r="K15" i="8" l="1"/>
  <c r="P12" i="8"/>
  <c r="P19" i="8" s="1"/>
  <c r="P22" i="8" s="1"/>
  <c r="D68" i="8" s="1"/>
  <c r="K23" i="8"/>
  <c r="I117" i="8"/>
  <c r="D82" i="8"/>
  <c r="P15" i="8" l="1"/>
  <c r="I118" i="8"/>
  <c r="P23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auadmin</author>
    <author>BIWS</author>
  </authors>
  <commentList>
    <comment ref="B6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The Risk-Free Rate (RFR) represents what you could earn on “safe” government bonds denominated in the same currency as this company’s cash flows. So if it’s a French company but it has mostly U.S.-based customers, and it records its financials in US Dollars, you would use the current rate on U.S. Treasury bonds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6" authorId="1" shapeId="0" xr:uid="{00000000-0006-0000-0400-000002000000}">
      <text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10-Year US Treasury rate as of the valuation date.</t>
        </r>
      </text>
    </comment>
    <comment ref="B7" authorId="0" shapeId="0" xr:uid="{00000000-0006-0000-0400-000003000000}">
      <text>
        <r>
          <rPr>
            <b/>
            <sz val="9"/>
            <color indexed="81"/>
            <rFont val="Tahoma"/>
            <family val="2"/>
          </rPr>
          <t>Equity Risk Premium (ERP) represents the percentage the stock market will return each year, on average, above and beyond the rate on “safe” government bonds.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7" authorId="1" shapeId="0" xr:uid="{00000000-0006-0000-0400-000004000000}">
      <text>
        <r>
          <rPr>
            <sz val="9"/>
            <color rgb="FF000000"/>
            <rFont val="Tahoma"/>
            <family val="2"/>
          </rPr>
          <t>Roughly in the middle of the typical range of 4-7% given in textbooks and other sources; implies a long-term stock market return of 8-10%. Use Thomson Reuters and/or Bloomberg</t>
        </r>
      </text>
    </comment>
    <comment ref="F8" authorId="1" shapeId="0" xr:uid="{00000000-0006-0000-0400-000005000000}">
      <text>
        <r>
          <rPr>
            <sz val="9"/>
            <color rgb="FF000000"/>
            <rFont val="Tahoma"/>
            <family val="2"/>
          </rPr>
          <t>Based on weighted-average YTM on the company's current bonds outstanding.</t>
        </r>
      </text>
    </comment>
    <comment ref="F9" authorId="1" shapeId="0" xr:uid="{00000000-0006-0000-0400-000006000000}">
      <text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No outstanding Preferred Stock.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BIWS</author>
    <author>auadmin</author>
    <author>Octavian Ionici</author>
    <author>Administrator</author>
  </authors>
  <commentList>
    <comment ref="F11" authorId="0" shapeId="0" xr:uid="{00000000-0006-0000-0300-000001000000}">
      <text>
        <r>
          <rPr>
            <sz val="9"/>
            <color rgb="FF000000"/>
            <rFont val="Tahoma"/>
            <family val="2"/>
          </rPr>
          <t>Choose the most recent Annual Effective tax rate or the Average of the Effective Tax Rates from the previous 2 years from the most recent 10-K Annual Report.</t>
        </r>
      </text>
    </comment>
    <comment ref="F12" authorId="0" shapeId="0" xr:uid="{00000000-0006-0000-0300-000002000000}">
      <text>
        <r>
          <rPr>
            <sz val="9"/>
            <color rgb="FF000000"/>
            <rFont val="Tahoma"/>
            <family val="2"/>
          </rPr>
          <t xml:space="preserve">Would normally come from WACC sheet we used in class or WACC analysis based on comps </t>
        </r>
      </text>
    </comment>
    <comment ref="F15" authorId="1" shapeId="0" xr:uid="{00000000-0006-0000-0300-000003000000}">
      <text>
        <r>
          <rPr>
            <b/>
            <sz val="9"/>
            <color rgb="FF000000"/>
            <rFont val="Tahoma"/>
            <family val="2"/>
          </rPr>
          <t>Next 12 mo EV/EBITDA multiple from the Peers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K17" authorId="0" shapeId="0" xr:uid="{00000000-0006-0000-0300-000004000000}">
      <text>
        <r>
          <rPr>
            <sz val="9"/>
            <color rgb="FF000000"/>
            <rFont val="Tahoma"/>
            <family val="2"/>
          </rPr>
          <t>=Tot LT Debt + Current Portion of LT Debt -Cash -Restricted Cash- Convertible debt if it is converted to equity</t>
        </r>
      </text>
    </comment>
    <comment ref="P17" authorId="0" shapeId="0" xr:uid="{59DFC47C-9775-4A61-B973-B084DE8F10C4}">
      <text>
        <r>
          <rPr>
            <sz val="9"/>
            <color rgb="FF000000"/>
            <rFont val="Tahoma"/>
            <family val="2"/>
          </rPr>
          <t>=Tot LT Debt + Current Portion of LT Debt -Cash -Restricted Cash- Convertible debt if it is converted to equity</t>
        </r>
      </text>
    </comment>
    <comment ref="K32" authorId="0" shapeId="0" xr:uid="{00000000-0006-0000-0300-000006000000}">
      <text>
        <r>
          <rPr>
            <sz val="9"/>
            <color rgb="FF000000"/>
            <rFont val="Tahoma"/>
            <family val="2"/>
          </rPr>
          <t>Basing margin improvement trend here on equity research.</t>
        </r>
      </text>
    </comment>
    <comment ref="C37" authorId="2" shapeId="0" xr:uid="{F41613B6-C1DA-41B9-9F9A-5AA9F822D10E}">
      <text>
        <r>
          <rPr>
            <b/>
            <sz val="9"/>
            <color rgb="FF000000"/>
            <rFont val="Tahoma"/>
            <family val="2"/>
          </rPr>
          <t>NOPAT stands for net operating profit after taxes.  It represents a company's operating profits less tax expense on operations.  This means that the tax deductions due to interest expense are ignored in this calculation and are instead captured in the discount rate</t>
        </r>
        <r>
          <rPr>
            <sz val="9"/>
            <color rgb="FF000000"/>
            <rFont val="Tahoma"/>
            <family val="2"/>
          </rPr>
          <t xml:space="preserve">
</t>
        </r>
      </text>
    </comment>
    <comment ref="C42" authorId="3" shapeId="0" xr:uid="{C899F389-2965-46EE-8DE3-221B07A6D09E}">
      <text>
        <r>
          <rPr>
            <b/>
            <sz val="9"/>
            <color indexed="81"/>
            <rFont val="Tahoma"/>
            <family val="2"/>
          </rPr>
          <t>It is a balance sheet item which  refers to the tax that is overpaid or owed by the company to the tax authorities. Deferred tax impacts the future cash flows of the company - while deferred tax assets lower the cash outflow, deferred tax liability increases the cash outflow for the company in the future. Deferred tax is a balance sheet line item recorded because the Company owes or pays more tax to the authorities.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3" authorId="0" shapeId="0" xr:uid="{D176C63D-F138-D24E-80D6-29BBB61AC03A}">
      <text>
        <r>
          <rPr>
            <sz val="9"/>
            <color rgb="FF000000"/>
            <rFont val="Tahoma"/>
            <family val="2"/>
          </rPr>
          <t>Book tax figures from Income Statement on 10-K.</t>
        </r>
      </text>
    </comment>
    <comment ref="G43" authorId="0" shapeId="0" xr:uid="{715E46CA-C3F7-204E-9987-82002D53BBE2}">
      <text>
        <r>
          <rPr>
            <sz val="9"/>
            <color rgb="FF000000"/>
            <rFont val="Tahoma"/>
            <family val="2"/>
          </rPr>
          <t>Book tax figures from Income Statement on 10-K.</t>
        </r>
      </text>
    </comment>
    <comment ref="H43" authorId="0" shapeId="0" xr:uid="{D9DC6681-FBCD-C841-B6DA-F86FDD286E72}">
      <text>
        <r>
          <rPr>
            <sz val="9"/>
            <color rgb="FF000000"/>
            <rFont val="Tahoma"/>
            <family val="2"/>
          </rPr>
          <t>Book tax figures from Income Statement on 10-K.</t>
        </r>
      </text>
    </comment>
    <comment ref="I43" authorId="0" shapeId="0" xr:uid="{6004C724-85F0-A843-9961-A6DBB7D61B76}">
      <text>
        <r>
          <rPr>
            <sz val="9"/>
            <color rgb="FF000000"/>
            <rFont val="Tahoma"/>
            <family val="2"/>
          </rPr>
          <t>Book tax figures from Income Statement on 10-K.</t>
        </r>
      </text>
    </comment>
    <comment ref="J43" authorId="0" shapeId="0" xr:uid="{00000000-0006-0000-0300-000009000000}">
      <text>
        <r>
          <rPr>
            <sz val="9"/>
            <color rgb="FF000000"/>
            <rFont val="Tahoma"/>
            <family val="2"/>
          </rPr>
          <t>Book tax figures from Income Statement on 10-K.</t>
        </r>
      </text>
    </comment>
    <comment ref="K51" authorId="1" shapeId="0" xr:uid="{00000000-0006-0000-0300-00000A000000}">
      <text>
        <r>
          <rPr>
            <b/>
            <sz val="9"/>
            <color rgb="FF000000"/>
            <rFont val="Tahoma"/>
            <family val="2"/>
          </rPr>
          <t xml:space="preserve">Net Change in WK = </t>
        </r>
        <r>
          <rPr>
            <sz val="9"/>
            <color rgb="FF000000"/>
            <rFont val="Tahoma"/>
            <family val="2"/>
          </rPr>
          <t>% Change in Revenue * (Revenue current Yr - Revenue last year) = I55*(I27-H27)</t>
        </r>
      </text>
    </comment>
    <comment ref="F52" authorId="0" shapeId="0" xr:uid="{7D7DD393-DDFB-DD49-8066-32B16006EFF9}">
      <text>
        <r>
          <rPr>
            <sz val="9"/>
            <color rgb="FF000000"/>
            <rFont val="Tahoma"/>
            <family val="2"/>
          </rPr>
          <t>Revenue from older 10-K for the previous yr.</t>
        </r>
      </text>
    </comment>
    <comment ref="G52" authorId="0" shapeId="0" xr:uid="{587AF203-1B08-084A-974A-3C91370D01EE}">
      <text>
        <r>
          <rPr>
            <sz val="9"/>
            <color rgb="FF000000"/>
            <rFont val="Tahoma"/>
            <family val="2"/>
          </rPr>
          <t>Revenue from older 10-K for the previous yr.</t>
        </r>
      </text>
    </comment>
    <comment ref="H52" authorId="0" shapeId="0" xr:uid="{00000000-0006-0000-0300-00000B000000}">
      <text>
        <r>
          <rPr>
            <sz val="9"/>
            <color rgb="FF000000"/>
            <rFont val="Tahoma"/>
            <family val="2"/>
          </rPr>
          <t>Revenue from older 10-K for the previous yr.</t>
        </r>
      </text>
    </comment>
    <comment ref="K52" authorId="0" shapeId="0" xr:uid="{00000000-0006-0000-0300-00000C000000}">
      <text>
        <r>
          <rPr>
            <sz val="9"/>
            <color rgb="FF000000"/>
            <rFont val="Tahoma"/>
            <family val="2"/>
          </rPr>
          <t>As revenue goes up, more working capital required due to inventory, among other items - but if revenue drops, working capital requirements decrease (see the historical Year 2).</t>
        </r>
      </text>
    </comment>
    <comment ref="K56" authorId="0" shapeId="0" xr:uid="{00000000-0006-0000-0300-00000D000000}">
      <text>
        <r>
          <rPr>
            <sz val="9"/>
            <color rgb="FF000000"/>
            <rFont val="Tahoma"/>
            <family val="2"/>
          </rPr>
          <t>Want this to stay ahead of D&amp;A to reflect continued investment requirements of the business.</t>
        </r>
      </text>
    </comment>
  </commentList>
</comments>
</file>

<file path=xl/sharedStrings.xml><?xml version="1.0" encoding="utf-8"?>
<sst xmlns="http://schemas.openxmlformats.org/spreadsheetml/2006/main" count="2350" uniqueCount="1091">
  <si>
    <t>($ USD in Millions Except Per Share Amounts in USD as Stated)</t>
  </si>
  <si>
    <t>Discount Rate Calculations - Assumptions:</t>
  </si>
  <si>
    <t>Risk-Free Rate:</t>
  </si>
  <si>
    <t>Equity Risk Premium:</t>
  </si>
  <si>
    <t>Unlevered Beta = Levered Beta / (1 + Debt/Equity Ratio * (1 – Tax Rate) + Preferred/Equity Ratio)</t>
  </si>
  <si>
    <t>Pre-Tax Cost of Debt:</t>
  </si>
  <si>
    <t>Cost of Preferred Stock:</t>
  </si>
  <si>
    <t>Levered Beta = Unlevered Beta * (1 + Debt/Equity Ratio * (1 – Tax Rate) + Preferred/Equity Ratio)</t>
  </si>
  <si>
    <t>Comparable Companies - Unlevered Beta Calculation:</t>
  </si>
  <si>
    <t>Levered</t>
  </si>
  <si>
    <t>Preferred</t>
  </si>
  <si>
    <t>Equity</t>
  </si>
  <si>
    <t>Unlevered</t>
  </si>
  <si>
    <t>Name</t>
  </si>
  <si>
    <t>Ticker</t>
  </si>
  <si>
    <t>Beta</t>
  </si>
  <si>
    <t>Debt</t>
  </si>
  <si>
    <t>% Debt</t>
  </si>
  <si>
    <t>Stock</t>
  </si>
  <si>
    <t>% Preferred</t>
  </si>
  <si>
    <t>Value</t>
  </si>
  <si>
    <t>% Equity</t>
  </si>
  <si>
    <t>Tax Rate</t>
  </si>
  <si>
    <t>General Motors Co</t>
  </si>
  <si>
    <t>GM</t>
  </si>
  <si>
    <t>Stellantis NV</t>
  </si>
  <si>
    <t>STLAM</t>
  </si>
  <si>
    <t>Volkswagen AG</t>
  </si>
  <si>
    <t>VOWG</t>
  </si>
  <si>
    <t>Renault SA</t>
  </si>
  <si>
    <t>RENA</t>
  </si>
  <si>
    <t>Honda Motor Co Ltd</t>
  </si>
  <si>
    <t>HONDA</t>
  </si>
  <si>
    <t>Nissan Motor Co Ltd</t>
  </si>
  <si>
    <t>NISMO</t>
  </si>
  <si>
    <t>Median:</t>
  </si>
  <si>
    <t>F</t>
  </si>
  <si>
    <t>Current Capital Structure:</t>
  </si>
  <si>
    <t>"Optimal" Capital Structure:</t>
  </si>
  <si>
    <t>Cost of Equity Based on Comparables, Current Capital Structure:</t>
  </si>
  <si>
    <t>Cost of Equity Based on Comparables, "Optimal" Capital Structure:</t>
  </si>
  <si>
    <t>Cost of Equity Based on Historical Beta:</t>
  </si>
  <si>
    <t>WACC = Cost of Equity * % Equity + Cost of Debt * (1 - Tax Rate) * % Debt + Cost of Preferred Stock * % Preferred Stock</t>
  </si>
  <si>
    <t>WACC, Current Capital Structure:</t>
  </si>
  <si>
    <t>WACC, "Optimal" Capital Structure:</t>
  </si>
  <si>
    <t>WACC, Current Capital Structure and Historical Cost of Equity:</t>
  </si>
  <si>
    <t>Average WACC Produced by All Methods:</t>
  </si>
  <si>
    <t xml:space="preserve">Ticker </t>
  </si>
  <si>
    <t>Date</t>
  </si>
  <si>
    <t>Last Fiscal Year:</t>
  </si>
  <si>
    <t>($ in Millions Except Per Share Data)</t>
  </si>
  <si>
    <t>Exchange</t>
  </si>
  <si>
    <t>NYQ</t>
  </si>
  <si>
    <t>Company Name:</t>
  </si>
  <si>
    <t>Ford Motor Company</t>
  </si>
  <si>
    <t>Terminal EBITDA Multiple Approach</t>
  </si>
  <si>
    <t>Terminal FCF Growth Rate - Perpetuity Approach</t>
  </si>
  <si>
    <t>Current Share Price:</t>
  </si>
  <si>
    <t>Nov 8,2023</t>
  </si>
  <si>
    <t>PV of Terminal Value:</t>
  </si>
  <si>
    <t>Effective Tax Rate:</t>
  </si>
  <si>
    <t>Sum of PV of Free Cash Flows:</t>
  </si>
  <si>
    <t>Discount Rate (WACC):</t>
  </si>
  <si>
    <t>Implied Enterprise Value:</t>
  </si>
  <si>
    <t>Baseline Terminal EBITDA Multiple:</t>
  </si>
  <si>
    <t>% of Implied EV from Terminal Value:</t>
  </si>
  <si>
    <t>Baseline Terminal Value:</t>
  </si>
  <si>
    <t>Implied Terminal FCF Growth Rate:</t>
  </si>
  <si>
    <t>Less: Net Debt:</t>
  </si>
  <si>
    <t>Implied Equity Value:</t>
  </si>
  <si>
    <t>Baseline Terminal FCF Growth Rate:</t>
  </si>
  <si>
    <t>Diluted Shares Outstanding:</t>
  </si>
  <si>
    <t>Implied Terminal EBITDA Multiple:</t>
  </si>
  <si>
    <t>Implied Intrinsic Value Per Share:</t>
  </si>
  <si>
    <t>Premium / (Discount) to Current Price:</t>
  </si>
  <si>
    <t>Historical</t>
  </si>
  <si>
    <t>Projected</t>
  </si>
  <si>
    <t>Trend</t>
  </si>
  <si>
    <t>Revenue:</t>
  </si>
  <si>
    <t>Revenue Growth Rate:</t>
  </si>
  <si>
    <t>Operating Income (EBIT):</t>
  </si>
  <si>
    <t>Operating Margin:</t>
  </si>
  <si>
    <t>Growth Rate:</t>
  </si>
  <si>
    <t>Less: Taxes, Excluding Effect of Interest:</t>
  </si>
  <si>
    <t>Net Operating Profit After Tax (NOPAT):</t>
  </si>
  <si>
    <t>Adjustments for Non-Cash Charges:</t>
  </si>
  <si>
    <t>Depreciation &amp; Amortization:</t>
  </si>
  <si>
    <t>% Revenue:</t>
  </si>
  <si>
    <t>Deferred Income Taxes:</t>
  </si>
  <si>
    <t>% Book Taxes on Income Statement:</t>
  </si>
  <si>
    <t>Total Non-Cash Adjustments:</t>
  </si>
  <si>
    <t>Changes in Working Capital:</t>
  </si>
  <si>
    <t>Decrease / (Increase) in Accounts Receivable:</t>
  </si>
  <si>
    <t>Decrease / (Increase) in Inventory:</t>
  </si>
  <si>
    <t>Increase / (Decrease) in Accounts Payable:</t>
  </si>
  <si>
    <t>Increase / (Decrease) in Other Operating Cash Flow</t>
  </si>
  <si>
    <t>Net Change in Working Capital:</t>
  </si>
  <si>
    <t>% Change in Revenue:</t>
  </si>
  <si>
    <t>Less: Capital Expenditures:</t>
  </si>
  <si>
    <t>Unlevered Free Cash Flow:</t>
  </si>
  <si>
    <t>EBITDA:</t>
  </si>
  <si>
    <t>Sensitivity - Implied Share Price from DCF Analysis - Long-Term FCF Growth Rate vs. Discount Rate (WACC):</t>
  </si>
  <si>
    <t>Terminal FCF Growth Rate:</t>
  </si>
  <si>
    <t>Terminal EBITDA Multiple:</t>
  </si>
  <si>
    <t>Low</t>
  </si>
  <si>
    <t>Diff.</t>
  </si>
  <si>
    <t>High</t>
  </si>
  <si>
    <t>Intrinsic Value</t>
  </si>
  <si>
    <t>52 Week Market High/Low</t>
  </si>
  <si>
    <t>Identifier (RIC)</t>
  </si>
  <si>
    <t>Company Name</t>
  </si>
  <si>
    <t>Revenue 5 YR Hist Growth</t>
  </si>
  <si>
    <t>Earnings Per Share - Mean
(FY1, usd)</t>
  </si>
  <si>
    <t>Price / EPS (SmartEstimate ®)
(FY1)</t>
  </si>
  <si>
    <t>Historic Price/Rev/Shr (dil.), 5 Yr Avg
(FY0)</t>
  </si>
  <si>
    <t>Price to Book 5 YR Avg</t>
  </si>
  <si>
    <t>Price to Cash Flow 5 YR Avg</t>
  </si>
  <si>
    <t>Net Profit Margin, (%)
(FY0)</t>
  </si>
  <si>
    <t>Total Debt to Total Equity, Percent
(FY0)</t>
  </si>
  <si>
    <t>ROE Common Equity %, TTM
(FI0)</t>
  </si>
  <si>
    <t>Return On Assets - Actual
(FY0)</t>
  </si>
  <si>
    <t>Ford Motor Co</t>
  </si>
  <si>
    <t>GM.N</t>
  </si>
  <si>
    <t>STLAM.MI</t>
  </si>
  <si>
    <t>VOWG_p.DE</t>
  </si>
  <si>
    <t>RENA.PA</t>
  </si>
  <si>
    <t>005380.KS</t>
  </si>
  <si>
    <t>Hyundai Motor Co</t>
  </si>
  <si>
    <t>7267.T</t>
  </si>
  <si>
    <t>7201.T</t>
  </si>
  <si>
    <t>Ford</t>
  </si>
  <si>
    <t>Industry</t>
  </si>
  <si>
    <t>Price to Earnings Table - FY2024</t>
  </si>
  <si>
    <t>Current Price</t>
  </si>
  <si>
    <t>Outstanding Shares</t>
  </si>
  <si>
    <t>FY2022 EPS</t>
  </si>
  <si>
    <t>Current P/E</t>
  </si>
  <si>
    <t>Forecasted Revenue</t>
  </si>
  <si>
    <t>EPS</t>
  </si>
  <si>
    <t>Year</t>
  </si>
  <si>
    <t>FY2023</t>
  </si>
  <si>
    <t>FY2024</t>
  </si>
  <si>
    <t>FY2025</t>
  </si>
  <si>
    <t>Growth Rate</t>
  </si>
  <si>
    <t>Median</t>
  </si>
  <si>
    <t>Average</t>
  </si>
  <si>
    <t>Ford FY24 Estimates: Stock Price</t>
  </si>
  <si>
    <t>Ford FY24 Estimates: Stock Returns 
(% Return from Current Price)</t>
  </si>
  <si>
    <t xml:space="preserve">Current Price: </t>
  </si>
  <si>
    <t>Estimated EPS</t>
  </si>
  <si>
    <t xml:space="preserve">Average </t>
  </si>
  <si>
    <t>P/E Estimates</t>
  </si>
  <si>
    <t>Pessimistic</t>
  </si>
  <si>
    <t>Zero Growth</t>
  </si>
  <si>
    <t>Expected</t>
  </si>
  <si>
    <t>Optimistic</t>
  </si>
  <si>
    <t>FY2022 Revenue</t>
  </si>
  <si>
    <t>Current P/S (Estimated FY23)</t>
  </si>
  <si>
    <t>Forecasted Revenue - Refinitiv Estimates (in Millions)</t>
  </si>
  <si>
    <t>Price to Sales Ratio</t>
  </si>
  <si>
    <t>Revenue / Sales (in Millions)</t>
  </si>
  <si>
    <t>P/S Estimates</t>
  </si>
  <si>
    <t>Ford Motor Co | Cash Flow                                09-Nov-2023 11:12</t>
  </si>
  <si>
    <t>Cash Flow</t>
  </si>
  <si>
    <t>Industry - Annual Standardised in Millions of U.S. Dollars</t>
  </si>
  <si>
    <t>Earnings Quality Score</t>
  </si>
  <si>
    <t>51 </t>
  </si>
  <si>
    <t>30 </t>
  </si>
  <si>
    <t>38 </t>
  </si>
  <si>
    <t>31 </t>
  </si>
  <si>
    <t>14 </t>
  </si>
  <si>
    <t>Period End Date</t>
  </si>
  <si>
    <t>31-Dec-2022 </t>
  </si>
  <si>
    <t>31-Dec-2021 </t>
  </si>
  <si>
    <t>31-Dec-2020 </t>
  </si>
  <si>
    <t>31-Dec-2019 </t>
  </si>
  <si>
    <t>31-Dec-2018 </t>
  </si>
  <si>
    <t>Period Length</t>
  </si>
  <si>
    <t>12 Months </t>
  </si>
  <si>
    <t>Update Type</t>
  </si>
  <si>
    <t>Updated </t>
  </si>
  <si>
    <t>Statement Date</t>
  </si>
  <si>
    <t>Reporting Unit</t>
  </si>
  <si>
    <t>Millions </t>
  </si>
  <si>
    <t>Update Date</t>
  </si>
  <si>
    <t>19-Jul-2023 </t>
  </si>
  <si>
    <t>29-May-2023 </t>
  </si>
  <si>
    <t>19-May-2022 </t>
  </si>
  <si>
    <t>Reporting Currency</t>
  </si>
  <si>
    <t>U.S. Dollar </t>
  </si>
  <si>
    <t>Source</t>
  </si>
  <si>
    <t>10-K </t>
  </si>
  <si>
    <t>Source Date</t>
  </si>
  <si>
    <t>03-Feb-2023 </t>
  </si>
  <si>
    <t>04-Feb-2022 </t>
  </si>
  <si>
    <t>05-Feb-2021 </t>
  </si>
  <si>
    <t>05-Feb-2020 </t>
  </si>
  <si>
    <t>21-Feb-2019 </t>
  </si>
  <si>
    <t>Original Announcement Date</t>
  </si>
  <si>
    <t>Complete Statement</t>
  </si>
  <si>
    <t>Complete </t>
  </si>
  <si>
    <t>Flash Update</t>
  </si>
  <si>
    <t>No </t>
  </si>
  <si>
    <t>Consolidated</t>
  </si>
  <si>
    <t>Yes </t>
  </si>
  <si>
    <t>Auditor Name</t>
  </si>
  <si>
    <t>PricewaterhouseCoopers LLP </t>
  </si>
  <si>
    <t>Auditor Opinion</t>
  </si>
  <si>
    <t>Unqualified with Explanation </t>
  </si>
  <si>
    <t>Accounting Standard</t>
  </si>
  <si>
    <t>U.S. GAAP </t>
  </si>
  <si>
    <t>Cash Flow-Operating Activities ($ Millions)</t>
  </si>
  <si>
    <t>Net Income/Starting Line</t>
  </si>
  <si>
    <t>Depreciation/Depletion</t>
  </si>
  <si>
    <t>Depreciation</t>
  </si>
  <si>
    <t>Deferred Taxes</t>
  </si>
  <si>
    <t>Non-Cash Items</t>
  </si>
  <si>
    <t>Unusual Items</t>
  </si>
  <si>
    <t>Equity in Net Earnings (Loss)</t>
  </si>
  <si>
    <t>Other Non-Cash Items</t>
  </si>
  <si>
    <t>Changes in Working Capital</t>
  </si>
  <si>
    <t>Accounts Receivable</t>
  </si>
  <si>
    <t>Inventories</t>
  </si>
  <si>
    <t>Payable/Accrued</t>
  </si>
  <si>
    <t>Other Operating Cash Flow</t>
  </si>
  <si>
    <t>Cash from Operating Activities</t>
  </si>
  <si>
    <t>Cash Flow-Investing Activities ($ Millions)</t>
  </si>
  <si>
    <t>Capital Expenditures</t>
  </si>
  <si>
    <t>Purchase of Fixed Assets</t>
  </si>
  <si>
    <t>Other Investing Cash Flow Items, Total</t>
  </si>
  <si>
    <t>Sale of Business</t>
  </si>
  <si>
    <t>--</t>
  </si>
  <si>
    <t>Sale/Maturity of Investment</t>
  </si>
  <si>
    <t>Investment, Net</t>
  </si>
  <si>
    <t>Purchase of Investments</t>
  </si>
  <si>
    <t>Other Investing Cash Flow</t>
  </si>
  <si>
    <t>Cash from Investing Activities</t>
  </si>
  <si>
    <t>Cash Flow-Financing Activities ($ Millions)</t>
  </si>
  <si>
    <t>Financing Cash Flow Items</t>
  </si>
  <si>
    <t>Other Financing Cash Flow</t>
  </si>
  <si>
    <t>Total Cash Dividends Paid</t>
  </si>
  <si>
    <t>Cash Dividends Paid - Common</t>
  </si>
  <si>
    <t>Issuance (Retirement) of Stock, Net</t>
  </si>
  <si>
    <t>Repurchase/Retirement of Common</t>
  </si>
  <si>
    <t>Common Stock, Net</t>
  </si>
  <si>
    <t>Issuance (Retirement) of Debt, Net</t>
  </si>
  <si>
    <t>Short Term Debt, Net</t>
  </si>
  <si>
    <t>Long Term Debt Issued</t>
  </si>
  <si>
    <t>Long Term Debt Reduction</t>
  </si>
  <si>
    <t>Long Term Debt, Net</t>
  </si>
  <si>
    <t>Cash from Financing Activities</t>
  </si>
  <si>
    <t>Foreign Exchange Effects</t>
  </si>
  <si>
    <t>Net Change in Cash</t>
  </si>
  <si>
    <t>Net Cash - Beginning Balance</t>
  </si>
  <si>
    <t>Net Cash - Ending Balance</t>
  </si>
  <si>
    <t>Cash Interest Paid</t>
  </si>
  <si>
    <t>Cash Taxes Paid</t>
  </si>
  <si>
    <t>Net Changes in Working Capital</t>
  </si>
  <si>
    <t>Free Cash Flow</t>
  </si>
  <si>
    <t>Ford Motor Co | Balance Sheet                                09-Nov-2023 11:11</t>
  </si>
  <si>
    <t>Balance Sheet</t>
  </si>
  <si>
    <t>27-Oct-2023 </t>
  </si>
  <si>
    <t>18-Apr-2023 </t>
  </si>
  <si>
    <t>Assets ($ Millions)</t>
  </si>
  <si>
    <t>Cash and Short Term Investments</t>
  </si>
  <si>
    <t>Cash &amp; Equivalents</t>
  </si>
  <si>
    <t>Short Term Investments</t>
  </si>
  <si>
    <t>Accounts Receivable - Trade, Net</t>
  </si>
  <si>
    <t>Accounts Receivable - Trade, Gross</t>
  </si>
  <si>
    <t>Provision for Doubtful Accounts</t>
  </si>
  <si>
    <t>Total Receivables, Net</t>
  </si>
  <si>
    <t>Notes Receivable - Short Term</t>
  </si>
  <si>
    <t>Total Inventory</t>
  </si>
  <si>
    <t>Inventories - Finished Goods</t>
  </si>
  <si>
    <t>Inventories - Raw Materials</t>
  </si>
  <si>
    <t>Other Current Assets, Total</t>
  </si>
  <si>
    <t>Discontinued Operations - Current Asset</t>
  </si>
  <si>
    <t>Other Current Assets</t>
  </si>
  <si>
    <t>Total Current Assets</t>
  </si>
  <si>
    <t>Property/Plant/Equipment, Total - Gross</t>
  </si>
  <si>
    <t>Buildings - Gross</t>
  </si>
  <si>
    <t>Land/Improvements - Gross</t>
  </si>
  <si>
    <t>Machinery/Equipment - Gross</t>
  </si>
  <si>
    <t>Construction in Progress - Gross</t>
  </si>
  <si>
    <t>Leases - Gross</t>
  </si>
  <si>
    <t>Other Property/Plant/Equipment - Gross</t>
  </si>
  <si>
    <t>Property/Plant/Equipment, Total - Net</t>
  </si>
  <si>
    <t>Accumulated Depreciation, Total</t>
  </si>
  <si>
    <t>Goodwill, Net</t>
  </si>
  <si>
    <t>Intangibles, Net</t>
  </si>
  <si>
    <t>Long Term Investments</t>
  </si>
  <si>
    <t>LT Investment - Affiliate Companies</t>
  </si>
  <si>
    <t>LT Investments - Other</t>
  </si>
  <si>
    <t>Note Receivable - Long Term</t>
  </si>
  <si>
    <t>Other Long Term Assets, Total</t>
  </si>
  <si>
    <t>Defered Income Tax - Long Term Asset</t>
  </si>
  <si>
    <t>Restricted Cash - Long Term</t>
  </si>
  <si>
    <t>Other Long Term Assets</t>
  </si>
  <si>
    <t>Total Assets</t>
  </si>
  <si>
    <t>Liabilities ($ Millions)</t>
  </si>
  <si>
    <t>Accounts Payable</t>
  </si>
  <si>
    <t>Accrued Expenses</t>
  </si>
  <si>
    <t>Notes Payable/Short Term Debt</t>
  </si>
  <si>
    <t>Current Port. of LT Debt/Capital Leases</t>
  </si>
  <si>
    <t>Other Current liabilities, Total</t>
  </si>
  <si>
    <t>Customer Advances</t>
  </si>
  <si>
    <t>Discontinued Operations - Curr Liability</t>
  </si>
  <si>
    <t>Other Current Liabilities</t>
  </si>
  <si>
    <t>Total Current Liabilities</t>
  </si>
  <si>
    <t>Total Long Term Debt</t>
  </si>
  <si>
    <t>Long Term Debt</t>
  </si>
  <si>
    <t>Capital Lease Obligations</t>
  </si>
  <si>
    <t>Total Debt</t>
  </si>
  <si>
    <t>Deferred Income Tax</t>
  </si>
  <si>
    <t>Deferred Income Tax - LT Liability</t>
  </si>
  <si>
    <t>Minority Interest</t>
  </si>
  <si>
    <t>Other Liabilities, Total</t>
  </si>
  <si>
    <t>Pension Benefits - Underfunded</t>
  </si>
  <si>
    <t>Other Long Term Liabilities</t>
  </si>
  <si>
    <t>Total Liabilities</t>
  </si>
  <si>
    <t>Shareholders Equity ($ Millions)</t>
  </si>
  <si>
    <t>Common Stock, Total</t>
  </si>
  <si>
    <t>Common Stock</t>
  </si>
  <si>
    <t>Additional Paid-In Capital</t>
  </si>
  <si>
    <t>Retained Earnings (Accumulated Deficit)</t>
  </si>
  <si>
    <t>Treasury Stock - Common</t>
  </si>
  <si>
    <t>Unrealized Gain (Loss)</t>
  </si>
  <si>
    <t>Other Equity, Total</t>
  </si>
  <si>
    <t>Translation Adjustment</t>
  </si>
  <si>
    <t>Minimum Pension Liability Adjustment</t>
  </si>
  <si>
    <t>Other Comprehensive Income</t>
  </si>
  <si>
    <t>Total Equity</t>
  </si>
  <si>
    <t>Total Liabilities &amp; Shareholders' Equity</t>
  </si>
  <si>
    <t>Supplemental ($ Millions)</t>
  </si>
  <si>
    <t>Shares Outstanding - Common Issue 2</t>
  </si>
  <si>
    <t>Total Common Shares Outstanding</t>
  </si>
  <si>
    <t>Shares Outs - Common Stock Primary Issue</t>
  </si>
  <si>
    <t>Treas Shares - Common Stock Prmry Issue</t>
  </si>
  <si>
    <t>Treasury Shares - Common Issue 2</t>
  </si>
  <si>
    <t>Minority Interest - Redeemable</t>
  </si>
  <si>
    <t>Minority Interest - Non Redeemable</t>
  </si>
  <si>
    <t>Total Equity &amp; Minority Interest</t>
  </si>
  <si>
    <t>Full-Time Employees</t>
  </si>
  <si>
    <t>Number of Common Shareholders</t>
  </si>
  <si>
    <t>Other Property/Plant/Equipment - Net</t>
  </si>
  <si>
    <t>Intangibles - Net</t>
  </si>
  <si>
    <t>Goodwill - Net</t>
  </si>
  <si>
    <t>Wgt Avg Rem Lease Term (Yrs)-Oper Lease</t>
  </si>
  <si>
    <t>Wgt Avg Rem Lease Term (Yrs)-Fin Lease</t>
  </si>
  <si>
    <t>Wgt Avg Disc Rate - Operating Lease</t>
  </si>
  <si>
    <t>Wgt Avg Disc Rate - Finance Lease</t>
  </si>
  <si>
    <t>Right-of-Use Assets-Cap.Lease,Net-Suppl.</t>
  </si>
  <si>
    <t>Right-of-Use Assets-Cap.Lease,Gross-Sup.</t>
  </si>
  <si>
    <t>Right-of-Use Assets-Cap.Lease,Depr.-Sup.</t>
  </si>
  <si>
    <t>Right-of-Use Assets-Op.Lease, Net-Suppl.</t>
  </si>
  <si>
    <t>Right-of-Use Assets-Op.Lease, Gross-Sup.</t>
  </si>
  <si>
    <t>Deferred Revenue - Current</t>
  </si>
  <si>
    <t>Deferred Revenue - Long Term</t>
  </si>
  <si>
    <t>Curr Port - LTD/Cap Lse Fin Sec., Suppl.</t>
  </si>
  <si>
    <t>Long Term Debt Financial Sector, Suppl.</t>
  </si>
  <si>
    <t>Curr. Port. of LT Capital Leases, Suppl.</t>
  </si>
  <si>
    <t>Curr Port of LT Operating Leases, Suppl.</t>
  </si>
  <si>
    <t>Long-Term Operating Lease Liabs., Suppl.</t>
  </si>
  <si>
    <t>Curr Derivative Liab. Hedging, Suppl.</t>
  </si>
  <si>
    <t>Non-Curr Derivative Liab. Hedging, Suppl</t>
  </si>
  <si>
    <t>Total Current Assets less Inventory</t>
  </si>
  <si>
    <t>Revolving Line of Credit - Outstanding</t>
  </si>
  <si>
    <t>Rvlvng Line of Credit - Principal Amount</t>
  </si>
  <si>
    <t>Net Debt Incl. Pref.Stock &amp; Min.Interest</t>
  </si>
  <si>
    <t>Tangible Book Value, Common Equity</t>
  </si>
  <si>
    <t>Debt &amp; Lease, Pension Items ($ Millions)</t>
  </si>
  <si>
    <t>Total Long Term Debt, Supplemental</t>
  </si>
  <si>
    <t>Long Term Debt Maturing within 1 Year</t>
  </si>
  <si>
    <t>Long Term Debt Maturing in Year 2</t>
  </si>
  <si>
    <t>Long Term Debt Maturing in Year 3</t>
  </si>
  <si>
    <t>Long Term Debt Maturing in Year 4</t>
  </si>
  <si>
    <t>Long Term Debt Maturing in Year 5</t>
  </si>
  <si>
    <t>Long Term Debt Maturing in 2-3 Years</t>
  </si>
  <si>
    <t>Long Term Debt Maturing in 4-5 Years</t>
  </si>
  <si>
    <t>Long Term Debt Matur. in Year 6 &amp; Beyond</t>
  </si>
  <si>
    <t>Total Capital Leases, Supplemental</t>
  </si>
  <si>
    <t>Interest Costs</t>
  </si>
  <si>
    <t>Capital Lease Payments Due in Year 1</t>
  </si>
  <si>
    <t>Capital Lease Payments Due in Year 2</t>
  </si>
  <si>
    <t>Capital Lease Payments Due in Year 3</t>
  </si>
  <si>
    <t>Capital Lease Payments Due in Year 4</t>
  </si>
  <si>
    <t>Capital Lease Payments Due in Year 5</t>
  </si>
  <si>
    <t>Capital Lease Payments Due in 2-3 Years</t>
  </si>
  <si>
    <t>Capital Lease Payments Due in 4-5 Years</t>
  </si>
  <si>
    <t>Cap. Lease Pymts. Due in Year 6 &amp; Beyond</t>
  </si>
  <si>
    <t>Total Operating Leases, Supplemental</t>
  </si>
  <si>
    <t>Operating Lease Payments Due in Year 1</t>
  </si>
  <si>
    <t>Operating Lease Payments Due in Year 2</t>
  </si>
  <si>
    <t>Operating Lease Payments Due in Year 3</t>
  </si>
  <si>
    <t>Operating Lease Payments Due in Year 4</t>
  </si>
  <si>
    <t>Operating Lease Payments Due in Year 5</t>
  </si>
  <si>
    <t>Operating Lease Pymts. Due in 2-3 Years</t>
  </si>
  <si>
    <t>Operating Lease Pymts. Due in 4-5 Years</t>
  </si>
  <si>
    <t>Oper. Lse. Pymts. Due in Year 6 &amp; Beyond</t>
  </si>
  <si>
    <t>Operating Leases - Interest Cost</t>
  </si>
  <si>
    <t>Total Funded Status</t>
  </si>
  <si>
    <t>Pension Obligation - Domestic</t>
  </si>
  <si>
    <t>Pension Obligation - Foreign</t>
  </si>
  <si>
    <t>Plan Assets - Domestic</t>
  </si>
  <si>
    <t>Plan Assets - Foreign</t>
  </si>
  <si>
    <t>Funded Status - Domestic</t>
  </si>
  <si>
    <t>Funded Status - Foreign</t>
  </si>
  <si>
    <t>Accumulated Obligation - Domestic</t>
  </si>
  <si>
    <t>Accumulated Obligation - Foreign</t>
  </si>
  <si>
    <t>Accumulated Obligation - Post-Retirement</t>
  </si>
  <si>
    <t>Unfunded Plan Obligations</t>
  </si>
  <si>
    <t>Period End Assumptions</t>
  </si>
  <si>
    <t>Discount Rate - Domestic</t>
  </si>
  <si>
    <t>Discount Rate - Foreign</t>
  </si>
  <si>
    <t>Discount Rate - Post-Retirement</t>
  </si>
  <si>
    <t>Compensation Rate - Domestic</t>
  </si>
  <si>
    <t>Compensation Rate - Foreign</t>
  </si>
  <si>
    <t>Compensation Rate - Post-Retirement</t>
  </si>
  <si>
    <t>Net Assets Recognized on Balance Sheet</t>
  </si>
  <si>
    <t>Prepaid Benefits - Domestic</t>
  </si>
  <si>
    <t>Prepaid Benefits - Foreign</t>
  </si>
  <si>
    <t>Prepaid Benefits - Post-Retirement</t>
  </si>
  <si>
    <t>Accrued Liabilities - Domestic</t>
  </si>
  <si>
    <t>Accrued Liabilities - Foreign</t>
  </si>
  <si>
    <t>Accrued Liabilities - Post-Retirement</t>
  </si>
  <si>
    <t>Other Assets, Net - Domestic</t>
  </si>
  <si>
    <t>Other Assets, Net - Foreign</t>
  </si>
  <si>
    <t>Other Assets, Net - Post-Retirement</t>
  </si>
  <si>
    <t>Asset Allocation</t>
  </si>
  <si>
    <t>Equity % - Domestic</t>
  </si>
  <si>
    <t>Equity % - Foreign</t>
  </si>
  <si>
    <t>Debt Securities % - Domestic</t>
  </si>
  <si>
    <t>Debt Securities % - Foreign</t>
  </si>
  <si>
    <t>Real Estate % - Domestic</t>
  </si>
  <si>
    <t>Real Estate % - Foreign</t>
  </si>
  <si>
    <t>Private Investments % - Domestic</t>
  </si>
  <si>
    <t>Private Investments % - Foreign</t>
  </si>
  <si>
    <t>Other Investments % - Domestic</t>
  </si>
  <si>
    <t>Other Investments % - Foreign</t>
  </si>
  <si>
    <t>Total Plan Obligations</t>
  </si>
  <si>
    <t>Total Plan Assets</t>
  </si>
  <si>
    <t>Ford Motor Co | Income Statement                                09-Nov-2023 11:11</t>
  </si>
  <si>
    <t>Income Statement</t>
  </si>
  <si>
    <t>Revenue</t>
  </si>
  <si>
    <t>Net Sales</t>
  </si>
  <si>
    <t>Total Revenue</t>
  </si>
  <si>
    <t>Cost of Revenue, Total</t>
  </si>
  <si>
    <t>Cost of Revenue</t>
  </si>
  <si>
    <t>Gross Profit</t>
  </si>
  <si>
    <t>Selling/General/Admin. Expenses, Total</t>
  </si>
  <si>
    <t>Selling/General/Administrative Expense</t>
  </si>
  <si>
    <t>Advertising Expense</t>
  </si>
  <si>
    <t>Interest/Investment Income - Operating</t>
  </si>
  <si>
    <t>Investment Income - Operating</t>
  </si>
  <si>
    <t>Interest Exp.(Inc.),Net-Operating, Total</t>
  </si>
  <si>
    <t>Unusual Expense (Income)</t>
  </si>
  <si>
    <t>Impairment-Assets Held for Use</t>
  </si>
  <si>
    <t>Other Unusual Expense (Income)</t>
  </si>
  <si>
    <t>Total Operating Expense</t>
  </si>
  <si>
    <t>Operating Income</t>
  </si>
  <si>
    <t>Interest Expense, Net Non-Operating</t>
  </si>
  <si>
    <t>Interest Expense - Non-Operating</t>
  </si>
  <si>
    <t>Interest/Invest Income - Non-Operating</t>
  </si>
  <si>
    <t>Interest Income - Non-Operating</t>
  </si>
  <si>
    <t>Investment Income - Non-Operating</t>
  </si>
  <si>
    <t>Interest Income(Exp), Net Non-Operating</t>
  </si>
  <si>
    <t>Interest Inc.(Exp.),Net-Non-Op., Total</t>
  </si>
  <si>
    <t>Other, Net</t>
  </si>
  <si>
    <t>Other Non-Operating Income (Expense)</t>
  </si>
  <si>
    <t>Net Income Before Taxes</t>
  </si>
  <si>
    <t>Provision for Income Taxes</t>
  </si>
  <si>
    <t>Net Income After Taxes</t>
  </si>
  <si>
    <t>Net Income Before Extra. Items</t>
  </si>
  <si>
    <t>Extraordinary Item</t>
  </si>
  <si>
    <t>Total Extraordinary Items</t>
  </si>
  <si>
    <t>Net Income</t>
  </si>
  <si>
    <t>Income Available to Com Excl ExtraOrd</t>
  </si>
  <si>
    <t>Income Available to Com Incl ExtraOrd</t>
  </si>
  <si>
    <t>Basic Weighted Average Shares</t>
  </si>
  <si>
    <t>Basic EPS Excluding Extraordinary Items</t>
  </si>
  <si>
    <t>Basic EPS Including Extraordinary Items</t>
  </si>
  <si>
    <t>Diluted Net Income</t>
  </si>
  <si>
    <t>Diluted Weighted Average Shares</t>
  </si>
  <si>
    <t>Diluted EPS Excluding ExtraOrd Items</t>
  </si>
  <si>
    <t>Diluted EPS Including ExtraOrd Items</t>
  </si>
  <si>
    <t>DPS - Common Stock Primary Issue</t>
  </si>
  <si>
    <t>Dividends per Share - Com Stock Issue 2</t>
  </si>
  <si>
    <t>Special DPS - Common Stock Primary Issue</t>
  </si>
  <si>
    <t>Gross Dividends - Common Stock</t>
  </si>
  <si>
    <t>Impairment-Assets Held for Sale, Suppl.</t>
  </si>
  <si>
    <t>Restructuring Charge, Supplemental</t>
  </si>
  <si>
    <t>Other Unusual Expense(Income), Suppl.</t>
  </si>
  <si>
    <t>Non-Recurring Items, Supplemental, Total</t>
  </si>
  <si>
    <t>Total Special Items</t>
  </si>
  <si>
    <t>Normalized Income Before Taxes</t>
  </si>
  <si>
    <t>Effect of Special Items on Income Taxes</t>
  </si>
  <si>
    <t>Inc Tax Ex Impact of Sp Items</t>
  </si>
  <si>
    <t>Normalized Income After Taxes</t>
  </si>
  <si>
    <t>Normalized Inc. Avail to Com.</t>
  </si>
  <si>
    <t>Basic Normalized EPS</t>
  </si>
  <si>
    <t>Diluted Normalized EPS</t>
  </si>
  <si>
    <t>Depreciation, Supplemental</t>
  </si>
  <si>
    <t>Depreciation of Right-of-Use Assets,Sup.</t>
  </si>
  <si>
    <t>Interest Expense, Supplemental</t>
  </si>
  <si>
    <t>Interest Expense on Lease Liabs., Suppl.</t>
  </si>
  <si>
    <t>Interest Expense (Financial Oper), Suppl</t>
  </si>
  <si>
    <t>Rental Expense, Supplemental</t>
  </si>
  <si>
    <t>Stock-Based Compensation, Supplemental</t>
  </si>
  <si>
    <t>Variable Operating Lease Expenses</t>
  </si>
  <si>
    <t>Sublease Income</t>
  </si>
  <si>
    <t>Lease Expense -Total</t>
  </si>
  <si>
    <t>Advertising Expense, Supplemental</t>
  </si>
  <si>
    <t>Equity in Affiliates, Supplemental</t>
  </si>
  <si>
    <t>Minority Interest, Supplemental</t>
  </si>
  <si>
    <t>Income Taxes - Non-Recurring Tax Change</t>
  </si>
  <si>
    <t>Research &amp; Development Exp, Supplemental</t>
  </si>
  <si>
    <t>Audit Fees</t>
  </si>
  <si>
    <t>Audit-Related Fees</t>
  </si>
  <si>
    <t>Tax Fees</t>
  </si>
  <si>
    <t>All Other Fees</t>
  </si>
  <si>
    <t>COVID-19 One-time Provisions</t>
  </si>
  <si>
    <t>Normalized EBIT</t>
  </si>
  <si>
    <t>Normalized EBITDA</t>
  </si>
  <si>
    <t>Tax &amp; Pension Items ($ Millions)</t>
  </si>
  <si>
    <t>Current Tax - Total</t>
  </si>
  <si>
    <t>Current Tax - Domestic</t>
  </si>
  <si>
    <t>Current Tax - Foreign</t>
  </si>
  <si>
    <t>Current Tax - Local</t>
  </si>
  <si>
    <t>Deferred Tax - Total</t>
  </si>
  <si>
    <t>Deferred Tax - Domestic</t>
  </si>
  <si>
    <t>Deferred Tax - Foreign</t>
  </si>
  <si>
    <t>Deferred Tax - Local</t>
  </si>
  <si>
    <t>Income Tax - Total</t>
  </si>
  <si>
    <t>Domestic Pension Plan Expense</t>
  </si>
  <si>
    <t>Interest Cost - Domestic</t>
  </si>
  <si>
    <t>Service Cost - Domestic</t>
  </si>
  <si>
    <t>Prior Service Cost - Domestic</t>
  </si>
  <si>
    <t>Expected Return on Assets - Domestic</t>
  </si>
  <si>
    <t>Actuarial Gains and Losses - Domestic</t>
  </si>
  <si>
    <t>Curtailments &amp; Settlements - Domestic</t>
  </si>
  <si>
    <t>Other Pension, Net - Domestic</t>
  </si>
  <si>
    <t>Foreign Pension Plan Expense</t>
  </si>
  <si>
    <t>Interest Cost - Foreign</t>
  </si>
  <si>
    <t>Service Cost - Foreign</t>
  </si>
  <si>
    <t>Prior Service Cost - Foreign</t>
  </si>
  <si>
    <t>Expected Return on Assets - Foreign</t>
  </si>
  <si>
    <t>Actuarial Gains and Losses - Foreign</t>
  </si>
  <si>
    <t>Curtailments &amp; Settlements - Foreign</t>
  </si>
  <si>
    <t>Other Pension, Net - Foreign</t>
  </si>
  <si>
    <t>Post-Retirement Plan Expense</t>
  </si>
  <si>
    <t>Interest Cost - Post-Retirement</t>
  </si>
  <si>
    <t>Service Cost - Post-Retirement</t>
  </si>
  <si>
    <t>Prior Service Cost - Post-Retirement</t>
  </si>
  <si>
    <t>Expected Return on Assets - Post-Retir.</t>
  </si>
  <si>
    <t>Curtailments &amp; Settlements - Post-Retir.</t>
  </si>
  <si>
    <t>Other Post-Retirement, Net</t>
  </si>
  <si>
    <t>Total Pension Expense</t>
  </si>
  <si>
    <t>Defined Contribution Expense - Domestic</t>
  </si>
  <si>
    <t>Defined Contribution Expense - Foreign</t>
  </si>
  <si>
    <t>Assumptions</t>
  </si>
  <si>
    <t>Expected Rate of Return - Domestic</t>
  </si>
  <si>
    <t>Expected Rate of Return - Foreign</t>
  </si>
  <si>
    <t>Expected Rate of Return - Post-Retir.</t>
  </si>
  <si>
    <t>Total Plan Interest Cost</t>
  </si>
  <si>
    <t>Total Plan Service Cost</t>
  </si>
  <si>
    <t>Total Plan Expected Return</t>
  </si>
  <si>
    <t>Total Plan Other Expense</t>
  </si>
  <si>
    <t>Dividends and Capital Changes</t>
  </si>
  <si>
    <t>Ford Motor Ord Shs</t>
  </si>
  <si>
    <t>Cash Dividend</t>
  </si>
  <si>
    <t>$0.15 F</t>
  </si>
  <si>
    <t>$0.10 F</t>
  </si>
  <si>
    <t>$0.00 I</t>
  </si>
  <si>
    <t>(27-Oct) Ann. </t>
  </si>
  <si>
    <t>(19-Mar) Ann. </t>
  </si>
  <si>
    <t>(10-Oct) Ann. </t>
  </si>
  <si>
    <t>(11-Oct) Ann. </t>
  </si>
  <si>
    <t>$0.15 I</t>
  </si>
  <si>
    <t>(28-Jul) Ann. </t>
  </si>
  <si>
    <t>(08-Jan) Ann. </t>
  </si>
  <si>
    <t>(11-Jul) Ann. </t>
  </si>
  <si>
    <t>(12-Jul) Ann. </t>
  </si>
  <si>
    <t>$0.10 I</t>
  </si>
  <si>
    <t>(07-Apr) Ann. </t>
  </si>
  <si>
    <t>(08-Apr) Ann. </t>
  </si>
  <si>
    <t>(10-Apr) Ann. </t>
  </si>
  <si>
    <t>(10-Jan) Ann. </t>
  </si>
  <si>
    <t>(16-Jan) Ann. </t>
  </si>
  <si>
    <t>$0.13 S</t>
  </si>
  <si>
    <t>Capital Return</t>
  </si>
  <si>
    <t>0.99x</t>
  </si>
  <si>
    <t>(01-Mar) </t>
  </si>
  <si>
    <t>Dividends &amp; Capital Changes After Dec-2022</t>
  </si>
  <si>
    <t>(17-Oct) Ann. </t>
  </si>
  <si>
    <t>(13-Jul) Ann. </t>
  </si>
  <si>
    <t>(06-Apr) Ann. </t>
  </si>
  <si>
    <t>(03-Feb) Ann. </t>
  </si>
  <si>
    <t>$0.65 S</t>
  </si>
  <si>
    <t>Adj. Factor 0.95x</t>
  </si>
  <si>
    <t>Source: Bloomberg</t>
  </si>
  <si>
    <t>Source: Refinitive</t>
  </si>
  <si>
    <t>Source: yahoo finance</t>
  </si>
  <si>
    <t>2023 Q1-Q3 Reprt Information, Source: yahoo finance</t>
  </si>
  <si>
    <t>Ford Motor Co | Ratios - Key Metrics                                09-Nov-2023 11:13</t>
  </si>
  <si>
    <t>Ratios - Key Metrics</t>
  </si>
  <si>
    <t>Industry Median</t>
  </si>
  <si>
    <t>Profitability</t>
  </si>
  <si>
    <t>Gross Margin</t>
  </si>
  <si>
    <t>17.3% </t>
  </si>
  <si>
    <t>EBITDA Margin</t>
  </si>
  <si>
    <t>(13.6%) </t>
  </si>
  <si>
    <t>Operating Margin</t>
  </si>
  <si>
    <t>(19.1%) </t>
  </si>
  <si>
    <t>Pretax Margin</t>
  </si>
  <si>
    <t>(11.5%) </t>
  </si>
  <si>
    <t>Effective Tax Rate</t>
  </si>
  <si>
    <t>3.0% </t>
  </si>
  <si>
    <t>-</t>
  </si>
  <si>
    <t>Net Margin</t>
  </si>
  <si>
    <t>(11.7%) </t>
  </si>
  <si>
    <t>DuPont/Earning Power</t>
  </si>
  <si>
    <t>Asset Turnover</t>
  </si>
  <si>
    <t>0.54 </t>
  </si>
  <si>
    <t>x Pretax Margin</t>
  </si>
  <si>
    <t>Pretax ROA</t>
  </si>
  <si>
    <t>(7.2%) </t>
  </si>
  <si>
    <t>x Leverage (Assets/Equity)</t>
  </si>
  <si>
    <t>1.93 </t>
  </si>
  <si>
    <t>Pretax ROE</t>
  </si>
  <si>
    <t>1.5% </t>
  </si>
  <si>
    <t>x Tax Complement</t>
  </si>
  <si>
    <t>0.97 </t>
  </si>
  <si>
    <t>ROE</t>
  </si>
  <si>
    <t>0.8% </t>
  </si>
  <si>
    <t>x Earnings Retention</t>
  </si>
  <si>
    <t>1.00 </t>
  </si>
  <si>
    <t>Reinvestment Rate</t>
  </si>
  <si>
    <t>(0.3%) </t>
  </si>
  <si>
    <t>Liquidity</t>
  </si>
  <si>
    <t>Quick Ratio</t>
  </si>
  <si>
    <t>1.11 </t>
  </si>
  <si>
    <t>Current Ratio</t>
  </si>
  <si>
    <t>1.57 </t>
  </si>
  <si>
    <t>Times Interest Earned</t>
  </si>
  <si>
    <t>(9.3) </t>
  </si>
  <si>
    <t>Cash Cycle (Days)</t>
  </si>
  <si>
    <t>74.7 </t>
  </si>
  <si>
    <t>Leverage</t>
  </si>
  <si>
    <t>Assets/Equity</t>
  </si>
  <si>
    <t>Debt/Equity</t>
  </si>
  <si>
    <t>0.41 </t>
  </si>
  <si>
    <t>% LT Debt to Total Capital</t>
  </si>
  <si>
    <t>20.4% </t>
  </si>
  <si>
    <t>(Total Debt - Cash) / EBITDA</t>
  </si>
  <si>
    <t>1.63 </t>
  </si>
  <si>
    <t>Operating</t>
  </si>
  <si>
    <t>A/R Turnover</t>
  </si>
  <si>
    <t>7.4 </t>
  </si>
  <si>
    <t>Avg. A/R Days</t>
  </si>
  <si>
    <t>49.3 </t>
  </si>
  <si>
    <t>Inv Turnover</t>
  </si>
  <si>
    <t>5.8 </t>
  </si>
  <si>
    <t>Avg. Inventory Days</t>
  </si>
  <si>
    <t>63.3 </t>
  </si>
  <si>
    <t>Avg. A/P Days</t>
  </si>
  <si>
    <t>70.5 </t>
  </si>
  <si>
    <t>Fixed Asset Turnover</t>
  </si>
  <si>
    <t>2.14 </t>
  </si>
  <si>
    <t>WC / Sales Growth</t>
  </si>
  <si>
    <t>(3.5%) </t>
  </si>
  <si>
    <t>Bad Debt Allowance (% of A/R)</t>
  </si>
  <si>
    <t>0.4% </t>
  </si>
  <si>
    <t>ROIC</t>
  </si>
  <si>
    <t>- </t>
  </si>
  <si>
    <t>Revenue per Employee ($)</t>
  </si>
  <si>
    <t>$887,960.7</t>
  </si>
  <si>
    <t>$738,975.6</t>
  </si>
  <si>
    <t>$676,297.9</t>
  </si>
  <si>
    <t>$801,542.4</t>
  </si>
  <si>
    <t>$799,690.8</t>
  </si>
  <si>
    <t>F US Equity- Company Financial (Multiple Periods)</t>
  </si>
  <si>
    <t>F US Equity    Periodicity:A    Currency:USD    Estimate Source:BST    Actual Source:Bloomberg</t>
  </si>
  <si>
    <t>In Millions of USD</t>
  </si>
  <si>
    <t>2015 A (Rep)</t>
  </si>
  <si>
    <t>2016 A (Rep)</t>
  </si>
  <si>
    <t>2017 A (Rep)</t>
  </si>
  <si>
    <t>2018 A (Rep)</t>
  </si>
  <si>
    <t>2019 A (Rep)</t>
  </si>
  <si>
    <t>2020 A (Rep)</t>
  </si>
  <si>
    <t>2021 A (Rep)</t>
  </si>
  <si>
    <t>2022 A (Rep)</t>
  </si>
  <si>
    <t>2023 A (Fwd)</t>
  </si>
  <si>
    <t>2024 A (Fwd)</t>
  </si>
  <si>
    <t>12 Months Ending</t>
  </si>
  <si>
    <t>Field Expression</t>
  </si>
  <si>
    <t>Calcrt Field</t>
  </si>
  <si>
    <t>Segment Id</t>
  </si>
  <si>
    <t xml:space="preserve">  Highlights</t>
  </si>
  <si>
    <t>Highlights</t>
  </si>
  <si>
    <t xml:space="preserve">  Adjusted Diluted EPS</t>
  </si>
  <si>
    <t>IS_COMP_EPS_ADJUSTED_OLD</t>
  </si>
  <si>
    <t>Non-GAAP Diluted EPS</t>
  </si>
  <si>
    <t xml:space="preserve">  Adjusted Revenue</t>
  </si>
  <si>
    <t>IS_COMP_SALES</t>
  </si>
  <si>
    <t xml:space="preserve">  </t>
  </si>
  <si>
    <t xml:space="preserve">  Segment Revenue</t>
  </si>
  <si>
    <t>Segment Revenue</t>
  </si>
  <si>
    <t xml:space="preserve">    Ford Blue</t>
  </si>
  <si>
    <t>SALES_REV_TURN</t>
  </si>
  <si>
    <t>Credit</t>
  </si>
  <si>
    <t>SEG0001099180 Segment</t>
  </si>
  <si>
    <t/>
  </si>
  <si>
    <t xml:space="preserve">    Ford Model E</t>
  </si>
  <si>
    <t>Mobility</t>
  </si>
  <si>
    <t>SEG0001099181 Segment</t>
  </si>
  <si>
    <t xml:space="preserve">    Ford Pro</t>
  </si>
  <si>
    <t>SEG0001099182 Segment</t>
  </si>
  <si>
    <t xml:space="preserve">  Vehicles Sold</t>
  </si>
  <si>
    <t>NUMBER_OF_VEHICLES_SOLD</t>
  </si>
  <si>
    <t xml:space="preserve">  Revenue per Unit</t>
  </si>
  <si>
    <t>AUTO_AVERAGE_PRICE_UNIT</t>
  </si>
  <si>
    <t>Revenue per Unit</t>
  </si>
  <si>
    <t xml:space="preserve">  Research &amp; Development</t>
  </si>
  <si>
    <t>IS_RD_EXPEND</t>
  </si>
  <si>
    <t xml:space="preserve">  Cash &amp; Cash Equivalents Manufacturing Operations</t>
  </si>
  <si>
    <t>BS_CASH_NEAR_CASH_ITEM</t>
  </si>
  <si>
    <t>SEG0000292756 Segment</t>
  </si>
  <si>
    <t xml:space="preserve">  Long Term Debt Core Operations</t>
  </si>
  <si>
    <t>BS_LT_BORROW</t>
  </si>
  <si>
    <t xml:space="preserve">  Capital Expenditures</t>
  </si>
  <si>
    <t>HEADLINE_CAPEX</t>
  </si>
  <si>
    <t xml:space="preserve">  Company Operating Metrics</t>
  </si>
  <si>
    <t>Company Operating Metrics</t>
  </si>
  <si>
    <t xml:space="preserve">  Company-Level Industry Statistics</t>
  </si>
  <si>
    <t>Company-Level Industry Statistics</t>
  </si>
  <si>
    <t xml:space="preserve">  US Vehicles Sold (units)</t>
  </si>
  <si>
    <t xml:space="preserve">    Ford</t>
  </si>
  <si>
    <t>SEG0000292859 Segment</t>
  </si>
  <si>
    <t xml:space="preserve">      Trucks</t>
  </si>
  <si>
    <t>SEG0000292989 Segment</t>
  </si>
  <si>
    <t xml:space="preserve">        F-Series </t>
  </si>
  <si>
    <t>SEG0000292864 Segment</t>
  </si>
  <si>
    <t xml:space="preserve">          Of which F-150 Lightning (electric)</t>
  </si>
  <si>
    <t>SEG0000822572 Segment</t>
  </si>
  <si>
    <t xml:space="preserve">        Transit </t>
  </si>
  <si>
    <t>SEG0000292763 Segment</t>
  </si>
  <si>
    <t xml:space="preserve">          Of which E-Transit (electric)</t>
  </si>
  <si>
    <t>SEG0000822576 Segment</t>
  </si>
  <si>
    <t xml:space="preserve">        Ranger</t>
  </si>
  <si>
    <t>SEG0000292681 Segment</t>
  </si>
  <si>
    <t xml:space="preserve">        E-Series/Club Wagon</t>
  </si>
  <si>
    <t>SEG0000292896 Segment</t>
  </si>
  <si>
    <t xml:space="preserve">        Transit Connect</t>
  </si>
  <si>
    <t>SEG0000292898 Segment</t>
  </si>
  <si>
    <t xml:space="preserve">        Heavy Trucks </t>
  </si>
  <si>
    <t>SEG0000292685 Segment</t>
  </si>
  <si>
    <t xml:space="preserve">        Maverick</t>
  </si>
  <si>
    <t>SEG0000562800 Segment</t>
  </si>
  <si>
    <t xml:space="preserve">      SUVs</t>
  </si>
  <si>
    <t>SEG0000292991 Segment</t>
  </si>
  <si>
    <t xml:space="preserve">        Bronco</t>
  </si>
  <si>
    <t>SEG0000518203 Segment</t>
  </si>
  <si>
    <t xml:space="preserve">        Bronco Sport </t>
  </si>
  <si>
    <t>SEG0000422993 Segment</t>
  </si>
  <si>
    <t xml:space="preserve">        Escape</t>
  </si>
  <si>
    <t>SEG0000292689 Segment</t>
  </si>
  <si>
    <t xml:space="preserve">        Explorer</t>
  </si>
  <si>
    <t>SEG0000292911 Segment</t>
  </si>
  <si>
    <t xml:space="preserve">        Edge</t>
  </si>
  <si>
    <t>SEG0000292878 Segment</t>
  </si>
  <si>
    <t xml:space="preserve">        Expedition</t>
  </si>
  <si>
    <t>SEG0000292657 Segment</t>
  </si>
  <si>
    <t xml:space="preserve">        Ecosport</t>
  </si>
  <si>
    <t>SEG0000292872 Segment</t>
  </si>
  <si>
    <t xml:space="preserve">        Flex</t>
  </si>
  <si>
    <t>SEG0000292656 Segment</t>
  </si>
  <si>
    <t xml:space="preserve">        Mustang Mach-E</t>
  </si>
  <si>
    <t>SEG0000429414 Segment</t>
  </si>
  <si>
    <t xml:space="preserve">        Police Interceptor Utility</t>
  </si>
  <si>
    <t>SEG0000292723 Segment</t>
  </si>
  <si>
    <t xml:space="preserve">      Cars</t>
  </si>
  <si>
    <t>SEG0000292990 Segment</t>
  </si>
  <si>
    <t xml:space="preserve">        Fusion</t>
  </si>
  <si>
    <t>SEG0000292783 Segment</t>
  </si>
  <si>
    <t xml:space="preserve">        Fiesta</t>
  </si>
  <si>
    <t>SEG0000292658 Segment</t>
  </si>
  <si>
    <t xml:space="preserve">        Mustang</t>
  </si>
  <si>
    <t>SEG0000292875 Segment</t>
  </si>
  <si>
    <t xml:space="preserve">        Taurus</t>
  </si>
  <si>
    <t>SEG0000292655 Segment</t>
  </si>
  <si>
    <t xml:space="preserve">        Focus</t>
  </si>
  <si>
    <t>SEG0000292888 Segment</t>
  </si>
  <si>
    <t xml:space="preserve">        Police Interceptor Sedan</t>
  </si>
  <si>
    <t>SEG0000292765 Segment</t>
  </si>
  <si>
    <t xml:space="preserve">        GT</t>
  </si>
  <si>
    <t>SEG0000292667 Segment</t>
  </si>
  <si>
    <t xml:space="preserve">        C-Max</t>
  </si>
  <si>
    <t>SEG0000292740 Segment</t>
  </si>
  <si>
    <t xml:space="preserve">    Lincoln</t>
  </si>
  <si>
    <t>SEG0000292677 Segment</t>
  </si>
  <si>
    <t>SEG0000292791 Segment</t>
  </si>
  <si>
    <t xml:space="preserve">        Nautilus/MKX</t>
  </si>
  <si>
    <t>SEG0000292695 Segment</t>
  </si>
  <si>
    <t xml:space="preserve">        MKC</t>
  </si>
  <si>
    <t>SEG0000292790 Segment</t>
  </si>
  <si>
    <t xml:space="preserve">        Navigator</t>
  </si>
  <si>
    <t>SEG0000292781 Segment</t>
  </si>
  <si>
    <t xml:space="preserve">        Aviator</t>
  </si>
  <si>
    <t>SEG0000335390 Segment</t>
  </si>
  <si>
    <t xml:space="preserve">        MKT</t>
  </si>
  <si>
    <t>SEG0000292686 Segment</t>
  </si>
  <si>
    <t>SEG0000292745 Segment</t>
  </si>
  <si>
    <t xml:space="preserve">        MKZ</t>
  </si>
  <si>
    <t>SEG0000292757 Segment</t>
  </si>
  <si>
    <t xml:space="preserve">        Continental</t>
  </si>
  <si>
    <t>SEG0000292692 Segment</t>
  </si>
  <si>
    <t xml:space="preserve">  Previously Disclosed</t>
  </si>
  <si>
    <t>Wholesale Volume</t>
  </si>
  <si>
    <t xml:space="preserve">    North America</t>
  </si>
  <si>
    <t>SEG0000292871 Segment</t>
  </si>
  <si>
    <t xml:space="preserve">    Europe</t>
  </si>
  <si>
    <t>SEG0000292739 Segment</t>
  </si>
  <si>
    <t xml:space="preserve">    China</t>
  </si>
  <si>
    <t>SEG0000292848 Segment</t>
  </si>
  <si>
    <t xml:space="preserve">    South America</t>
  </si>
  <si>
    <t>SEG0000292664 Segment</t>
  </si>
  <si>
    <t xml:space="preserve">    International Markets Group</t>
  </si>
  <si>
    <t>SEG0000375031 Segment</t>
  </si>
  <si>
    <t xml:space="preserve">  Adjusted Operating Income</t>
  </si>
  <si>
    <t>CB_IS_ADJ_EBIT</t>
  </si>
  <si>
    <t xml:space="preserve">  Number of Units Sold</t>
  </si>
  <si>
    <t xml:space="preserve">     China</t>
  </si>
  <si>
    <t>SALES_VOLUME</t>
  </si>
  <si>
    <t>SEG0000292803 Segment</t>
  </si>
  <si>
    <t xml:space="preserve">  Business Breakdown</t>
  </si>
  <si>
    <t>Business Breakdown</t>
  </si>
  <si>
    <t xml:space="preserve">  Ford Blue</t>
  </si>
  <si>
    <t xml:space="preserve">    Revenue</t>
  </si>
  <si>
    <t xml:space="preserve">    EBIT</t>
  </si>
  <si>
    <t>IS_OPER_INC_INCL_EXCL_ITEMS</t>
  </si>
  <si>
    <t xml:space="preserve">    EBIT Margin(%)</t>
  </si>
  <si>
    <t>CB_IS_EBIT_MARGN_PCT</t>
  </si>
  <si>
    <t xml:space="preserve">    Wholesale Units Sold</t>
  </si>
  <si>
    <t xml:space="preserve">  Ford Model E</t>
  </si>
  <si>
    <t xml:space="preserve">  Ford Pro</t>
  </si>
  <si>
    <t xml:space="preserve">  Ford Next</t>
  </si>
  <si>
    <t>SEG0001253946 Segment</t>
  </si>
  <si>
    <t xml:space="preserve">  Ford Credit</t>
  </si>
  <si>
    <t>SEG0000292659 Segment</t>
  </si>
  <si>
    <t xml:space="preserve">  Segment Revenue( Prior disclosure starting on 5/2)</t>
  </si>
  <si>
    <t xml:space="preserve">    Automotive</t>
  </si>
  <si>
    <t xml:space="preserve">    Credit</t>
  </si>
  <si>
    <t xml:space="preserve">    Mobility</t>
  </si>
  <si>
    <t>SEG0000292842 Segment</t>
  </si>
  <si>
    <t xml:space="preserve">  Segment Adj. EBIT</t>
  </si>
  <si>
    <t>Segment Adj. EBIT</t>
  </si>
  <si>
    <t xml:space="preserve">      Operating Margin (%)</t>
  </si>
  <si>
    <t>CB_IS_OPERATING_MARGIN</t>
  </si>
  <si>
    <t xml:space="preserve">    Corporate/Other</t>
  </si>
  <si>
    <t>Corporate/Other</t>
  </si>
  <si>
    <t>SEG0000292772 Segment</t>
  </si>
  <si>
    <t>PRETAX_INC_INCL_EXCL_ITEMS</t>
  </si>
  <si>
    <t xml:space="preserve">  Segment Depreciation &amp; Amortization</t>
  </si>
  <si>
    <t>IS_DEPRECIATION_AND_AMORTIZATION_INCL_EXCL_ITEMS</t>
  </si>
  <si>
    <t xml:space="preserve">  Company Excluding Ford Credit</t>
  </si>
  <si>
    <t>Company Excluding Ford Credit</t>
  </si>
  <si>
    <t xml:space="preserve">    Total Revenue</t>
  </si>
  <si>
    <t>IS_REV_INCLUDING_INTERSEG_REV</t>
  </si>
  <si>
    <t xml:space="preserve">    Income Tax Expense</t>
  </si>
  <si>
    <t>IS_INC_TAX_EXP</t>
  </si>
  <si>
    <t>SEG0000417655 Segment</t>
  </si>
  <si>
    <t xml:space="preserve">    </t>
  </si>
  <si>
    <t xml:space="preserve">    Current Assets</t>
  </si>
  <si>
    <t>CB_BS_CUR_ASSET_REPORT_INCLUDING_INTERSEG</t>
  </si>
  <si>
    <t>Current Assets</t>
  </si>
  <si>
    <t xml:space="preserve">      Cash &amp; Cash Equivalents</t>
  </si>
  <si>
    <t xml:space="preserve">      Marketable Securities</t>
  </si>
  <si>
    <t>MARKETABLE_SECS_MFG_OPERATIONS</t>
  </si>
  <si>
    <t>Marketable Securities</t>
  </si>
  <si>
    <t xml:space="preserve">      Inventories</t>
  </si>
  <si>
    <t>BS_INVENTORIES</t>
  </si>
  <si>
    <t xml:space="preserve">    Property, Plant &amp; Equipment</t>
  </si>
  <si>
    <t>CB_BS_PP_AND_E_NET</t>
  </si>
  <si>
    <t>Property, Plant &amp; Equipment</t>
  </si>
  <si>
    <t xml:space="preserve">    Equity in Affiliates</t>
  </si>
  <si>
    <t>BS_INVEST_IN_ASSOC_CO</t>
  </si>
  <si>
    <t>Equity in Affiliates</t>
  </si>
  <si>
    <t xml:space="preserve">    Deferred Income Tax</t>
  </si>
  <si>
    <t>BS_DEFERRED_TAX_ASSETS_LT</t>
  </si>
  <si>
    <t xml:space="preserve">    Net Investment in Operating Leases</t>
  </si>
  <si>
    <t>BS_LT_INVEST</t>
  </si>
  <si>
    <t xml:space="preserve">    Total Assets</t>
  </si>
  <si>
    <t>BS_TOT_ASSET_INCL_EXCL_ITEMS</t>
  </si>
  <si>
    <t xml:space="preserve">    Current Liabilities</t>
  </si>
  <si>
    <t>BS_CUR_LIAB_INCLUDING_INTERSEG</t>
  </si>
  <si>
    <t>Current Liabilities</t>
  </si>
  <si>
    <t xml:space="preserve">      Accounts Payable</t>
  </si>
  <si>
    <t>BS_ACCT_PAYABLE</t>
  </si>
  <si>
    <t xml:space="preserve">      Short-Term Debt</t>
  </si>
  <si>
    <t>ST_DEBT_CORE_OPERATIONS</t>
  </si>
  <si>
    <t>Short-Term Debt</t>
  </si>
  <si>
    <t xml:space="preserve">    Long-Term Debt</t>
  </si>
  <si>
    <t xml:space="preserve">    Other Liabilities</t>
  </si>
  <si>
    <t>CB_BS_OTHER_NONCURRENT_LIABS</t>
  </si>
  <si>
    <t>Other Liabilities</t>
  </si>
  <si>
    <t xml:space="preserve">    Total Liabilities</t>
  </si>
  <si>
    <t>BS_TOT_LIAB2_INCL_EXCL_ITEMS</t>
  </si>
  <si>
    <t xml:space="preserve">    Net Cash Investing Activities</t>
  </si>
  <si>
    <t>CB_CF_NET_CASH_INVESTING_ACT</t>
  </si>
  <si>
    <t xml:space="preserve">    Net Cash Financing Activities</t>
  </si>
  <si>
    <t>CB_CF_NET_CASH_FINANCING_ACT</t>
  </si>
  <si>
    <t>Ford Credit</t>
  </si>
  <si>
    <t xml:space="preserve">    Cost of Revenue</t>
  </si>
  <si>
    <t>IS_COST_OF_FINANCING_REV_GAAP</t>
  </si>
  <si>
    <t xml:space="preserve">    Depreciation &amp; Amortization</t>
  </si>
  <si>
    <t>Depreciation &amp; Amortization</t>
  </si>
  <si>
    <t xml:space="preserve">    Interest Expense</t>
  </si>
  <si>
    <t>IS_INT_EXPN_INCL_EX_CRT_ITEMS</t>
  </si>
  <si>
    <t>Interest Expense</t>
  </si>
  <si>
    <t xml:space="preserve">    Income Tax Expense (Benefit), Ford Credit</t>
  </si>
  <si>
    <t xml:space="preserve">    Adj. EBIT</t>
  </si>
  <si>
    <t>Adj. EBIT</t>
  </si>
  <si>
    <t xml:space="preserve">    Net Income</t>
  </si>
  <si>
    <t>NET_INCOME_FINANCE_OPERATIONS</t>
  </si>
  <si>
    <t xml:space="preserve">      Accounts Receivable</t>
  </si>
  <si>
    <t>BS_ACCTS_REC_EXCL_NOTES_REC</t>
  </si>
  <si>
    <t>MARKETABLE_SECS_FIN_OPERATIONS</t>
  </si>
  <si>
    <t xml:space="preserve">      Other Current Assets</t>
  </si>
  <si>
    <t>CB_BS_OTHER_CURRENT_ASSETS</t>
  </si>
  <si>
    <t>Net Investment in Operating Leases</t>
  </si>
  <si>
    <t xml:space="preserve">      Deferred Income Taxes</t>
  </si>
  <si>
    <t>BS_DEFERRED_TAX_LIABILITIES_LT</t>
  </si>
  <si>
    <t xml:space="preserve">  Regional Breakdown</t>
  </si>
  <si>
    <t>Regional Breakdown</t>
  </si>
  <si>
    <t xml:space="preserve">  North America</t>
  </si>
  <si>
    <t>North America</t>
  </si>
  <si>
    <t xml:space="preserve">    Adj. Operating Income</t>
  </si>
  <si>
    <t>Adj. Operating Income</t>
  </si>
  <si>
    <t>Operating Margin (%)</t>
  </si>
  <si>
    <t xml:space="preserve">  South America</t>
  </si>
  <si>
    <t>South America</t>
  </si>
  <si>
    <t xml:space="preserve">  Europe</t>
  </si>
  <si>
    <t>Europe</t>
  </si>
  <si>
    <t xml:space="preserve">  China</t>
  </si>
  <si>
    <t>Asia Pacific</t>
  </si>
  <si>
    <t xml:space="preserve">  International Markets Group</t>
  </si>
  <si>
    <t>International Markets Group</t>
  </si>
  <si>
    <t xml:space="preserve">  Income Statement</t>
  </si>
  <si>
    <t xml:space="preserve">  Total Revenue</t>
  </si>
  <si>
    <t xml:space="preserve">    Financing Revenue</t>
  </si>
  <si>
    <t>IS_FINANCING_REVENUE_GAAP</t>
  </si>
  <si>
    <t xml:space="preserve">  Cost of Revenue</t>
  </si>
  <si>
    <t>COGS_MANUFACTURING_OPERATIONS</t>
  </si>
  <si>
    <t xml:space="preserve">  Gross Profit</t>
  </si>
  <si>
    <t>GROSS_PROFIT</t>
  </si>
  <si>
    <t xml:space="preserve">    Gross Margin (%)</t>
  </si>
  <si>
    <t>IS_COMP_GROSS_MARGIN_PERCENTAGE</t>
  </si>
  <si>
    <t xml:space="preserve">  Selling, General &amp; Administrative Expenses</t>
  </si>
  <si>
    <t>IS_SG_AND_A_EXPENSE</t>
  </si>
  <si>
    <t>Selling, General &amp; Administrative Expenses</t>
  </si>
  <si>
    <t xml:space="preserve">    % of Revenue</t>
  </si>
  <si>
    <t>SGA_AS_PCT_TOTAL_SALES</t>
  </si>
  <si>
    <t xml:space="preserve">  Operating Income</t>
  </si>
  <si>
    <t>IS_EBIT_AS_REPORTED</t>
  </si>
  <si>
    <t xml:space="preserve">  Depreciation &amp; Amortization</t>
  </si>
  <si>
    <t>CF_DEPR_AMORT</t>
  </si>
  <si>
    <t xml:space="preserve">  Interest Expense</t>
  </si>
  <si>
    <t>IS_INT_EXPENSE</t>
  </si>
  <si>
    <t xml:space="preserve">  Equity in Net Income /(Loss) of Affiliated Companies</t>
  </si>
  <si>
    <t>IS_EQY_EARN_FROM_INVEST_ASSOC</t>
  </si>
  <si>
    <t>Equity in Net Income /(Loss) of Affiliated Companies</t>
  </si>
  <si>
    <t xml:space="preserve">  Pre-Tax Income</t>
  </si>
  <si>
    <t>PRETAX_INC</t>
  </si>
  <si>
    <t>Pre-Tax Income</t>
  </si>
  <si>
    <t xml:space="preserve">    Manufacturing Operations</t>
  </si>
  <si>
    <t>PRETAX_INCOME_MFG_OPERATIONS</t>
  </si>
  <si>
    <t xml:space="preserve">  Effective Tax Rate (%)</t>
  </si>
  <si>
    <t>EFF_TAX_RATE</t>
  </si>
  <si>
    <t xml:space="preserve">  Provision for/(Benefit from) Income Taxes</t>
  </si>
  <si>
    <t>Provision for/(Benefit from) Income Taxes</t>
  </si>
  <si>
    <t xml:space="preserve">  Non-Controlling Interest</t>
  </si>
  <si>
    <t>MIN_NONCONTROL_INTEREST_CREDITS</t>
  </si>
  <si>
    <t>Non-Controlling Interest</t>
  </si>
  <si>
    <t xml:space="preserve">  Net Income</t>
  </si>
  <si>
    <t>IS_COMP_NET_INCOME_GAAP</t>
  </si>
  <si>
    <t xml:space="preserve">  Basic Weighted Avg. Shares</t>
  </si>
  <si>
    <t>IS_AVG_NUM_SH_FOR_EPS</t>
  </si>
  <si>
    <t>Basic Weighted Avg. Shares</t>
  </si>
  <si>
    <t xml:space="preserve">  Diluted Weighted Avg. Shares</t>
  </si>
  <si>
    <t>CB_IS_ADJ_DILUTED_AVG_SHS</t>
  </si>
  <si>
    <t>Diluted Weighted Avg. Shares</t>
  </si>
  <si>
    <t xml:space="preserve">  Diluted EPS</t>
  </si>
  <si>
    <t>IS_COMP_EPS_GAAP</t>
  </si>
  <si>
    <t>Diluted EPS</t>
  </si>
  <si>
    <t xml:space="preserve">  Dividend per Share</t>
  </si>
  <si>
    <t>HEADLINE_DPS</t>
  </si>
  <si>
    <t>Dividend per Share</t>
  </si>
  <si>
    <t xml:space="preserve">  Adjusted Results</t>
  </si>
  <si>
    <t>Non-GAAP Results</t>
  </si>
  <si>
    <t xml:space="preserve">    Operating Income</t>
  </si>
  <si>
    <t>IS_COMPARABLE_EBIT</t>
  </si>
  <si>
    <t>ADJ_OPERATING_MARGIN</t>
  </si>
  <si>
    <t xml:space="preserve">    EBITDA</t>
  </si>
  <si>
    <t>IS_COMPARABLE_EBITDA</t>
  </si>
  <si>
    <t xml:space="preserve">    Pre-Tax Income</t>
  </si>
  <si>
    <t>IS_COMP_PTP_EX_STK_BASED_COMP</t>
  </si>
  <si>
    <t>IS_COMP_NET_INCOME_ADJUST_OLD</t>
  </si>
  <si>
    <t xml:space="preserve">    Diluted EPS</t>
  </si>
  <si>
    <t xml:space="preserve">  Condensed Balance Sheet</t>
  </si>
  <si>
    <t>Condensed Balance Sheet</t>
  </si>
  <si>
    <t xml:space="preserve">  Assets</t>
  </si>
  <si>
    <t>Assets</t>
  </si>
  <si>
    <t xml:space="preserve">      Cash &amp; Cash Equivalents Manufacturing Operations</t>
  </si>
  <si>
    <t>CASH_AND_CE_MFG_OPERATIONS</t>
  </si>
  <si>
    <t>CB_BS_CASH</t>
  </si>
  <si>
    <t>CB_BS_ST_MARKETABLE_SECS</t>
  </si>
  <si>
    <t xml:space="preserve">    Non-Current Assets</t>
  </si>
  <si>
    <t>Non-Current Assets</t>
  </si>
  <si>
    <t xml:space="preserve">      Net Investment in Operating Leases</t>
  </si>
  <si>
    <t>CB_BS_LONG_TERM_INV</t>
  </si>
  <si>
    <t xml:space="preserve">      Net Property</t>
  </si>
  <si>
    <t>BS_TOT_ASSET</t>
  </si>
  <si>
    <t xml:space="preserve">  Liabilities &amp; Equity</t>
  </si>
  <si>
    <t>Liabilities &amp; Equity</t>
  </si>
  <si>
    <t xml:space="preserve">      Payables</t>
  </si>
  <si>
    <t>CB_BS_ACCOUNTS_PAYABLE</t>
  </si>
  <si>
    <t xml:space="preserve">    Non-Current Liabilities</t>
  </si>
  <si>
    <t>Non-Current Liabilities</t>
  </si>
  <si>
    <t xml:space="preserve">      Long Term Debt Core Operations</t>
  </si>
  <si>
    <t>LT_DEBT_CORE_OPERATIONS</t>
  </si>
  <si>
    <t>BS_TOTAL_LIABILITIES</t>
  </si>
  <si>
    <t xml:space="preserve">    Total Shareholders' Equity</t>
  </si>
  <si>
    <t>HEADLINE_NAV</t>
  </si>
  <si>
    <t>Total Shareholders' Equity</t>
  </si>
  <si>
    <t xml:space="preserve">      Additional Paid in Capital</t>
  </si>
  <si>
    <t>BS_ADD_PAID_IN_CAP</t>
  </si>
  <si>
    <t>Additional Paid in Capital</t>
  </si>
  <si>
    <t xml:space="preserve">      Retained Earnings</t>
  </si>
  <si>
    <t>BS_PURE_RETAINED_EARNINGS</t>
  </si>
  <si>
    <t>Retained Earnings</t>
  </si>
  <si>
    <t xml:space="preserve">      Accumulated Other Comprehensive Income</t>
  </si>
  <si>
    <t>BS_ACCUMULATED_OTHER_COMP_INC</t>
  </si>
  <si>
    <t xml:space="preserve">      Treasury Stock</t>
  </si>
  <si>
    <t>BS_AMT_OF_TSY_STOCK</t>
  </si>
  <si>
    <t xml:space="preserve">      Equity Attributable to Non-Controlling Interests</t>
  </si>
  <si>
    <t>CB_BS_MINORITY_NON_CONTROLLING_INT</t>
  </si>
  <si>
    <t xml:space="preserve">    Total Liabilities &amp; Shareholders' Equity</t>
  </si>
  <si>
    <t xml:space="preserve">  Special Company Reference Items</t>
  </si>
  <si>
    <t>Special Company Reference Items</t>
  </si>
  <si>
    <t xml:space="preserve">    Return on Assets (%)</t>
  </si>
  <si>
    <t>HEADLINE_ROA</t>
  </si>
  <si>
    <t>Return on Assets (%)</t>
  </si>
  <si>
    <t xml:space="preserve">    Adjusted Return on Assets (%)</t>
  </si>
  <si>
    <t>ADJUSTED_ROA_AS_REPORTED</t>
  </si>
  <si>
    <t xml:space="preserve">    Return on Equity (%)</t>
  </si>
  <si>
    <t>HEADLINE_ROE</t>
  </si>
  <si>
    <t xml:space="preserve">    Total Debt - Core Operations</t>
  </si>
  <si>
    <t>TOTAL_DEBT_CORE_OPERATIONS</t>
  </si>
  <si>
    <t>Book Value per Share</t>
  </si>
  <si>
    <t xml:space="preserve">    Net Debt</t>
  </si>
  <si>
    <t>NET_DEBT</t>
  </si>
  <si>
    <t xml:space="preserve">    Book Value per Share</t>
  </si>
  <si>
    <t>HEADLINE_BVPS</t>
  </si>
  <si>
    <t xml:space="preserve">  Condensed Cash Flow Statement</t>
  </si>
  <si>
    <t>Condensed Cash Flow Statement</t>
  </si>
  <si>
    <t xml:space="preserve">  Cash from Operating Activities</t>
  </si>
  <si>
    <t xml:space="preserve">    Amortization of Other</t>
  </si>
  <si>
    <t>CF_OTHR_NONCASH_AMORTIZATN</t>
  </si>
  <si>
    <t xml:space="preserve">    Pension Provisions</t>
  </si>
  <si>
    <t>CF_CHANGE_IN_PENSION_PROVISIONS</t>
  </si>
  <si>
    <t xml:space="preserve">    Change in Working Capital</t>
  </si>
  <si>
    <t>CF_CHANGE_IN_INVENTORIES</t>
  </si>
  <si>
    <t xml:space="preserve">  Cash Flow from Operations</t>
  </si>
  <si>
    <t>CASHFLOW_FROM_OPER_ACT_MFG_OPS</t>
  </si>
  <si>
    <t xml:space="preserve">  Cash from Investing Activities</t>
  </si>
  <si>
    <t xml:space="preserve">    Capital Expenditures</t>
  </si>
  <si>
    <t xml:space="preserve">  Cash Flow from Investing</t>
  </si>
  <si>
    <t>Cash Flow from Investing</t>
  </si>
  <si>
    <t xml:space="preserve">  Cash from Financing Activities</t>
  </si>
  <si>
    <t xml:space="preserve">    Dividends Paid</t>
  </si>
  <si>
    <t>CF_DVD_PAID</t>
  </si>
  <si>
    <t>Dividends Paid</t>
  </si>
  <si>
    <t xml:space="preserve">    Share Repurchase</t>
  </si>
  <si>
    <t>CF_DECR_CAP_STOCK</t>
  </si>
  <si>
    <t>Share Repurchase</t>
  </si>
  <si>
    <t xml:space="preserve">    Other</t>
  </si>
  <si>
    <t>CF_OTHER_FINANCING_ACT_EXCL_FX</t>
  </si>
  <si>
    <t xml:space="preserve">  Cash Flow from Financing</t>
  </si>
  <si>
    <t>Cash Flow from Financing</t>
  </si>
  <si>
    <t xml:space="preserve">    Free Cash Flow</t>
  </si>
  <si>
    <t>CB_IS_COMPANY_BASIS_ADJUSTED_FCF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</si>
</sst>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8">
    <numFmt numFmtId="6" formatCode="&quot;$&quot;#,##0_);[Red]\(&quot;$&quot;#,##0\)"/>
    <numFmt numFmtId="7" formatCode="&quot;$&quot;#,##0.00_);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&quot;CHF&quot;\ * #,##0.00_ ;_ &quot;CHF&quot;\ * \-#,##0.00_ ;_ &quot;CHF&quot;\ * &quot;-&quot;??_ ;_ @_ "/>
    <numFmt numFmtId="165" formatCode="&quot;Yes&quot;;&quot;Yes&quot;;&quot;No&quot;"/>
    <numFmt numFmtId="166" formatCode="#,##0.0_);[Red]\(#,##0.0\)"/>
    <numFmt numFmtId="167" formatCode="0.00%;[Red]\(0.00%\)"/>
    <numFmt numFmtId="168" formatCode="_(* #,##0.0_);_(* \(#,##0.0\);_(* &quot;-&quot;?_);_(@_)"/>
    <numFmt numFmtId="169" formatCode="0.0%;\(0.0%\)"/>
    <numFmt numFmtId="170" formatCode="_(&quot;$&quot;* #,##0.0_);_(&quot;$&quot;* \(#,##0.0\);_(&quot;$&quot;* &quot;-&quot;?_);_(@_)"/>
    <numFmt numFmtId="171" formatCode="_(0.0%_);\(0.0%\);_(&quot;–&quot;_);_(@_)"/>
    <numFmt numFmtId="172" formatCode="_(* #,##0.000_);_(* \(#,##0.000\);_(* &quot;-&quot;???_);_(@_)"/>
    <numFmt numFmtId="173" formatCode="0.0\ \x"/>
    <numFmt numFmtId="174" formatCode="0.0%;\(0.0%\);\-_)_%;@_)_%"/>
    <numFmt numFmtId="175" formatCode="0.0%"/>
    <numFmt numFmtId="176" formatCode="_(0.00\ \x_);\(0.00\ \x\);_(&quot;–&quot;_);_(@_)"/>
    <numFmt numFmtId="177" formatCode="_(0.00%_);\(0.00%\);_(&quot;–&quot;_)_%;_(@_)_%"/>
    <numFmt numFmtId="178" formatCode="_(#,##0.00_)_%;\(#,##0.00\)_%;_(&quot;–&quot;_)_%;_(@_)_%"/>
    <numFmt numFmtId="179" formatCode="_(0.0%_);\(0.0%\);_(&quot;–&quot;_)_%;_(@_)_%"/>
    <numFmt numFmtId="180" formatCode="_(#,##0.00_);\(#,##0.00\);_(&quot;–&quot;_);_(@_)"/>
    <numFmt numFmtId="181" formatCode="0.00%;\(0.00%\)"/>
    <numFmt numFmtId="182" formatCode="#,##0.0_);\(#,##0.0\);@_)"/>
    <numFmt numFmtId="183" formatCode="0.0\x_);\(0.0\x\);@_)"/>
    <numFmt numFmtId="184" formatCode="&quot;$&quot;#,##0.0_);[Red]\(&quot;$&quot;#,##0.0\)"/>
    <numFmt numFmtId="185" formatCode="_(* #,##0.0_);_(* \(#,##0.0\);_(* &quot;-&quot;??_);_(@_)"/>
    <numFmt numFmtId="186" formatCode="#,##0.00_);\(#,##0.00\);@_)"/>
    <numFmt numFmtId="187" formatCode="0.0%;[Red]\(0.0%\)"/>
    <numFmt numFmtId="188" formatCode="#,##0.0%"/>
    <numFmt numFmtId="189" formatCode="0.00000000000000%"/>
    <numFmt numFmtId="190" formatCode="#,##0.0000"/>
    <numFmt numFmtId="191" formatCode="0.000"/>
    <numFmt numFmtId="192" formatCode="&quot;$&quot;#,##0.00"/>
    <numFmt numFmtId="193" formatCode="#,##0.000"/>
    <numFmt numFmtId="194" formatCode="_([$$-409]* #,##0.00_);_([$$-409]* \(#,##0.00\);_([$$-409]* &quot;-&quot;??_);_(@_)"/>
    <numFmt numFmtId="195" formatCode="_(* #,##0_);_(* \(#,##0\);_(* &quot;-&quot;??_);_(@_)"/>
  </numFmts>
  <fonts count="7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rgb="FF000000"/>
      <name val="Tahoma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FF"/>
      <name val="Calibri"/>
      <family val="2"/>
    </font>
    <font>
      <sz val="1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00B050"/>
      <name val="Calibri"/>
      <family val="2"/>
      <scheme val="minor"/>
    </font>
    <font>
      <i/>
      <sz val="1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name val="Calibri"/>
      <family val="2"/>
    </font>
    <font>
      <sz val="11"/>
      <color theme="4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92D05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4"/>
      <color theme="1"/>
      <name val="Calibri"/>
      <family val="2"/>
    </font>
    <font>
      <b/>
      <sz val="11"/>
      <color theme="1"/>
      <name val="Calibri"/>
      <family val="2"/>
    </font>
    <font>
      <sz val="9"/>
      <color rgb="FFFF0000"/>
      <name val="Calibri"/>
      <family val="2"/>
      <scheme val="minor"/>
    </font>
    <font>
      <b/>
      <sz val="11"/>
      <color rgb="FFFFFFFF"/>
      <name val="Calibri"/>
      <family val="2"/>
    </font>
    <font>
      <sz val="11"/>
      <color rgb="FFFFFFFF"/>
      <name val="Calibri"/>
      <family val="2"/>
    </font>
    <font>
      <sz val="11"/>
      <color rgb="FFFF0000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  <scheme val="minor"/>
    </font>
    <font>
      <sz val="11"/>
      <color rgb="FF0070C0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10"/>
      <color theme="0"/>
      <name val="Arial"/>
      <family val="2"/>
    </font>
    <font>
      <sz val="10"/>
      <color theme="1"/>
      <name val="Arial"/>
      <family val="2"/>
    </font>
    <font>
      <sz val="9"/>
      <color rgb="FF000000"/>
      <name val="Tahoma"/>
      <family val="2"/>
    </font>
    <font>
      <b/>
      <sz val="14"/>
      <color theme="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b/>
      <sz val="14"/>
      <color rgb="FF000000"/>
      <name val="Calibri"/>
      <family val="2"/>
      <scheme val="minor"/>
    </font>
    <font>
      <sz val="10"/>
      <color rgb="FFDC0A0A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9"/>
      <color rgb="FF000000"/>
      <name val="Tahoma"/>
      <family val="2"/>
    </font>
    <font>
      <i/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63"/>
      <name val="Arial"/>
      <family val="2"/>
    </font>
    <font>
      <b/>
      <sz val="10"/>
      <color indexed="9"/>
      <name val="Arial"/>
      <family val="2"/>
    </font>
    <font>
      <i/>
      <sz val="10"/>
      <color indexed="63"/>
      <name val="Arial"/>
      <family val="2"/>
    </font>
    <font>
      <b/>
      <sz val="16"/>
      <color indexed="9"/>
      <name val="Arial"/>
      <family val="2"/>
    </font>
    <font>
      <sz val="10"/>
      <color theme="5"/>
      <name val="Calibri"/>
      <family val="2"/>
      <scheme val="minor"/>
    </font>
    <font>
      <sz val="12"/>
      <color theme="5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0"/>
      <color rgb="FF000000"/>
      <name val="Calibri"/>
      <family val="2"/>
      <scheme val="minor"/>
    </font>
    <font>
      <b/>
      <sz val="14"/>
      <name val="Calibri"/>
      <family val="2"/>
      <scheme val="minor"/>
    </font>
    <font>
      <sz val="10"/>
      <color theme="1"/>
      <name val="Calibri"/>
      <family val="2"/>
      <charset val="204"/>
      <scheme val="minor"/>
    </font>
  </fonts>
  <fills count="5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BC4EA"/>
        <bgColor indexed="64"/>
      </patternFill>
    </fill>
    <fill>
      <patternFill patternType="solid">
        <fgColor rgb="FFF5F6FA"/>
        <bgColor indexed="64"/>
      </patternFill>
    </fill>
    <fill>
      <patternFill patternType="solid">
        <fgColor rgb="FFE9EFF6"/>
        <bgColor indexed="64"/>
      </patternFill>
    </fill>
    <fill>
      <patternFill patternType="solid">
        <fgColor rgb="FFF2F4F9"/>
        <bgColor indexed="64"/>
      </patternFill>
    </fill>
    <fill>
      <patternFill patternType="solid">
        <fgColor rgb="FFC8D7DE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8A1A0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rgb="FFF3F6FB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4F81BD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B4D7FF"/>
      </patternFill>
    </fill>
    <fill>
      <patternFill patternType="solid">
        <fgColor theme="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/>
        <bgColor indexed="64"/>
      </patternFill>
    </fill>
  </fills>
  <borders count="4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FFFF"/>
      </left>
      <right style="medium">
        <color rgb="FFFFFFFF"/>
      </right>
      <top style="medium">
        <color rgb="FFFFFFFF"/>
      </top>
      <bottom style="medium">
        <color rgb="FFFFFFFF"/>
      </bottom>
      <diagonal/>
    </border>
    <border>
      <left/>
      <right style="medium">
        <color rgb="FFCCCCCC"/>
      </right>
      <top style="medium">
        <color rgb="FFC1C1C1"/>
      </top>
      <bottom style="medium">
        <color rgb="FFC1C1C1"/>
      </bottom>
      <diagonal/>
    </border>
    <border>
      <left/>
      <right/>
      <top style="medium">
        <color rgb="FFC1C1C1"/>
      </top>
      <bottom style="medium">
        <color rgb="FFC1C1C1"/>
      </bottom>
      <diagonal/>
    </border>
    <border>
      <left/>
      <right style="medium">
        <color rgb="FFCCCCCC"/>
      </right>
      <top style="medium">
        <color rgb="FFE5EBF4"/>
      </top>
      <bottom/>
      <diagonal/>
    </border>
    <border>
      <left/>
      <right/>
      <top style="medium">
        <color rgb="FFE5EBF4"/>
      </top>
      <bottom/>
      <diagonal/>
    </border>
    <border>
      <left/>
      <right style="medium">
        <color rgb="FFCCCCCC"/>
      </right>
      <top/>
      <bottom/>
      <diagonal/>
    </border>
    <border>
      <left/>
      <right style="medium">
        <color rgb="FFCCCCCC"/>
      </right>
      <top/>
      <bottom style="medium">
        <color rgb="FFE5EBF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/>
      <bottom style="thin">
        <color theme="0" tint="-0.1499679555650502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theme="0" tint="-0.14996795556505021"/>
      </left>
      <right/>
      <top/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medium">
        <color indexed="64"/>
      </bottom>
      <diagonal/>
    </border>
    <border>
      <left style="medium">
        <color rgb="FFCCCCCC"/>
      </left>
      <right/>
      <top style="medium">
        <color rgb="FFE5EBF4"/>
      </top>
      <bottom/>
      <diagonal/>
    </border>
    <border>
      <left style="medium">
        <color rgb="FFCCCCCC"/>
      </left>
      <right/>
      <top/>
      <bottom/>
      <diagonal/>
    </border>
    <border>
      <left style="medium">
        <color rgb="FFFFFFFF"/>
      </left>
      <right/>
      <top style="medium">
        <color rgb="FFFFFFFF"/>
      </top>
      <bottom style="medium">
        <color rgb="FFC1C1C1"/>
      </bottom>
      <diagonal/>
    </border>
    <border>
      <left/>
      <right style="medium">
        <color rgb="FFFFFFFF"/>
      </right>
      <top style="medium">
        <color rgb="FFFFFFFF"/>
      </top>
      <bottom style="medium">
        <color rgb="FFC1C1C1"/>
      </bottom>
      <diagonal/>
    </border>
    <border>
      <left/>
      <right/>
      <top style="medium">
        <color rgb="FFC1C1C1"/>
      </top>
      <bottom style="medium">
        <color rgb="FFE5EBF4"/>
      </bottom>
      <diagonal/>
    </border>
    <border>
      <left/>
      <right style="medium">
        <color rgb="FFCCCCCC"/>
      </right>
      <top style="medium">
        <color rgb="FFC1C1C1"/>
      </top>
      <bottom style="medium">
        <color rgb="FFE5EBF4"/>
      </bottom>
      <diagonal/>
    </border>
    <border>
      <left/>
      <right/>
      <top style="medium">
        <color rgb="FFE5EBF4"/>
      </top>
      <bottom style="medium">
        <color rgb="FFE5EBF4"/>
      </bottom>
      <diagonal/>
    </border>
    <border>
      <left/>
      <right style="medium">
        <color rgb="FFCCCCCC"/>
      </right>
      <top style="medium">
        <color rgb="FFE5EBF4"/>
      </top>
      <bottom style="medium">
        <color rgb="FFE5EBF4"/>
      </bottom>
      <diagonal/>
    </border>
    <border>
      <left/>
      <right/>
      <top/>
      <bottom style="medium">
        <color rgb="FFE5EBF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5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4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2" fillId="0" borderId="0"/>
    <xf numFmtId="0" fontId="65" fillId="46" borderId="28" applyNumberFormat="0" applyAlignment="0" applyProtection="0"/>
    <xf numFmtId="4" fontId="66" fillId="42" borderId="31">
      <alignment horizontal="right"/>
    </xf>
    <xf numFmtId="4" fontId="66" fillId="42" borderId="31"/>
    <xf numFmtId="0" fontId="67" fillId="42" borderId="30"/>
    <xf numFmtId="0" fontId="68" fillId="47" borderId="21">
      <alignment horizontal="left"/>
    </xf>
    <xf numFmtId="0" fontId="68" fillId="47" borderId="46">
      <alignment horizontal="left"/>
    </xf>
    <xf numFmtId="0" fontId="69" fillId="0" borderId="0"/>
    <xf numFmtId="0" fontId="70" fillId="47" borderId="24" applyNumberFormat="0" applyProtection="0">
      <alignment horizontal="left" vertical="center" readingOrder="1"/>
    </xf>
    <xf numFmtId="164" fontId="3" fillId="0" borderId="0" applyFont="0" applyFill="0" applyBorder="0" applyAlignment="0" applyProtection="0"/>
  </cellStyleXfs>
  <cellXfs count="399">
    <xf numFmtId="0" fontId="0" fillId="0" borderId="0" xfId="0"/>
    <xf numFmtId="0" fontId="18" fillId="0" borderId="0" xfId="0" applyFont="1"/>
    <xf numFmtId="0" fontId="23" fillId="0" borderId="0" xfId="0" applyFont="1"/>
    <xf numFmtId="0" fontId="24" fillId="0" borderId="0" xfId="42"/>
    <xf numFmtId="0" fontId="25" fillId="0" borderId="0" xfId="42" applyFont="1"/>
    <xf numFmtId="0" fontId="25" fillId="0" borderId="0" xfId="42" applyFont="1" applyAlignment="1">
      <alignment horizontal="right"/>
    </xf>
    <xf numFmtId="0" fontId="3" fillId="0" borderId="0" xfId="0" applyFont="1"/>
    <xf numFmtId="0" fontId="27" fillId="38" borderId="0" xfId="42" applyFont="1" applyFill="1"/>
    <xf numFmtId="0" fontId="28" fillId="38" borderId="17" xfId="42" applyFont="1" applyFill="1" applyBorder="1"/>
    <xf numFmtId="0" fontId="27" fillId="38" borderId="17" xfId="42" applyFont="1" applyFill="1" applyBorder="1"/>
    <xf numFmtId="14" fontId="27" fillId="38" borderId="17" xfId="42" applyNumberFormat="1" applyFont="1" applyFill="1" applyBorder="1" applyAlignment="1">
      <alignment horizontal="center"/>
    </xf>
    <xf numFmtId="0" fontId="29" fillId="0" borderId="0" xfId="42" applyFont="1"/>
    <xf numFmtId="0" fontId="25" fillId="0" borderId="0" xfId="42" applyFont="1" applyAlignment="1">
      <alignment horizontal="left" indent="1"/>
    </xf>
    <xf numFmtId="168" fontId="3" fillId="0" borderId="18" xfId="0" applyNumberFormat="1" applyFont="1" applyBorder="1"/>
    <xf numFmtId="169" fontId="30" fillId="40" borderId="8" xfId="15" applyNumberFormat="1" applyFont="1" applyFill="1" applyAlignment="1"/>
    <xf numFmtId="0" fontId="25" fillId="0" borderId="17" xfId="42" applyFont="1" applyBorder="1" applyAlignment="1">
      <alignment horizontal="left" indent="1"/>
    </xf>
    <xf numFmtId="0" fontId="25" fillId="0" borderId="17" xfId="42" applyFont="1" applyBorder="1"/>
    <xf numFmtId="170" fontId="18" fillId="0" borderId="18" xfId="0" applyNumberFormat="1" applyFont="1" applyBorder="1"/>
    <xf numFmtId="170" fontId="29" fillId="0" borderId="0" xfId="42" applyNumberFormat="1" applyFont="1"/>
    <xf numFmtId="169" fontId="25" fillId="0" borderId="18" xfId="42" applyNumberFormat="1" applyFont="1" applyBorder="1"/>
    <xf numFmtId="44" fontId="3" fillId="0" borderId="0" xfId="0" applyNumberFormat="1" applyFont="1"/>
    <xf numFmtId="169" fontId="25" fillId="0" borderId="0" xfId="42" applyNumberFormat="1" applyFont="1"/>
    <xf numFmtId="168" fontId="26" fillId="40" borderId="26" xfId="0" applyNumberFormat="1" applyFont="1" applyFill="1" applyBorder="1"/>
    <xf numFmtId="0" fontId="29" fillId="0" borderId="0" xfId="42" applyFont="1" applyAlignment="1">
      <alignment horizontal="left" indent="1"/>
    </xf>
    <xf numFmtId="168" fontId="29" fillId="0" borderId="18" xfId="42" applyNumberFormat="1" applyFont="1" applyBorder="1"/>
    <xf numFmtId="172" fontId="26" fillId="40" borderId="27" xfId="0" applyNumberFormat="1" applyFont="1" applyFill="1" applyBorder="1"/>
    <xf numFmtId="170" fontId="3" fillId="0" borderId="0" xfId="0" applyNumberFormat="1" applyFont="1"/>
    <xf numFmtId="173" fontId="31" fillId="0" borderId="0" xfId="42" applyNumberFormat="1" applyFont="1"/>
    <xf numFmtId="0" fontId="29" fillId="0" borderId="18" xfId="42" applyFont="1" applyBorder="1"/>
    <xf numFmtId="0" fontId="25" fillId="0" borderId="18" xfId="42" applyFont="1" applyBorder="1"/>
    <xf numFmtId="44" fontId="29" fillId="0" borderId="18" xfId="42" applyNumberFormat="1" applyFont="1" applyBorder="1"/>
    <xf numFmtId="0" fontId="26" fillId="0" borderId="0" xfId="42" applyFont="1" applyAlignment="1">
      <alignment horizontal="center"/>
    </xf>
    <xf numFmtId="0" fontId="25" fillId="0" borderId="0" xfId="42" applyFont="1" applyAlignment="1">
      <alignment horizontal="center"/>
    </xf>
    <xf numFmtId="0" fontId="29" fillId="38" borderId="0" xfId="42" applyFont="1" applyFill="1"/>
    <xf numFmtId="0" fontId="29" fillId="38" borderId="17" xfId="42" applyFont="1" applyFill="1" applyBorder="1" applyAlignment="1">
      <alignment horizontal="centerContinuous"/>
    </xf>
    <xf numFmtId="0" fontId="32" fillId="38" borderId="17" xfId="42" applyFont="1" applyFill="1" applyBorder="1" applyAlignment="1">
      <alignment horizontal="centerContinuous"/>
    </xf>
    <xf numFmtId="0" fontId="32" fillId="38" borderId="23" xfId="42" applyFont="1" applyFill="1" applyBorder="1" applyAlignment="1">
      <alignment horizontal="centerContinuous"/>
    </xf>
    <xf numFmtId="0" fontId="29" fillId="39" borderId="17" xfId="42" applyFont="1" applyFill="1" applyBorder="1" applyAlignment="1">
      <alignment horizontal="centerContinuous"/>
    </xf>
    <xf numFmtId="0" fontId="32" fillId="39" borderId="17" xfId="42" applyFont="1" applyFill="1" applyBorder="1" applyAlignment="1">
      <alignment horizontal="centerContinuous"/>
    </xf>
    <xf numFmtId="0" fontId="29" fillId="38" borderId="17" xfId="42" applyFont="1" applyFill="1" applyBorder="1"/>
    <xf numFmtId="0" fontId="29" fillId="38" borderId="17" xfId="42" applyFont="1" applyFill="1" applyBorder="1" applyAlignment="1">
      <alignment horizontal="center"/>
    </xf>
    <xf numFmtId="0" fontId="29" fillId="39" borderId="17" xfId="42" applyFont="1" applyFill="1" applyBorder="1" applyAlignment="1">
      <alignment horizontal="center"/>
    </xf>
    <xf numFmtId="170" fontId="33" fillId="0" borderId="0" xfId="42" applyNumberFormat="1" applyFont="1"/>
    <xf numFmtId="42" fontId="34" fillId="0" borderId="0" xfId="42" applyNumberFormat="1" applyFont="1"/>
    <xf numFmtId="169" fontId="35" fillId="0" borderId="0" xfId="42" applyNumberFormat="1" applyFont="1"/>
    <xf numFmtId="168" fontId="33" fillId="0" borderId="0" xfId="42" applyNumberFormat="1" applyFont="1"/>
    <xf numFmtId="168" fontId="29" fillId="0" borderId="0" xfId="42" applyNumberFormat="1" applyFont="1"/>
    <xf numFmtId="42" fontId="36" fillId="0" borderId="0" xfId="42" applyNumberFormat="1" applyFont="1"/>
    <xf numFmtId="41" fontId="25" fillId="0" borderId="0" xfId="42" applyNumberFormat="1" applyFont="1"/>
    <xf numFmtId="168" fontId="25" fillId="0" borderId="0" xfId="42" applyNumberFormat="1" applyFont="1"/>
    <xf numFmtId="6" fontId="25" fillId="0" borderId="0" xfId="42" applyNumberFormat="1" applyFont="1"/>
    <xf numFmtId="168" fontId="26" fillId="0" borderId="0" xfId="42" applyNumberFormat="1" applyFont="1"/>
    <xf numFmtId="0" fontId="25" fillId="0" borderId="0" xfId="42" applyFont="1" applyAlignment="1">
      <alignment horizontal="left" indent="2"/>
    </xf>
    <xf numFmtId="0" fontId="29" fillId="0" borderId="28" xfId="42" applyFont="1" applyBorder="1" applyAlignment="1">
      <alignment horizontal="left"/>
    </xf>
    <xf numFmtId="0" fontId="25" fillId="0" borderId="28" xfId="42" applyFont="1" applyBorder="1"/>
    <xf numFmtId="168" fontId="29" fillId="0" borderId="28" xfId="42" applyNumberFormat="1" applyFont="1" applyBorder="1"/>
    <xf numFmtId="41" fontId="38" fillId="0" borderId="0" xfId="42" applyNumberFormat="1" applyFont="1"/>
    <xf numFmtId="0" fontId="35" fillId="0" borderId="0" xfId="42" applyFont="1" applyAlignment="1">
      <alignment horizontal="left" indent="1"/>
    </xf>
    <xf numFmtId="6" fontId="36" fillId="0" borderId="0" xfId="42" applyNumberFormat="1" applyFont="1"/>
    <xf numFmtId="170" fontId="29" fillId="38" borderId="0" xfId="42" applyNumberFormat="1" applyFont="1" applyFill="1"/>
    <xf numFmtId="170" fontId="25" fillId="0" borderId="0" xfId="42" applyNumberFormat="1" applyFont="1"/>
    <xf numFmtId="0" fontId="29" fillId="39" borderId="0" xfId="42" applyFont="1" applyFill="1"/>
    <xf numFmtId="170" fontId="29" fillId="39" borderId="0" xfId="42" applyNumberFormat="1" applyFont="1" applyFill="1"/>
    <xf numFmtId="0" fontId="39" fillId="0" borderId="0" xfId="0" applyFont="1"/>
    <xf numFmtId="0" fontId="19" fillId="38" borderId="29" xfId="0" applyFont="1" applyFill="1" applyBorder="1"/>
    <xf numFmtId="0" fontId="19" fillId="38" borderId="24" xfId="0" applyFont="1" applyFill="1" applyBorder="1"/>
    <xf numFmtId="0" fontId="15" fillId="38" borderId="24" xfId="0" applyFont="1" applyFill="1" applyBorder="1" applyAlignment="1">
      <alignment horizontal="centerContinuous"/>
    </xf>
    <xf numFmtId="0" fontId="15" fillId="38" borderId="20" xfId="0" applyFont="1" applyFill="1" applyBorder="1" applyAlignment="1">
      <alignment horizontal="centerContinuous"/>
    </xf>
    <xf numFmtId="0" fontId="19" fillId="38" borderId="30" xfId="0" applyFont="1" applyFill="1" applyBorder="1"/>
    <xf numFmtId="169" fontId="40" fillId="39" borderId="30" xfId="0" applyNumberFormat="1" applyFont="1" applyFill="1" applyBorder="1"/>
    <xf numFmtId="44" fontId="3" fillId="0" borderId="29" xfId="0" applyNumberFormat="1" applyFont="1" applyBorder="1"/>
    <xf numFmtId="44" fontId="3" fillId="0" borderId="28" xfId="0" applyNumberFormat="1" applyFont="1" applyBorder="1"/>
    <xf numFmtId="43" fontId="3" fillId="0" borderId="30" xfId="0" applyNumberFormat="1" applyFont="1" applyBorder="1"/>
    <xf numFmtId="43" fontId="3" fillId="0" borderId="0" xfId="0" applyNumberFormat="1" applyFont="1"/>
    <xf numFmtId="174" fontId="15" fillId="0" borderId="0" xfId="0" applyNumberFormat="1" applyFont="1" applyAlignment="1">
      <alignment horizontal="center"/>
    </xf>
    <xf numFmtId="0" fontId="16" fillId="0" borderId="0" xfId="42" applyFont="1"/>
    <xf numFmtId="0" fontId="43" fillId="41" borderId="0" xfId="42" applyFont="1" applyFill="1"/>
    <xf numFmtId="0" fontId="44" fillId="38" borderId="23" xfId="42" applyFont="1" applyFill="1" applyBorder="1" applyAlignment="1">
      <alignment horizontal="center"/>
    </xf>
    <xf numFmtId="0" fontId="3" fillId="0" borderId="0" xfId="0" applyFont="1" applyAlignment="1">
      <alignment vertical="center" wrapText="1"/>
    </xf>
    <xf numFmtId="175" fontId="25" fillId="0" borderId="0" xfId="43" applyNumberFormat="1" applyFont="1" applyFill="1" applyBorder="1"/>
    <xf numFmtId="0" fontId="19" fillId="0" borderId="0" xfId="0" applyFont="1"/>
    <xf numFmtId="0" fontId="15" fillId="0" borderId="0" xfId="0" applyFont="1" applyAlignment="1">
      <alignment horizontal="centerContinuous"/>
    </xf>
    <xf numFmtId="169" fontId="40" fillId="0" borderId="0" xfId="0" applyNumberFormat="1" applyFont="1"/>
    <xf numFmtId="9" fontId="3" fillId="0" borderId="0" xfId="43" applyFont="1" applyFill="1" applyBorder="1" applyAlignment="1"/>
    <xf numFmtId="0" fontId="19" fillId="0" borderId="0" xfId="42" applyFont="1"/>
    <xf numFmtId="169" fontId="19" fillId="0" borderId="0" xfId="42" applyNumberFormat="1" applyFont="1"/>
    <xf numFmtId="175" fontId="19" fillId="0" borderId="0" xfId="43" applyNumberFormat="1" applyFont="1" applyFill="1" applyBorder="1"/>
    <xf numFmtId="0" fontId="25" fillId="0" borderId="24" xfId="42" applyFont="1" applyBorder="1"/>
    <xf numFmtId="172" fontId="26" fillId="40" borderId="35" xfId="0" applyNumberFormat="1" applyFont="1" applyFill="1" applyBorder="1"/>
    <xf numFmtId="0" fontId="29" fillId="0" borderId="32" xfId="42" applyFont="1" applyBorder="1"/>
    <xf numFmtId="0" fontId="25" fillId="0" borderId="32" xfId="42" applyFont="1" applyBorder="1"/>
    <xf numFmtId="165" fontId="19" fillId="0" borderId="36" xfId="42" applyNumberFormat="1" applyFont="1" applyBorder="1" applyAlignment="1">
      <alignment horizontal="center"/>
    </xf>
    <xf numFmtId="169" fontId="30" fillId="40" borderId="18" xfId="15" applyNumberFormat="1" applyFont="1" applyFill="1" applyBorder="1" applyAlignment="1"/>
    <xf numFmtId="176" fontId="30" fillId="40" borderId="18" xfId="0" applyNumberFormat="1" applyFont="1" applyFill="1" applyBorder="1"/>
    <xf numFmtId="171" fontId="30" fillId="40" borderId="18" xfId="0" applyNumberFormat="1" applyFont="1" applyFill="1" applyBorder="1"/>
    <xf numFmtId="44" fontId="26" fillId="40" borderId="21" xfId="0" applyNumberFormat="1" applyFont="1" applyFill="1" applyBorder="1"/>
    <xf numFmtId="0" fontId="33" fillId="40" borderId="19" xfId="15" applyFont="1" applyFill="1" applyBorder="1" applyAlignment="1">
      <alignment horizontal="right"/>
    </xf>
    <xf numFmtId="0" fontId="33" fillId="40" borderId="20" xfId="15" applyFont="1" applyFill="1" applyBorder="1" applyAlignment="1">
      <alignment horizontal="right"/>
    </xf>
    <xf numFmtId="184" fontId="25" fillId="0" borderId="18" xfId="42" applyNumberFormat="1" applyFont="1" applyBorder="1"/>
    <xf numFmtId="185" fontId="25" fillId="0" borderId="18" xfId="44" applyNumberFormat="1" applyFont="1" applyFill="1" applyBorder="1"/>
    <xf numFmtId="175" fontId="25" fillId="0" borderId="18" xfId="43" applyNumberFormat="1" applyFont="1" applyFill="1" applyBorder="1"/>
    <xf numFmtId="170" fontId="18" fillId="0" borderId="0" xfId="0" applyNumberFormat="1" applyFont="1"/>
    <xf numFmtId="185" fontId="25" fillId="0" borderId="0" xfId="44" applyNumberFormat="1" applyFont="1" applyFill="1" applyBorder="1"/>
    <xf numFmtId="0" fontId="55" fillId="0" borderId="0" xfId="42" applyFont="1"/>
    <xf numFmtId="0" fontId="55" fillId="0" borderId="0" xfId="42" applyFont="1" applyAlignment="1">
      <alignment wrapText="1"/>
    </xf>
    <xf numFmtId="168" fontId="26" fillId="0" borderId="0" xfId="0" applyNumberFormat="1" applyFont="1"/>
    <xf numFmtId="44" fontId="0" fillId="0" borderId="28" xfId="0" applyNumberFormat="1" applyBorder="1"/>
    <xf numFmtId="43" fontId="0" fillId="0" borderId="0" xfId="0" applyNumberFormat="1"/>
    <xf numFmtId="43" fontId="0" fillId="0" borderId="30" xfId="0" applyNumberFormat="1" applyBorder="1"/>
    <xf numFmtId="181" fontId="30" fillId="40" borderId="18" xfId="15" applyNumberFormat="1" applyFont="1" applyFill="1" applyBorder="1" applyAlignment="1"/>
    <xf numFmtId="6" fontId="16" fillId="0" borderId="0" xfId="42" applyNumberFormat="1" applyFont="1"/>
    <xf numFmtId="0" fontId="26" fillId="0" borderId="18" xfId="0" applyFont="1" applyBorder="1" applyAlignment="1">
      <alignment horizontal="center"/>
    </xf>
    <xf numFmtId="14" fontId="26" fillId="0" borderId="18" xfId="0" applyNumberFormat="1" applyFont="1" applyBorder="1"/>
    <xf numFmtId="14" fontId="26" fillId="0" borderId="18" xfId="0" applyNumberFormat="1" applyFont="1" applyBorder="1" applyAlignment="1">
      <alignment horizontal="center"/>
    </xf>
    <xf numFmtId="0" fontId="29" fillId="0" borderId="0" xfId="42" applyFont="1" applyAlignment="1">
      <alignment horizontal="left"/>
    </xf>
    <xf numFmtId="175" fontId="15" fillId="0" borderId="0" xfId="0" applyNumberFormat="1" applyFont="1" applyAlignment="1">
      <alignment horizontal="center"/>
    </xf>
    <xf numFmtId="171" fontId="30" fillId="0" borderId="0" xfId="0" applyNumberFormat="1" applyFont="1"/>
    <xf numFmtId="0" fontId="18" fillId="38" borderId="24" xfId="0" applyFont="1" applyFill="1" applyBorder="1" applyAlignment="1">
      <alignment horizontal="centerContinuous"/>
    </xf>
    <xf numFmtId="10" fontId="15" fillId="0" borderId="0" xfId="0" applyNumberFormat="1" applyFont="1" applyAlignment="1">
      <alignment horizontal="center"/>
    </xf>
    <xf numFmtId="183" fontId="18" fillId="39" borderId="0" xfId="0" applyNumberFormat="1" applyFont="1" applyFill="1" applyAlignment="1">
      <alignment horizontal="center"/>
    </xf>
    <xf numFmtId="174" fontId="18" fillId="39" borderId="0" xfId="0" applyNumberFormat="1" applyFont="1" applyFill="1" applyAlignment="1">
      <alignment horizontal="center"/>
    </xf>
    <xf numFmtId="44" fontId="18" fillId="0" borderId="28" xfId="0" applyNumberFormat="1" applyFont="1" applyBorder="1"/>
    <xf numFmtId="43" fontId="18" fillId="0" borderId="0" xfId="0" applyNumberFormat="1" applyFont="1"/>
    <xf numFmtId="43" fontId="18" fillId="0" borderId="30" xfId="0" applyNumberFormat="1" applyFont="1" applyBorder="1"/>
    <xf numFmtId="174" fontId="18" fillId="39" borderId="21" xfId="0" applyNumberFormat="1" applyFont="1" applyFill="1" applyBorder="1" applyAlignment="1">
      <alignment horizontal="center"/>
    </xf>
    <xf numFmtId="0" fontId="18" fillId="38" borderId="20" xfId="0" applyFont="1" applyFill="1" applyBorder="1" applyAlignment="1">
      <alignment horizontal="centerContinuous"/>
    </xf>
    <xf numFmtId="0" fontId="56" fillId="0" borderId="0" xfId="42" applyFont="1"/>
    <xf numFmtId="0" fontId="0" fillId="41" borderId="0" xfId="0" applyFill="1"/>
    <xf numFmtId="0" fontId="19" fillId="0" borderId="0" xfId="0" quotePrefix="1" applyFont="1"/>
    <xf numFmtId="182" fontId="19" fillId="0" borderId="0" xfId="0" applyNumberFormat="1" applyFont="1"/>
    <xf numFmtId="186" fontId="19" fillId="0" borderId="0" xfId="0" applyNumberFormat="1" applyFont="1"/>
    <xf numFmtId="44" fontId="56" fillId="0" borderId="0" xfId="42" applyNumberFormat="1" applyFont="1"/>
    <xf numFmtId="186" fontId="19" fillId="41" borderId="0" xfId="0" applyNumberFormat="1" applyFont="1" applyFill="1"/>
    <xf numFmtId="0" fontId="57" fillId="0" borderId="0" xfId="42" applyFont="1"/>
    <xf numFmtId="177" fontId="26" fillId="41" borderId="25" xfId="0" applyNumberFormat="1" applyFont="1" applyFill="1" applyBorder="1" applyAlignment="1">
      <alignment horizontal="center"/>
    </xf>
    <xf numFmtId="0" fontId="45" fillId="41" borderId="0" xfId="0" applyFont="1" applyFill="1"/>
    <xf numFmtId="0" fontId="46" fillId="41" borderId="0" xfId="0" applyFont="1" applyFill="1"/>
    <xf numFmtId="0" fontId="47" fillId="41" borderId="0" xfId="0" applyFont="1" applyFill="1"/>
    <xf numFmtId="9" fontId="0" fillId="41" borderId="0" xfId="0" applyNumberFormat="1" applyFill="1"/>
    <xf numFmtId="0" fontId="46" fillId="41" borderId="17" xfId="0" applyFont="1" applyFill="1" applyBorder="1"/>
    <xf numFmtId="0" fontId="48" fillId="41" borderId="17" xfId="0" applyFont="1" applyFill="1" applyBorder="1"/>
    <xf numFmtId="0" fontId="49" fillId="41" borderId="17" xfId="0" applyFont="1" applyFill="1" applyBorder="1"/>
    <xf numFmtId="0" fontId="49" fillId="41" borderId="0" xfId="0" applyFont="1" applyFill="1"/>
    <xf numFmtId="0" fontId="25" fillId="41" borderId="0" xfId="42" applyFont="1" applyFill="1"/>
    <xf numFmtId="177" fontId="30" fillId="41" borderId="0" xfId="0" applyNumberFormat="1" applyFont="1" applyFill="1"/>
    <xf numFmtId="177" fontId="54" fillId="41" borderId="0" xfId="0" applyNumberFormat="1" applyFont="1" applyFill="1"/>
    <xf numFmtId="0" fontId="50" fillId="41" borderId="0" xfId="0" applyFont="1" applyFill="1"/>
    <xf numFmtId="1" fontId="51" fillId="41" borderId="0" xfId="0" applyNumberFormat="1" applyFont="1" applyFill="1"/>
    <xf numFmtId="0" fontId="51" fillId="41" borderId="0" xfId="0" applyFont="1" applyFill="1"/>
    <xf numFmtId="0" fontId="30" fillId="41" borderId="0" xfId="0" applyFont="1" applyFill="1"/>
    <xf numFmtId="1" fontId="30" fillId="41" borderId="0" xfId="0" applyNumberFormat="1" applyFont="1" applyFill="1"/>
    <xf numFmtId="0" fontId="18" fillId="41" borderId="0" xfId="42" applyFont="1" applyFill="1"/>
    <xf numFmtId="0" fontId="3" fillId="41" borderId="0" xfId="42" applyFont="1" applyFill="1"/>
    <xf numFmtId="0" fontId="3" fillId="41" borderId="0" xfId="42" applyFont="1" applyFill="1" applyAlignment="1">
      <alignment horizontal="center"/>
    </xf>
    <xf numFmtId="0" fontId="3" fillId="41" borderId="17" xfId="42" applyFont="1" applyFill="1" applyBorder="1"/>
    <xf numFmtId="0" fontId="3" fillId="41" borderId="17" xfId="42" applyFont="1" applyFill="1" applyBorder="1" applyAlignment="1">
      <alignment horizontal="center"/>
    </xf>
    <xf numFmtId="0" fontId="52" fillId="41" borderId="0" xfId="42" applyFont="1" applyFill="1"/>
    <xf numFmtId="178" fontId="53" fillId="41" borderId="0" xfId="0" applyNumberFormat="1" applyFont="1" applyFill="1"/>
    <xf numFmtId="168" fontId="53" fillId="41" borderId="0" xfId="0" applyNumberFormat="1" applyFont="1" applyFill="1"/>
    <xf numFmtId="179" fontId="37" fillId="41" borderId="0" xfId="0" applyNumberFormat="1" applyFont="1" applyFill="1"/>
    <xf numFmtId="168" fontId="52" fillId="41" borderId="0" xfId="42" applyNumberFormat="1" applyFont="1" applyFill="1"/>
    <xf numFmtId="175" fontId="52" fillId="41" borderId="0" xfId="43" applyNumberFormat="1" applyFont="1" applyFill="1"/>
    <xf numFmtId="180" fontId="0" fillId="41" borderId="0" xfId="0" applyNumberFormat="1" applyFill="1"/>
    <xf numFmtId="9" fontId="0" fillId="41" borderId="0" xfId="43" applyFont="1" applyFill="1"/>
    <xf numFmtId="170" fontId="53" fillId="41" borderId="0" xfId="0" applyNumberFormat="1" applyFont="1" applyFill="1"/>
    <xf numFmtId="0" fontId="29" fillId="41" borderId="19" xfId="42" applyFont="1" applyFill="1" applyBorder="1" applyAlignment="1">
      <alignment horizontal="left"/>
    </xf>
    <xf numFmtId="0" fontId="29" fillId="41" borderId="24" xfId="42" applyFont="1" applyFill="1" applyBorder="1"/>
    <xf numFmtId="178" fontId="29" fillId="41" borderId="24" xfId="42" applyNumberFormat="1" applyFont="1" applyFill="1" applyBorder="1"/>
    <xf numFmtId="170" fontId="29" fillId="41" borderId="24" xfId="42" applyNumberFormat="1" applyFont="1" applyFill="1" applyBorder="1"/>
    <xf numFmtId="179" fontId="29" fillId="41" borderId="24" xfId="42" applyNumberFormat="1" applyFont="1" applyFill="1" applyBorder="1"/>
    <xf numFmtId="43" fontId="29" fillId="41" borderId="20" xfId="42" applyNumberFormat="1" applyFont="1" applyFill="1" applyBorder="1"/>
    <xf numFmtId="0" fontId="18" fillId="41" borderId="19" xfId="42" applyFont="1" applyFill="1" applyBorder="1"/>
    <xf numFmtId="0" fontId="18" fillId="41" borderId="24" xfId="42" applyFont="1" applyFill="1" applyBorder="1"/>
    <xf numFmtId="178" fontId="18" fillId="41" borderId="24" xfId="42" applyNumberFormat="1" applyFont="1" applyFill="1" applyBorder="1"/>
    <xf numFmtId="42" fontId="15" fillId="41" borderId="24" xfId="42" applyNumberFormat="1" applyFont="1" applyFill="1" applyBorder="1"/>
    <xf numFmtId="9" fontId="15" fillId="41" borderId="24" xfId="42" applyNumberFormat="1" applyFont="1" applyFill="1" applyBorder="1"/>
    <xf numFmtId="43" fontId="15" fillId="41" borderId="20" xfId="42" applyNumberFormat="1" applyFont="1" applyFill="1" applyBorder="1"/>
    <xf numFmtId="10" fontId="0" fillId="41" borderId="0" xfId="0" applyNumberFormat="1" applyFill="1"/>
    <xf numFmtId="0" fontId="27" fillId="41" borderId="0" xfId="42" applyFont="1" applyFill="1"/>
    <xf numFmtId="0" fontId="27" fillId="41" borderId="17" xfId="42" applyFont="1" applyFill="1" applyBorder="1"/>
    <xf numFmtId="0" fontId="25" fillId="41" borderId="28" xfId="42" applyFont="1" applyFill="1" applyBorder="1"/>
    <xf numFmtId="178" fontId="25" fillId="41" borderId="28" xfId="42" applyNumberFormat="1" applyFont="1" applyFill="1" applyBorder="1"/>
    <xf numFmtId="179" fontId="25" fillId="41" borderId="28" xfId="42" applyNumberFormat="1" applyFont="1" applyFill="1" applyBorder="1"/>
    <xf numFmtId="170" fontId="37" fillId="41" borderId="0" xfId="0" applyNumberFormat="1" applyFont="1" applyFill="1"/>
    <xf numFmtId="175" fontId="36" fillId="41" borderId="28" xfId="42" applyNumberFormat="1" applyFont="1" applyFill="1" applyBorder="1"/>
    <xf numFmtId="43" fontId="25" fillId="41" borderId="28" xfId="42" applyNumberFormat="1" applyFont="1" applyFill="1" applyBorder="1"/>
    <xf numFmtId="178" fontId="25" fillId="41" borderId="0" xfId="42" applyNumberFormat="1" applyFont="1" applyFill="1"/>
    <xf numFmtId="168" fontId="25" fillId="41" borderId="0" xfId="42" applyNumberFormat="1" applyFont="1" applyFill="1"/>
    <xf numFmtId="179" fontId="25" fillId="41" borderId="0" xfId="42" applyNumberFormat="1" applyFont="1" applyFill="1"/>
    <xf numFmtId="175" fontId="36" fillId="41" borderId="0" xfId="42" applyNumberFormat="1" applyFont="1" applyFill="1"/>
    <xf numFmtId="43" fontId="25" fillId="41" borderId="0" xfId="42" applyNumberFormat="1" applyFont="1" applyFill="1"/>
    <xf numFmtId="0" fontId="3" fillId="41" borderId="29" xfId="42" applyFont="1" applyFill="1" applyBorder="1"/>
    <xf numFmtId="0" fontId="15" fillId="41" borderId="28" xfId="42" applyFont="1" applyFill="1" applyBorder="1"/>
    <xf numFmtId="181" fontId="3" fillId="41" borderId="33" xfId="42" applyNumberFormat="1" applyFont="1" applyFill="1" applyBorder="1"/>
    <xf numFmtId="0" fontId="3" fillId="41" borderId="30" xfId="42" applyFont="1" applyFill="1" applyBorder="1"/>
    <xf numFmtId="0" fontId="15" fillId="41" borderId="0" xfId="42" applyFont="1" applyFill="1"/>
    <xf numFmtId="181" fontId="3" fillId="41" borderId="34" xfId="42" applyNumberFormat="1" applyFont="1" applyFill="1" applyBorder="1"/>
    <xf numFmtId="0" fontId="3" fillId="41" borderId="22" xfId="42" applyFont="1" applyFill="1" applyBorder="1"/>
    <xf numFmtId="0" fontId="15" fillId="41" borderId="17" xfId="42" applyFont="1" applyFill="1" applyBorder="1"/>
    <xf numFmtId="181" fontId="3" fillId="41" borderId="23" xfId="42" applyNumberFormat="1" applyFont="1" applyFill="1" applyBorder="1"/>
    <xf numFmtId="0" fontId="25" fillId="41" borderId="17" xfId="42" applyFont="1" applyFill="1" applyBorder="1"/>
    <xf numFmtId="177" fontId="3" fillId="41" borderId="33" xfId="42" applyNumberFormat="1" applyFont="1" applyFill="1" applyBorder="1"/>
    <xf numFmtId="177" fontId="3" fillId="41" borderId="34" xfId="42" applyNumberFormat="1" applyFont="1" applyFill="1" applyBorder="1"/>
    <xf numFmtId="177" fontId="3" fillId="41" borderId="23" xfId="42" applyNumberFormat="1" applyFont="1" applyFill="1" applyBorder="1"/>
    <xf numFmtId="0" fontId="15" fillId="41" borderId="24" xfId="42" applyFont="1" applyFill="1" applyBorder="1"/>
    <xf numFmtId="177" fontId="18" fillId="41" borderId="20" xfId="42" applyNumberFormat="1" applyFont="1" applyFill="1" applyBorder="1"/>
    <xf numFmtId="0" fontId="20" fillId="0" borderId="0" xfId="45" applyFont="1"/>
    <xf numFmtId="0" fontId="2" fillId="0" borderId="0" xfId="45"/>
    <xf numFmtId="0" fontId="21" fillId="0" borderId="0" xfId="45" applyFont="1"/>
    <xf numFmtId="0" fontId="22" fillId="33" borderId="10" xfId="45" applyFont="1" applyFill="1" applyBorder="1" applyAlignment="1">
      <alignment horizontal="left"/>
    </xf>
    <xf numFmtId="0" fontId="22" fillId="33" borderId="10" xfId="45" applyFont="1" applyFill="1" applyBorder="1" applyAlignment="1">
      <alignment horizontal="right"/>
    </xf>
    <xf numFmtId="0" fontId="59" fillId="34" borderId="11" xfId="45" applyFont="1" applyFill="1" applyBorder="1" applyAlignment="1">
      <alignment horizontal="left"/>
    </xf>
    <xf numFmtId="0" fontId="60" fillId="44" borderId="12" xfId="45" applyFont="1" applyFill="1" applyBorder="1" applyAlignment="1">
      <alignment horizontal="center" vertical="top"/>
    </xf>
    <xf numFmtId="0" fontId="61" fillId="43" borderId="12" xfId="45" applyFont="1" applyFill="1" applyBorder="1" applyAlignment="1">
      <alignment horizontal="center" vertical="top"/>
    </xf>
    <xf numFmtId="0" fontId="21" fillId="34" borderId="13" xfId="45" applyFont="1" applyFill="1" applyBorder="1" applyAlignment="1">
      <alignment horizontal="right"/>
    </xf>
    <xf numFmtId="38" fontId="21" fillId="34" borderId="14" xfId="45" applyNumberFormat="1" applyFont="1" applyFill="1" applyBorder="1" applyAlignment="1">
      <alignment horizontal="right"/>
    </xf>
    <xf numFmtId="0" fontId="21" fillId="37" borderId="0" xfId="45" applyFont="1" applyFill="1" applyAlignment="1">
      <alignment horizontal="left"/>
    </xf>
    <xf numFmtId="0" fontId="21" fillId="0" borderId="13" xfId="45" applyFont="1" applyBorder="1" applyAlignment="1">
      <alignment horizontal="left"/>
    </xf>
    <xf numFmtId="38" fontId="21" fillId="0" borderId="14" xfId="45" applyNumberFormat="1" applyFont="1" applyBorder="1" applyAlignment="1">
      <alignment horizontal="right" wrapText="1"/>
    </xf>
    <xf numFmtId="0" fontId="21" fillId="35" borderId="13" xfId="45" applyFont="1" applyFill="1" applyBorder="1" applyAlignment="1">
      <alignment horizontal="left"/>
    </xf>
    <xf numFmtId="38" fontId="21" fillId="35" borderId="14" xfId="45" applyNumberFormat="1" applyFont="1" applyFill="1" applyBorder="1" applyAlignment="1">
      <alignment horizontal="right" wrapText="1"/>
    </xf>
    <xf numFmtId="0" fontId="21" fillId="36" borderId="13" xfId="45" applyFont="1" applyFill="1" applyBorder="1" applyAlignment="1">
      <alignment horizontal="left" indent="2"/>
    </xf>
    <xf numFmtId="38" fontId="21" fillId="34" borderId="14" xfId="45" applyNumberFormat="1" applyFont="1" applyFill="1" applyBorder="1" applyAlignment="1">
      <alignment horizontal="right" wrapText="1"/>
    </xf>
    <xf numFmtId="0" fontId="21" fillId="0" borderId="14" xfId="45" applyFont="1" applyBorder="1" applyAlignment="1">
      <alignment horizontal="left" wrapText="1"/>
    </xf>
    <xf numFmtId="0" fontId="21" fillId="0" borderId="0" xfId="45" applyFont="1" applyAlignment="1">
      <alignment wrapText="1"/>
    </xf>
    <xf numFmtId="167" fontId="21" fillId="34" borderId="14" xfId="45" applyNumberFormat="1" applyFont="1" applyFill="1" applyBorder="1" applyAlignment="1">
      <alignment horizontal="right" wrapText="1"/>
    </xf>
    <xf numFmtId="40" fontId="21" fillId="0" borderId="14" xfId="45" applyNumberFormat="1" applyFont="1" applyBorder="1" applyAlignment="1">
      <alignment horizontal="right" wrapText="1"/>
    </xf>
    <xf numFmtId="0" fontId="2" fillId="37" borderId="0" xfId="45" applyFill="1" applyAlignment="1">
      <alignment horizontal="left" wrapText="1"/>
    </xf>
    <xf numFmtId="166" fontId="21" fillId="35" borderId="14" xfId="45" applyNumberFormat="1" applyFont="1" applyFill="1" applyBorder="1" applyAlignment="1">
      <alignment horizontal="right" wrapText="1"/>
    </xf>
    <xf numFmtId="0" fontId="21" fillId="36" borderId="13" xfId="45" applyFont="1" applyFill="1" applyBorder="1" applyAlignment="1">
      <alignment horizontal="left" wrapText="1" indent="2"/>
    </xf>
    <xf numFmtId="38" fontId="21" fillId="34" borderId="0" xfId="45" applyNumberFormat="1" applyFont="1" applyFill="1" applyAlignment="1">
      <alignment horizontal="right" wrapText="1"/>
    </xf>
    <xf numFmtId="0" fontId="21" fillId="37" borderId="0" xfId="45" applyFont="1" applyFill="1" applyAlignment="1">
      <alignment horizontal="left" wrapText="1"/>
    </xf>
    <xf numFmtId="0" fontId="21" fillId="36" borderId="14" xfId="45" applyFont="1" applyFill="1" applyBorder="1" applyAlignment="1">
      <alignment wrapText="1"/>
    </xf>
    <xf numFmtId="0" fontId="22" fillId="33" borderId="10" xfId="45" applyFont="1" applyFill="1" applyBorder="1" applyAlignment="1">
      <alignment horizontal="center"/>
    </xf>
    <xf numFmtId="0" fontId="21" fillId="36" borderId="13" xfId="45" applyFont="1" applyFill="1" applyBorder="1"/>
    <xf numFmtId="0" fontId="21" fillId="36" borderId="14" xfId="45" applyFont="1" applyFill="1" applyBorder="1" applyAlignment="1">
      <alignment horizontal="right" wrapText="1"/>
    </xf>
    <xf numFmtId="0" fontId="21" fillId="42" borderId="13" xfId="45" applyFont="1" applyFill="1" applyBorder="1" applyAlignment="1">
      <alignment horizontal="left"/>
    </xf>
    <xf numFmtId="38" fontId="21" fillId="45" borderId="14" xfId="45" applyNumberFormat="1" applyFont="1" applyFill="1" applyBorder="1" applyAlignment="1">
      <alignment horizontal="right" wrapText="1"/>
    </xf>
    <xf numFmtId="187" fontId="21" fillId="0" borderId="14" xfId="45" applyNumberFormat="1" applyFont="1" applyBorder="1" applyAlignment="1">
      <alignment horizontal="right"/>
    </xf>
    <xf numFmtId="38" fontId="62" fillId="45" borderId="14" xfId="45" applyNumberFormat="1" applyFont="1" applyFill="1" applyBorder="1" applyAlignment="1">
      <alignment horizontal="right" wrapText="1"/>
    </xf>
    <xf numFmtId="40" fontId="21" fillId="0" borderId="14" xfId="45" applyNumberFormat="1" applyFont="1" applyBorder="1" applyAlignment="1">
      <alignment horizontal="right"/>
    </xf>
    <xf numFmtId="166" fontId="21" fillId="0" borderId="14" xfId="45" applyNumberFormat="1" applyFont="1" applyBorder="1" applyAlignment="1">
      <alignment horizontal="right"/>
    </xf>
    <xf numFmtId="0" fontId="65" fillId="46" borderId="28" xfId="46"/>
    <xf numFmtId="4" fontId="66" fillId="42" borderId="31" xfId="47">
      <alignment horizontal="right"/>
    </xf>
    <xf numFmtId="4" fontId="66" fillId="42" borderId="31" xfId="48"/>
    <xf numFmtId="0" fontId="67" fillId="42" borderId="30" xfId="49"/>
    <xf numFmtId="14" fontId="68" fillId="47" borderId="21" xfId="50" applyNumberFormat="1">
      <alignment horizontal="left"/>
    </xf>
    <xf numFmtId="0" fontId="68" fillId="47" borderId="21" xfId="50">
      <alignment horizontal="left"/>
    </xf>
    <xf numFmtId="0" fontId="68" fillId="47" borderId="46" xfId="51">
      <alignment horizontal="left"/>
    </xf>
    <xf numFmtId="0" fontId="69" fillId="0" borderId="0" xfId="52"/>
    <xf numFmtId="0" fontId="70" fillId="47" borderId="24" xfId="53">
      <alignment horizontal="left" vertical="center" readingOrder="1"/>
    </xf>
    <xf numFmtId="0" fontId="63" fillId="48" borderId="0" xfId="42" applyFont="1" applyFill="1"/>
    <xf numFmtId="0" fontId="71" fillId="48" borderId="13" xfId="45" applyFont="1" applyFill="1" applyBorder="1" applyAlignment="1">
      <alignment horizontal="left"/>
    </xf>
    <xf numFmtId="38" fontId="71" fillId="48" borderId="14" xfId="45" applyNumberFormat="1" applyFont="1" applyFill="1" applyBorder="1" applyAlignment="1">
      <alignment horizontal="right" wrapText="1"/>
    </xf>
    <xf numFmtId="0" fontId="72" fillId="48" borderId="0" xfId="45" applyFont="1" applyFill="1"/>
    <xf numFmtId="0" fontId="21" fillId="49" borderId="13" xfId="45" applyFont="1" applyFill="1" applyBorder="1" applyAlignment="1">
      <alignment horizontal="left" indent="2"/>
    </xf>
    <xf numFmtId="168" fontId="26" fillId="48" borderId="0" xfId="42" applyNumberFormat="1" applyFont="1" applyFill="1"/>
    <xf numFmtId="0" fontId="73" fillId="0" borderId="0" xfId="0" applyFont="1"/>
    <xf numFmtId="188" fontId="73" fillId="0" borderId="0" xfId="0" applyNumberFormat="1" applyFont="1"/>
    <xf numFmtId="38" fontId="21" fillId="0" borderId="14" xfId="45" applyNumberFormat="1" applyFont="1" applyBorder="1" applyAlignment="1">
      <alignment horizontal="left" wrapText="1"/>
    </xf>
    <xf numFmtId="38" fontId="71" fillId="49" borderId="14" xfId="45" applyNumberFormat="1" applyFont="1" applyFill="1" applyBorder="1" applyAlignment="1">
      <alignment horizontal="right" wrapText="1"/>
    </xf>
    <xf numFmtId="169" fontId="16" fillId="0" borderId="0" xfId="42" applyNumberFormat="1" applyFont="1"/>
    <xf numFmtId="10" fontId="18" fillId="0" borderId="0" xfId="0" applyNumberFormat="1" applyFont="1"/>
    <xf numFmtId="175" fontId="18" fillId="39" borderId="0" xfId="0" applyNumberFormat="1" applyFont="1" applyFill="1" applyAlignment="1">
      <alignment horizontal="center"/>
    </xf>
    <xf numFmtId="175" fontId="18" fillId="39" borderId="24" xfId="0" applyNumberFormat="1" applyFont="1" applyFill="1" applyBorder="1" applyAlignment="1">
      <alignment horizontal="center"/>
    </xf>
    <xf numFmtId="189" fontId="0" fillId="41" borderId="0" xfId="0" applyNumberFormat="1" applyFill="1"/>
    <xf numFmtId="4" fontId="73" fillId="0" borderId="0" xfId="0" applyNumberFormat="1" applyFont="1"/>
    <xf numFmtId="0" fontId="74" fillId="0" borderId="0" xfId="0" applyFont="1" applyAlignment="1">
      <alignment wrapText="1"/>
    </xf>
    <xf numFmtId="0" fontId="25" fillId="0" borderId="0" xfId="0" applyFont="1"/>
    <xf numFmtId="3" fontId="25" fillId="0" borderId="0" xfId="0" applyNumberFormat="1" applyFont="1"/>
    <xf numFmtId="0" fontId="25" fillId="0" borderId="0" xfId="0" applyFont="1" applyAlignment="1">
      <alignment wrapText="1"/>
    </xf>
    <xf numFmtId="190" fontId="25" fillId="0" borderId="0" xfId="0" applyNumberFormat="1" applyFont="1"/>
    <xf numFmtId="0" fontId="25" fillId="0" borderId="18" xfId="0" applyFont="1" applyBorder="1"/>
    <xf numFmtId="0" fontId="0" fillId="0" borderId="17" xfId="0" applyBorder="1"/>
    <xf numFmtId="0" fontId="0" fillId="0" borderId="30" xfId="0" applyBorder="1"/>
    <xf numFmtId="0" fontId="18" fillId="41" borderId="29" xfId="0" applyFont="1" applyFill="1" applyBorder="1" applyAlignment="1">
      <alignment horizontal="right"/>
    </xf>
    <xf numFmtId="192" fontId="73" fillId="41" borderId="28" xfId="54" applyNumberFormat="1" applyFont="1" applyFill="1" applyBorder="1" applyAlignment="1">
      <alignment horizontal="left"/>
    </xf>
    <xf numFmtId="0" fontId="18" fillId="41" borderId="30" xfId="0" applyFont="1" applyFill="1" applyBorder="1" applyAlignment="1">
      <alignment horizontal="right"/>
    </xf>
    <xf numFmtId="192" fontId="73" fillId="41" borderId="0" xfId="54" applyNumberFormat="1" applyFont="1" applyFill="1" applyBorder="1" applyAlignment="1">
      <alignment horizontal="left"/>
    </xf>
    <xf numFmtId="0" fontId="18" fillId="53" borderId="46" xfId="0" applyFont="1" applyFill="1" applyBorder="1" applyAlignment="1">
      <alignment horizontal="center"/>
    </xf>
    <xf numFmtId="0" fontId="18" fillId="54" borderId="46" xfId="0" applyFont="1" applyFill="1" applyBorder="1" applyAlignment="1">
      <alignment horizontal="center"/>
    </xf>
    <xf numFmtId="0" fontId="18" fillId="55" borderId="46" xfId="0" applyFont="1" applyFill="1" applyBorder="1" applyAlignment="1">
      <alignment horizontal="center"/>
    </xf>
    <xf numFmtId="192" fontId="0" fillId="53" borderId="21" xfId="54" applyNumberFormat="1" applyFont="1" applyFill="1" applyBorder="1" applyAlignment="1">
      <alignment wrapText="1"/>
    </xf>
    <xf numFmtId="192" fontId="0" fillId="54" borderId="21" xfId="54" applyNumberFormat="1" applyFont="1" applyFill="1" applyBorder="1" applyAlignment="1">
      <alignment wrapText="1"/>
    </xf>
    <xf numFmtId="192" fontId="73" fillId="55" borderId="21" xfId="54" applyNumberFormat="1" applyFont="1" applyFill="1" applyBorder="1" applyAlignment="1">
      <alignment horizontal="right"/>
    </xf>
    <xf numFmtId="191" fontId="0" fillId="53" borderId="20" xfId="0" applyNumberFormat="1" applyFill="1" applyBorder="1"/>
    <xf numFmtId="192" fontId="0" fillId="0" borderId="18" xfId="54" applyNumberFormat="1" applyFont="1" applyBorder="1"/>
    <xf numFmtId="0" fontId="18" fillId="53" borderId="19" xfId="0" applyFont="1" applyFill="1" applyBorder="1" applyAlignment="1">
      <alignment horizontal="right"/>
    </xf>
    <xf numFmtId="10" fontId="0" fillId="0" borderId="18" xfId="43" applyNumberFormat="1" applyFont="1" applyBorder="1"/>
    <xf numFmtId="193" fontId="0" fillId="48" borderId="20" xfId="0" applyNumberFormat="1" applyFill="1" applyBorder="1"/>
    <xf numFmtId="0" fontId="18" fillId="48" borderId="19" xfId="0" applyFont="1" applyFill="1" applyBorder="1" applyAlignment="1">
      <alignment horizontal="right"/>
    </xf>
    <xf numFmtId="191" fontId="0" fillId="54" borderId="20" xfId="0" applyNumberFormat="1" applyFill="1" applyBorder="1"/>
    <xf numFmtId="0" fontId="18" fillId="54" borderId="19" xfId="0" applyFont="1" applyFill="1" applyBorder="1" applyAlignment="1">
      <alignment horizontal="right"/>
    </xf>
    <xf numFmtId="191" fontId="0" fillId="55" borderId="23" xfId="0" applyNumberFormat="1" applyFill="1" applyBorder="1"/>
    <xf numFmtId="0" fontId="18" fillId="55" borderId="22" xfId="0" applyFont="1" applyFill="1" applyBorder="1" applyAlignment="1">
      <alignment horizontal="right"/>
    </xf>
    <xf numFmtId="0" fontId="75" fillId="0" borderId="14" xfId="0" applyFont="1" applyBorder="1" applyAlignment="1">
      <alignment horizontal="right" wrapText="1"/>
    </xf>
    <xf numFmtId="4" fontId="73" fillId="0" borderId="18" xfId="0" applyNumberFormat="1" applyFont="1" applyBorder="1"/>
    <xf numFmtId="188" fontId="73" fillId="0" borderId="18" xfId="0" applyNumberFormat="1" applyFont="1" applyBorder="1"/>
    <xf numFmtId="0" fontId="74" fillId="56" borderId="18" xfId="0" applyFont="1" applyFill="1" applyBorder="1" applyAlignment="1">
      <alignment wrapText="1"/>
    </xf>
    <xf numFmtId="0" fontId="73" fillId="56" borderId="18" xfId="0" applyFont="1" applyFill="1" applyBorder="1"/>
    <xf numFmtId="0" fontId="0" fillId="0" borderId="18" xfId="0" applyBorder="1"/>
    <xf numFmtId="4" fontId="0" fillId="0" borderId="18" xfId="0" applyNumberFormat="1" applyBorder="1"/>
    <xf numFmtId="0" fontId="0" fillId="56" borderId="18" xfId="0" applyFill="1" applyBorder="1"/>
    <xf numFmtId="3" fontId="25" fillId="0" borderId="18" xfId="0" applyNumberFormat="1" applyFont="1" applyBorder="1"/>
    <xf numFmtId="38" fontId="25" fillId="0" borderId="18" xfId="45" applyNumberFormat="1" applyFont="1" applyBorder="1" applyAlignment="1">
      <alignment horizontal="right" wrapText="1"/>
    </xf>
    <xf numFmtId="0" fontId="25" fillId="56" borderId="18" xfId="0" applyFont="1" applyFill="1" applyBorder="1"/>
    <xf numFmtId="0" fontId="25" fillId="56" borderId="18" xfId="0" applyFont="1" applyFill="1" applyBorder="1" applyAlignment="1">
      <alignment horizontal="center"/>
    </xf>
    <xf numFmtId="3" fontId="25" fillId="56" borderId="18" xfId="0" applyNumberFormat="1" applyFont="1" applyFill="1" applyBorder="1"/>
    <xf numFmtId="10" fontId="0" fillId="0" borderId="18" xfId="43" applyNumberFormat="1" applyFont="1" applyFill="1" applyBorder="1"/>
    <xf numFmtId="194" fontId="73" fillId="0" borderId="18" xfId="54" applyNumberFormat="1" applyFont="1" applyBorder="1" applyAlignment="1">
      <alignment horizontal="center"/>
    </xf>
    <xf numFmtId="0" fontId="43" fillId="56" borderId="18" xfId="0" applyFont="1" applyFill="1" applyBorder="1" applyAlignment="1">
      <alignment horizontal="left"/>
    </xf>
    <xf numFmtId="0" fontId="43" fillId="56" borderId="18" xfId="0" applyFont="1" applyFill="1" applyBorder="1" applyAlignment="1">
      <alignment horizontal="center"/>
    </xf>
    <xf numFmtId="3" fontId="43" fillId="56" borderId="18" xfId="0" applyNumberFormat="1" applyFont="1" applyFill="1" applyBorder="1"/>
    <xf numFmtId="191" fontId="1" fillId="0" borderId="21" xfId="0" applyNumberFormat="1" applyFont="1" applyBorder="1" applyAlignment="1">
      <alignment horizontal="right"/>
    </xf>
    <xf numFmtId="10" fontId="1" fillId="0" borderId="18" xfId="43" applyNumberFormat="1" applyFont="1" applyBorder="1"/>
    <xf numFmtId="0" fontId="1" fillId="56" borderId="18" xfId="0" applyFont="1" applyFill="1" applyBorder="1"/>
    <xf numFmtId="191" fontId="1" fillId="0" borderId="18" xfId="0" applyNumberFormat="1" applyFont="1" applyBorder="1" applyAlignment="1">
      <alignment horizontal="right"/>
    </xf>
    <xf numFmtId="0" fontId="43" fillId="56" borderId="18" xfId="0" applyFont="1" applyFill="1" applyBorder="1"/>
    <xf numFmtId="191" fontId="1" fillId="50" borderId="19" xfId="0" applyNumberFormat="1" applyFont="1" applyFill="1" applyBorder="1" applyAlignment="1">
      <alignment horizontal="right"/>
    </xf>
    <xf numFmtId="194" fontId="0" fillId="0" borderId="18" xfId="54" applyNumberFormat="1" applyFont="1" applyBorder="1"/>
    <xf numFmtId="0" fontId="0" fillId="41" borderId="31" xfId="0" applyFill="1" applyBorder="1"/>
    <xf numFmtId="0" fontId="18" fillId="55" borderId="19" xfId="0" applyFont="1" applyFill="1" applyBorder="1" applyAlignment="1">
      <alignment horizontal="right"/>
    </xf>
    <xf numFmtId="195" fontId="0" fillId="0" borderId="0" xfId="44" applyNumberFormat="1" applyFont="1"/>
    <xf numFmtId="195" fontId="0" fillId="0" borderId="0" xfId="0" applyNumberFormat="1"/>
    <xf numFmtId="191" fontId="77" fillId="0" borderId="18" xfId="0" applyNumberFormat="1" applyFont="1" applyBorder="1" applyAlignment="1">
      <alignment horizontal="right"/>
    </xf>
    <xf numFmtId="191" fontId="77" fillId="50" borderId="19" xfId="0" applyNumberFormat="1" applyFont="1" applyFill="1" applyBorder="1" applyAlignment="1">
      <alignment horizontal="right"/>
    </xf>
    <xf numFmtId="192" fontId="77" fillId="41" borderId="28" xfId="54" applyNumberFormat="1" applyFont="1" applyFill="1" applyBorder="1" applyAlignment="1">
      <alignment horizontal="left"/>
    </xf>
    <xf numFmtId="192" fontId="77" fillId="41" borderId="0" xfId="54" applyNumberFormat="1" applyFont="1" applyFill="1" applyBorder="1" applyAlignment="1">
      <alignment horizontal="left"/>
    </xf>
    <xf numFmtId="7" fontId="0" fillId="53" borderId="21" xfId="54" applyNumberFormat="1" applyFont="1" applyFill="1" applyBorder="1" applyAlignment="1">
      <alignment wrapText="1"/>
    </xf>
    <xf numFmtId="7" fontId="0" fillId="54" borderId="21" xfId="54" applyNumberFormat="1" applyFont="1" applyFill="1" applyBorder="1" applyAlignment="1">
      <alignment wrapText="1"/>
    </xf>
    <xf numFmtId="7" fontId="0" fillId="55" borderId="21" xfId="54" applyNumberFormat="1" applyFont="1" applyFill="1" applyBorder="1" applyAlignment="1">
      <alignment wrapText="1"/>
    </xf>
    <xf numFmtId="0" fontId="0" fillId="53" borderId="20" xfId="0" applyFill="1" applyBorder="1"/>
    <xf numFmtId="7" fontId="0" fillId="0" borderId="18" xfId="54" applyNumberFormat="1" applyFont="1" applyBorder="1"/>
    <xf numFmtId="0" fontId="0" fillId="48" borderId="20" xfId="0" applyFill="1" applyBorder="1"/>
    <xf numFmtId="2" fontId="0" fillId="54" borderId="20" xfId="0" applyNumberFormat="1" applyFill="1" applyBorder="1"/>
    <xf numFmtId="0" fontId="0" fillId="55" borderId="23" xfId="0" applyFill="1" applyBorder="1"/>
    <xf numFmtId="192" fontId="0" fillId="0" borderId="0" xfId="54" applyNumberFormat="1" applyFont="1"/>
    <xf numFmtId="0" fontId="18" fillId="38" borderId="31" xfId="0" applyFont="1" applyFill="1" applyBorder="1" applyAlignment="1">
      <alignment horizontal="center" vertical="center" wrapText="1"/>
    </xf>
    <xf numFmtId="0" fontId="0" fillId="38" borderId="31" xfId="0" applyFill="1" applyBorder="1" applyAlignment="1">
      <alignment horizontal="center" vertical="center" wrapText="1"/>
    </xf>
    <xf numFmtId="0" fontId="0" fillId="38" borderId="21" xfId="0" applyFill="1" applyBorder="1" applyAlignment="1">
      <alignment horizontal="center" vertical="center" wrapText="1"/>
    </xf>
    <xf numFmtId="0" fontId="18" fillId="38" borderId="21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 wrapText="1"/>
    </xf>
    <xf numFmtId="0" fontId="0" fillId="41" borderId="30" xfId="0" applyFill="1" applyBorder="1" applyAlignment="1">
      <alignment horizontal="center"/>
    </xf>
    <xf numFmtId="0" fontId="0" fillId="41" borderId="34" xfId="0" applyFill="1" applyBorder="1" applyAlignment="1">
      <alignment horizontal="center"/>
    </xf>
    <xf numFmtId="0" fontId="15" fillId="52" borderId="22" xfId="0" applyFont="1" applyFill="1" applyBorder="1" applyAlignment="1">
      <alignment horizontal="center"/>
    </xf>
    <xf numFmtId="0" fontId="15" fillId="52" borderId="2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5" fillId="51" borderId="19" xfId="0" applyFont="1" applyFill="1" applyBorder="1" applyAlignment="1">
      <alignment horizontal="center" vertical="center"/>
    </xf>
    <xf numFmtId="0" fontId="15" fillId="51" borderId="24" xfId="0" applyFont="1" applyFill="1" applyBorder="1" applyAlignment="1">
      <alignment horizontal="center" vertical="center"/>
    </xf>
    <xf numFmtId="0" fontId="15" fillId="51" borderId="20" xfId="0" applyFont="1" applyFill="1" applyBorder="1" applyAlignment="1">
      <alignment horizontal="center" vertical="center"/>
    </xf>
    <xf numFmtId="0" fontId="15" fillId="51" borderId="19" xfId="0" applyFont="1" applyFill="1" applyBorder="1" applyAlignment="1">
      <alignment horizontal="center" vertical="center" wrapText="1"/>
    </xf>
    <xf numFmtId="0" fontId="15" fillId="51" borderId="24" xfId="0" applyFont="1" applyFill="1" applyBorder="1" applyAlignment="1">
      <alignment horizontal="center" vertical="center" wrapText="1"/>
    </xf>
    <xf numFmtId="0" fontId="15" fillId="51" borderId="20" xfId="0" applyFont="1" applyFill="1" applyBorder="1" applyAlignment="1">
      <alignment horizontal="center" vertical="center" wrapText="1"/>
    </xf>
    <xf numFmtId="0" fontId="15" fillId="52" borderId="24" xfId="0" applyFont="1" applyFill="1" applyBorder="1" applyAlignment="1">
      <alignment horizontal="center"/>
    </xf>
    <xf numFmtId="0" fontId="15" fillId="52" borderId="20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0" fillId="41" borderId="31" xfId="0" applyFill="1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4" xfId="0" applyBorder="1" applyAlignment="1">
      <alignment horizontal="center"/>
    </xf>
    <xf numFmtId="0" fontId="59" fillId="0" borderId="0" xfId="0" applyFont="1" applyAlignment="1">
      <alignment horizontal="center"/>
    </xf>
    <xf numFmtId="0" fontId="59" fillId="0" borderId="19" xfId="0" applyFont="1" applyBorder="1" applyAlignment="1">
      <alignment horizontal="center"/>
    </xf>
    <xf numFmtId="0" fontId="59" fillId="0" borderId="24" xfId="0" applyFont="1" applyBorder="1" applyAlignment="1">
      <alignment horizontal="center"/>
    </xf>
    <xf numFmtId="0" fontId="59" fillId="0" borderId="20" xfId="0" applyFont="1" applyBorder="1" applyAlignment="1">
      <alignment horizontal="center"/>
    </xf>
    <xf numFmtId="0" fontId="15" fillId="52" borderId="19" xfId="0" applyFont="1" applyFill="1" applyBorder="1" applyAlignment="1">
      <alignment horizontal="center"/>
    </xf>
    <xf numFmtId="0" fontId="76" fillId="0" borderId="19" xfId="0" applyFont="1" applyBorder="1" applyAlignment="1">
      <alignment horizontal="center"/>
    </xf>
    <xf numFmtId="0" fontId="76" fillId="0" borderId="24" xfId="0" applyFont="1" applyBorder="1" applyAlignment="1">
      <alignment horizontal="center"/>
    </xf>
    <xf numFmtId="0" fontId="76" fillId="0" borderId="20" xfId="0" applyFont="1" applyBorder="1" applyAlignment="1">
      <alignment horizontal="center"/>
    </xf>
    <xf numFmtId="0" fontId="21" fillId="37" borderId="45" xfId="45" applyFont="1" applyFill="1" applyBorder="1" applyAlignment="1">
      <alignment horizontal="left" wrapText="1"/>
    </xf>
    <xf numFmtId="0" fontId="21" fillId="35" borderId="43" xfId="45" applyFont="1" applyFill="1" applyBorder="1" applyAlignment="1">
      <alignment horizontal="left" wrapText="1"/>
    </xf>
    <xf numFmtId="0" fontId="21" fillId="35" borderId="44" xfId="45" applyFont="1" applyFill="1" applyBorder="1" applyAlignment="1">
      <alignment horizontal="left" wrapText="1"/>
    </xf>
    <xf numFmtId="38" fontId="21" fillId="34" borderId="14" xfId="45" applyNumberFormat="1" applyFont="1" applyFill="1" applyBorder="1" applyAlignment="1">
      <alignment horizontal="right" wrapText="1"/>
    </xf>
    <xf numFmtId="38" fontId="21" fillId="34" borderId="0" xfId="45" applyNumberFormat="1" applyFont="1" applyFill="1" applyAlignment="1">
      <alignment horizontal="right" wrapText="1"/>
    </xf>
    <xf numFmtId="0" fontId="21" fillId="36" borderId="14" xfId="45" applyFont="1" applyFill="1" applyBorder="1" applyAlignment="1">
      <alignment horizontal="left" wrapText="1" indent="2"/>
    </xf>
    <xf numFmtId="0" fontId="21" fillId="36" borderId="13" xfId="45" applyFont="1" applyFill="1" applyBorder="1" applyAlignment="1">
      <alignment horizontal="left" wrapText="1" indent="2"/>
    </xf>
    <xf numFmtId="0" fontId="21" fillId="36" borderId="0" xfId="45" applyFont="1" applyFill="1" applyAlignment="1">
      <alignment horizontal="left" wrapText="1" indent="2"/>
    </xf>
    <xf numFmtId="0" fontId="21" fillId="36" borderId="15" xfId="45" applyFont="1" applyFill="1" applyBorder="1" applyAlignment="1">
      <alignment horizontal="left" wrapText="1" indent="2"/>
    </xf>
    <xf numFmtId="38" fontId="21" fillId="34" borderId="37" xfId="45" applyNumberFormat="1" applyFont="1" applyFill="1" applyBorder="1" applyAlignment="1">
      <alignment horizontal="right" wrapText="1"/>
    </xf>
    <xf numFmtId="38" fontId="21" fillId="34" borderId="38" xfId="45" applyNumberFormat="1" applyFont="1" applyFill="1" applyBorder="1" applyAlignment="1">
      <alignment horizontal="right" wrapText="1"/>
    </xf>
    <xf numFmtId="38" fontId="21" fillId="34" borderId="45" xfId="45" applyNumberFormat="1" applyFont="1" applyFill="1" applyBorder="1" applyAlignment="1">
      <alignment horizontal="right" wrapText="1"/>
    </xf>
    <xf numFmtId="0" fontId="21" fillId="0" borderId="43" xfId="45" applyFont="1" applyBorder="1" applyAlignment="1">
      <alignment horizontal="left"/>
    </xf>
    <xf numFmtId="0" fontId="21" fillId="0" borderId="44" xfId="45" applyFont="1" applyBorder="1" applyAlignment="1">
      <alignment horizontal="left"/>
    </xf>
    <xf numFmtId="0" fontId="21" fillId="0" borderId="14" xfId="45" applyFont="1" applyBorder="1" applyAlignment="1">
      <alignment horizontal="left"/>
    </xf>
    <xf numFmtId="0" fontId="21" fillId="0" borderId="13" xfId="45" applyFont="1" applyBorder="1" applyAlignment="1">
      <alignment horizontal="left"/>
    </xf>
    <xf numFmtId="0" fontId="21" fillId="36" borderId="45" xfId="45" applyFont="1" applyFill="1" applyBorder="1" applyAlignment="1">
      <alignment horizontal="left" wrapText="1" indent="2"/>
    </xf>
    <xf numFmtId="0" fontId="21" fillId="36" borderId="16" xfId="45" applyFont="1" applyFill="1" applyBorder="1" applyAlignment="1">
      <alignment horizontal="left" wrapText="1" indent="2"/>
    </xf>
    <xf numFmtId="0" fontId="21" fillId="36" borderId="43" xfId="45" applyFont="1" applyFill="1" applyBorder="1" applyAlignment="1">
      <alignment horizontal="left" indent="2"/>
    </xf>
    <xf numFmtId="0" fontId="21" fillId="36" borderId="44" xfId="45" applyFont="1" applyFill="1" applyBorder="1" applyAlignment="1">
      <alignment horizontal="left" indent="2"/>
    </xf>
    <xf numFmtId="0" fontId="21" fillId="35" borderId="43" xfId="45" applyFont="1" applyFill="1" applyBorder="1" applyAlignment="1">
      <alignment horizontal="left"/>
    </xf>
    <xf numFmtId="0" fontId="21" fillId="35" borderId="44" xfId="45" applyFont="1" applyFill="1" applyBorder="1" applyAlignment="1">
      <alignment horizontal="left"/>
    </xf>
    <xf numFmtId="0" fontId="21" fillId="37" borderId="45" xfId="45" applyFont="1" applyFill="1" applyBorder="1" applyAlignment="1">
      <alignment horizontal="left"/>
    </xf>
    <xf numFmtId="0" fontId="21" fillId="0" borderId="43" xfId="45" applyFont="1" applyBorder="1" applyAlignment="1">
      <alignment horizontal="left" wrapText="1"/>
    </xf>
    <xf numFmtId="0" fontId="21" fillId="34" borderId="43" xfId="45" applyFont="1" applyFill="1" applyBorder="1" applyAlignment="1">
      <alignment horizontal="right"/>
    </xf>
    <xf numFmtId="0" fontId="21" fillId="34" borderId="44" xfId="45" applyFont="1" applyFill="1" applyBorder="1" applyAlignment="1">
      <alignment horizontal="right"/>
    </xf>
    <xf numFmtId="0" fontId="22" fillId="33" borderId="39" xfId="45" applyFont="1" applyFill="1" applyBorder="1" applyAlignment="1">
      <alignment horizontal="left"/>
    </xf>
    <xf numFmtId="0" fontId="22" fillId="33" borderId="40" xfId="45" applyFont="1" applyFill="1" applyBorder="1" applyAlignment="1">
      <alignment horizontal="left"/>
    </xf>
    <xf numFmtId="0" fontId="59" fillId="34" borderId="12" xfId="45" applyFont="1" applyFill="1" applyBorder="1" applyAlignment="1">
      <alignment horizontal="left"/>
    </xf>
    <xf numFmtId="0" fontId="59" fillId="34" borderId="11" xfId="45" applyFont="1" applyFill="1" applyBorder="1" applyAlignment="1">
      <alignment horizontal="left"/>
    </xf>
    <xf numFmtId="0" fontId="21" fillId="34" borderId="41" xfId="45" applyFont="1" applyFill="1" applyBorder="1" applyAlignment="1">
      <alignment horizontal="right"/>
    </xf>
    <xf numFmtId="0" fontId="21" fillId="34" borderId="42" xfId="45" applyFont="1" applyFill="1" applyBorder="1" applyAlignment="1">
      <alignment horizontal="right"/>
    </xf>
  </cellXfs>
  <cellStyles count="5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blp_title_header_row_left" xfId="53" xr:uid="{A791520C-AAF4-524C-9D98-46B21D37382F}"/>
    <cellStyle name="Calculation" xfId="11" builtinId="22" customBuiltin="1"/>
    <cellStyle name="Check Cell" xfId="13" builtinId="23" customBuiltin="1"/>
    <cellStyle name="Comma" xfId="44" builtinId="3"/>
    <cellStyle name="Currency" xfId="54" builtinId="4"/>
    <cellStyle name="Explanatory Text" xfId="16" builtinId="53" customBuiltin="1"/>
    <cellStyle name="fa_column_header_bottom_left" xfId="50" xr:uid="{CFD68E55-6B3B-2C43-A49F-DFF237EE8BD1}"/>
    <cellStyle name="fa_column_header_top_left" xfId="51" xr:uid="{4A5A0610-3A2F-A94B-9EE0-E4C164EAB3FC}"/>
    <cellStyle name="fa_data_standard" xfId="48" xr:uid="{7CFFEFF1-B17F-F14A-8F12-20F4BA136DEB}"/>
    <cellStyle name="fa_data_standard_2_grouped" xfId="47" xr:uid="{1C548DF3-F175-FE44-8BF2-57CB1CBF6D6A}"/>
    <cellStyle name="fa_footer_italic" xfId="46" xr:uid="{278635D6-319B-4C41-B8C5-2EDF9DFE2D9D}"/>
    <cellStyle name="fa_grey_text_italics" xfId="52" xr:uid="{9D0237DF-1EFC-FC4D-AFC8-64AA78BC1B41}"/>
    <cellStyle name="fa_row_header_standard" xfId="49" xr:uid="{6904DE53-D9E4-9249-9C1C-C4FF14C4CA7A}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rmal 3" xfId="45" xr:uid="{D843EE6C-FE1D-984C-BB1A-042400CD5C74}"/>
    <cellStyle name="Note" xfId="15" builtinId="10" customBuiltin="1"/>
    <cellStyle name="Output" xfId="10" builtinId="21" customBuiltin="1"/>
    <cellStyle name="Percent" xfId="43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Unlevered FCF vs EBITDA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'Ford-DCF'!$C$58</c:f>
              <c:strCache>
                <c:ptCount val="1"/>
                <c:pt idx="0">
                  <c:v>Unlevered Free Cash Flow: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8"/>
              <c:pt idx="0">
                <c:v>2018</c:v>
              </c:pt>
              <c:pt idx="1">
                <c:v>2019</c:v>
              </c:pt>
              <c:pt idx="2">
                <c:v>2020</c:v>
              </c:pt>
              <c:pt idx="3">
                <c:v>2021</c:v>
              </c:pt>
              <c:pt idx="4">
                <c:v>2022</c:v>
              </c:pt>
              <c:pt idx="5">
                <c:v>2023</c:v>
              </c:pt>
              <c:pt idx="6">
                <c:v>2024</c:v>
              </c:pt>
              <c:pt idx="7">
                <c:v>2025</c:v>
              </c:pt>
            </c:numLit>
          </c:cat>
          <c:val>
            <c:numRef>
              <c:f>'Ford-DCF'!$H$58:$O$58</c:f>
              <c:numCache>
                <c:formatCode>_("$"* #,##0.0_);_("$"* \(#,##0.0\);_("$"* "-"?_);_(@_)</c:formatCode>
                <c:ptCount val="8"/>
                <c:pt idx="0">
                  <c:v>17981.36565</c:v>
                </c:pt>
                <c:pt idx="1">
                  <c:v>7243.7601500000001</c:v>
                </c:pt>
                <c:pt idx="2">
                  <c:v>-2842.5417500000003</c:v>
                </c:pt>
                <c:pt idx="3">
                  <c:v>9594.2601496942189</c:v>
                </c:pt>
                <c:pt idx="4">
                  <c:v>12308.497480125501</c:v>
                </c:pt>
                <c:pt idx="5">
                  <c:v>11505.762327453001</c:v>
                </c:pt>
                <c:pt idx="6">
                  <c:v>12789.482043570368</c:v>
                </c:pt>
                <c:pt idx="7">
                  <c:v>12207.617328603268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33-4D04-B385-A6291564DB02}"/>
            </c:ext>
          </c:extLst>
        </c:ser>
        <c:ser>
          <c:idx val="1"/>
          <c:order val="1"/>
          <c:tx>
            <c:strRef>
              <c:f>'Ford-DCF'!$C$61</c:f>
              <c:strCache>
                <c:ptCount val="1"/>
                <c:pt idx="0">
                  <c:v>EBITDA: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numLit>
              <c:formatCode>General</c:formatCode>
              <c:ptCount val="8"/>
              <c:pt idx="0">
                <c:v>2018</c:v>
              </c:pt>
              <c:pt idx="1">
                <c:v>2019</c:v>
              </c:pt>
              <c:pt idx="2">
                <c:v>2020</c:v>
              </c:pt>
              <c:pt idx="3">
                <c:v>2021</c:v>
              </c:pt>
              <c:pt idx="4">
                <c:v>2022</c:v>
              </c:pt>
              <c:pt idx="5">
                <c:v>2023</c:v>
              </c:pt>
              <c:pt idx="6">
                <c:v>2024</c:v>
              </c:pt>
              <c:pt idx="7">
                <c:v>2025</c:v>
              </c:pt>
            </c:numLit>
          </c:cat>
          <c:val>
            <c:numRef>
              <c:f>'Ford-DCF'!$H$61:$O$61</c:f>
              <c:numCache>
                <c:formatCode>_("$"* #,##0.0_);_("$"* \(#,##0.0\);_("$"* "-"?_);_(@_)</c:formatCode>
                <c:ptCount val="8"/>
                <c:pt idx="0">
                  <c:v>4342</c:v>
                </c:pt>
                <c:pt idx="1">
                  <c:v>10139</c:v>
                </c:pt>
                <c:pt idx="2">
                  <c:v>13797</c:v>
                </c:pt>
                <c:pt idx="3">
                  <c:v>18857.120049644705</c:v>
                </c:pt>
                <c:pt idx="4">
                  <c:v>22589.708324341718</c:v>
                </c:pt>
                <c:pt idx="5">
                  <c:v>22546.388890218932</c:v>
                </c:pt>
                <c:pt idx="6">
                  <c:v>23791.244480502959</c:v>
                </c:pt>
                <c:pt idx="7">
                  <c:v>24065.972582611746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33-4D04-B385-A6291564D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0481064"/>
        <c:axId val="1600480408"/>
      </c:barChart>
      <c:catAx>
        <c:axId val="1600481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480408"/>
        <c:crosses val="autoZero"/>
        <c:auto val="1"/>
        <c:lblAlgn val="ctr"/>
        <c:lblOffset val="100"/>
        <c:noMultiLvlLbl val="0"/>
      </c:catAx>
      <c:valAx>
        <c:axId val="1600480408"/>
        <c:scaling>
          <c:orientation val="minMax"/>
          <c:min val="-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_);_(&quot;$&quot;* \(#,##0.0\);_(&quot;$&quot;* &quot;-&quot;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481064"/>
        <c:crosses val="autoZero"/>
        <c:crossBetween val="between"/>
        <c:majorUnit val="10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400"/>
              <a:t>DCF Valuation Summary</a:t>
            </a:r>
          </a:p>
        </c:rich>
      </c:tx>
      <c:layout>
        <c:manualLayout>
          <c:xMode val="edge"/>
          <c:yMode val="edge"/>
          <c:x val="0.38816708281239837"/>
          <c:y val="8.5906052374507547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6.9080341875936604E-2"/>
          <c:y val="0.14964949267831945"/>
          <c:w val="0.88568652374424262"/>
          <c:h val="0.70583264892214392"/>
        </c:manualLayout>
      </c:layout>
      <c:barChart>
        <c:barDir val="col"/>
        <c:grouping val="stacked"/>
        <c:varyColors val="0"/>
        <c:ser>
          <c:idx val="0"/>
          <c:order val="0"/>
          <c:spPr>
            <a:noFill/>
          </c:spPr>
          <c:invertIfNegative val="0"/>
          <c:dLbls>
            <c:spPr>
              <a:noFill/>
              <a:ln>
                <a:noFill/>
              </a:ln>
              <a:effectLst/>
            </c:sp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'Ford-DCF'!$C$117:$C$119</c:f>
              <c:strCache>
                <c:ptCount val="3"/>
                <c:pt idx="0">
                  <c:v>DCF Value at 4.0x-8.0x Exit EBITDA Range</c:v>
                </c:pt>
                <c:pt idx="1">
                  <c:v>DCF Value at 0.0%-4.0% Perpetuity Range</c:v>
                </c:pt>
                <c:pt idx="2">
                  <c:v>52 Week Market High/Low</c:v>
                </c:pt>
              </c:strCache>
            </c:strRef>
          </c:cat>
          <c:val>
            <c:numRef>
              <c:f>'Ford-DCF'!$F$117:$F$119</c:f>
              <c:numCache>
                <c:formatCode>#,##0.0_);\(#,##0.0\);@_)</c:formatCode>
                <c:ptCount val="3"/>
                <c:pt idx="0">
                  <c:v>4.1885284838329779</c:v>
                </c:pt>
                <c:pt idx="1">
                  <c:v>11.558329684847171</c:v>
                </c:pt>
                <c:pt idx="2" formatCode="General">
                  <c:v>9.6999999999999993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3-45EB-97F7-4F789AE2335E}"/>
            </c:ext>
          </c:extLst>
        </c:ser>
        <c:ser>
          <c:idx val="1"/>
          <c:order val="1"/>
          <c:invertIfNegative val="0"/>
          <c:dPt>
            <c:idx val="2"/>
            <c:invertIfNegative val="0"/>
            <c:bubble3D val="0"/>
            <c:spPr>
              <a:solidFill>
                <a:srgbClr val="00B050"/>
              </a:solidFill>
            </c:spPr>
            <c:extLst>
              <c:ext xmlns:c16="http://schemas.microsoft.com/office/drawing/2014/chart" uri="{C3380CC4-5D6E-409C-BE32-E72D297353CC}">
                <c16:uniqueId val="{00000006-04E3-45EB-97F7-4F789AE2335E}"/>
              </c:ext>
            </c:extLst>
          </c:dPt>
          <c:cat>
            <c:strRef>
              <c:f>'Ford-DCF'!$C$117:$C$119</c:f>
              <c:strCache>
                <c:ptCount val="3"/>
                <c:pt idx="0">
                  <c:v>DCF Value at 4.0x-8.0x Exit EBITDA Range</c:v>
                </c:pt>
                <c:pt idx="1">
                  <c:v>DCF Value at 0.0%-4.0% Perpetuity Range</c:v>
                </c:pt>
                <c:pt idx="2">
                  <c:v>52 Week Market High/Low</c:v>
                </c:pt>
              </c:strCache>
            </c:strRef>
          </c:cat>
          <c:val>
            <c:numRef>
              <c:f>'Ford-DCF'!$G$117:$G$119</c:f>
              <c:numCache>
                <c:formatCode>#,##0.00_);\(#,##0.00\);@_)</c:formatCode>
                <c:ptCount val="3"/>
                <c:pt idx="0">
                  <c:v>16.344095137480728</c:v>
                </c:pt>
                <c:pt idx="1">
                  <c:v>23.01229110893361</c:v>
                </c:pt>
                <c:pt idx="2">
                  <c:v>5.65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3-45EB-97F7-4F789AE2335E}"/>
            </c:ext>
          </c:extLst>
        </c:ser>
        <c:ser>
          <c:idx val="2"/>
          <c:order val="2"/>
          <c:spPr>
            <a:noFill/>
          </c:spPr>
          <c:invertIfNegative val="0"/>
          <c:dLbls>
            <c:spPr>
              <a:noFill/>
              <a:ln>
                <a:noFill/>
              </a:ln>
              <a:effectLst/>
            </c:sp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'Ford-DCF'!$C$117:$C$119</c:f>
              <c:strCache>
                <c:ptCount val="3"/>
                <c:pt idx="0">
                  <c:v>DCF Value at 4.0x-8.0x Exit EBITDA Range</c:v>
                </c:pt>
                <c:pt idx="1">
                  <c:v>DCF Value at 0.0%-4.0% Perpetuity Range</c:v>
                </c:pt>
                <c:pt idx="2">
                  <c:v>52 Week Market High/Low</c:v>
                </c:pt>
              </c:strCache>
            </c:strRef>
          </c:cat>
          <c:val>
            <c:numRef>
              <c:f>'Ford-DCF'!$H$117:$H$119</c:f>
              <c:numCache>
                <c:formatCode>#,##0.0_);\(#,##0.0\);@_)</c:formatCode>
                <c:ptCount val="3"/>
                <c:pt idx="0" formatCode="#,##0.00_);\(#,##0.00\);@_)">
                  <c:v>20.532623621313707</c:v>
                </c:pt>
                <c:pt idx="1">
                  <c:v>34.570620793780783</c:v>
                </c:pt>
                <c:pt idx="2" formatCode="General">
                  <c:v>15.35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3-45EB-97F7-4F789AE23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97289344"/>
        <c:axId val="97358976"/>
      </c:barChart>
      <c:catAx>
        <c:axId val="972893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txPr>
          <a:bodyPr rot="0" vert="horz" anchor="ctr" anchorCtr="1"/>
          <a:lstStyle/>
          <a:p>
            <a:pPr>
              <a:defRPr/>
            </a:pPr>
            <a:endParaRPr lang="en-US"/>
          </a:p>
        </c:txPr>
        <c:crossAx val="97358976"/>
        <c:crossesAt val="0"/>
        <c:auto val="1"/>
        <c:lblAlgn val="ctr"/>
        <c:lblOffset val="100"/>
        <c:noMultiLvlLbl val="0"/>
      </c:catAx>
      <c:valAx>
        <c:axId val="97358976"/>
        <c:scaling>
          <c:orientation val="minMax"/>
          <c:max val="40"/>
          <c:min val="0"/>
        </c:scaling>
        <c:delete val="0"/>
        <c:axPos val="l"/>
        <c:numFmt formatCode="#,##0.0_);\(#,##0.0\);@_)" sourceLinked="1"/>
        <c:majorTickMark val="out"/>
        <c:minorTickMark val="none"/>
        <c:tickLblPos val="nextTo"/>
        <c:crossAx val="97289344"/>
        <c:crosses val="autoZero"/>
        <c:crossBetween val="between"/>
        <c:majorUnit val="5"/>
        <c:minorUnit val="5"/>
      </c:valAx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gi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emf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1094052</xdr:colOff>
      <xdr:row>93</xdr:row>
      <xdr:rowOff>42332</xdr:rowOff>
    </xdr:from>
    <xdr:to>
      <xdr:col>15</xdr:col>
      <xdr:colOff>959556</xdr:colOff>
      <xdr:row>122</xdr:row>
      <xdr:rowOff>155222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98780</xdr:colOff>
      <xdr:row>93</xdr:row>
      <xdr:rowOff>168009</xdr:rowOff>
    </xdr:from>
    <xdr:to>
      <xdr:col>8</xdr:col>
      <xdr:colOff>420249</xdr:colOff>
      <xdr:row>120</xdr:row>
      <xdr:rowOff>164199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</xdr:colOff>
      <xdr:row>109</xdr:row>
      <xdr:rowOff>121267</xdr:rowOff>
    </xdr:from>
    <xdr:to>
      <xdr:col>2</xdr:col>
      <xdr:colOff>139066</xdr:colOff>
      <xdr:row>110</xdr:row>
      <xdr:rowOff>121266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SpPr/>
      </xdr:nvSpPr>
      <xdr:spPr>
        <a:xfrm>
          <a:off x="1" y="20991600"/>
          <a:ext cx="534176" cy="16933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259448</xdr:colOff>
      <xdr:row>110</xdr:row>
      <xdr:rowOff>29986</xdr:rowOff>
    </xdr:from>
    <xdr:to>
      <xdr:col>7</xdr:col>
      <xdr:colOff>960966</xdr:colOff>
      <xdr:row>110</xdr:row>
      <xdr:rowOff>66447</xdr:rowOff>
    </xdr:to>
    <xdr:cxnSp macro="">
      <xdr:nvCxnSpPr>
        <xdr:cNvPr id="7" name="Straight Connector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CxnSpPr/>
      </xdr:nvCxnSpPr>
      <xdr:spPr>
        <a:xfrm flipV="1">
          <a:off x="654559" y="21069653"/>
          <a:ext cx="5773051" cy="36461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812800</xdr:colOff>
      <xdr:row>1</xdr:row>
      <xdr:rowOff>38100</xdr:rowOff>
    </xdr:from>
    <xdr:to>
      <xdr:col>19</xdr:col>
      <xdr:colOff>419100</xdr:colOff>
      <xdr:row>17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10D53B-EE7C-06FC-B5E5-66C43A2FA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8800" y="228600"/>
          <a:ext cx="5384800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254000</xdr:colOff>
      <xdr:row>1</xdr:row>
      <xdr:rowOff>0</xdr:rowOff>
    </xdr:from>
    <xdr:to>
      <xdr:col>11</xdr:col>
      <xdr:colOff>657072</xdr:colOff>
      <xdr:row>16</xdr:row>
      <xdr:rowOff>177800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D15E80C-1909-F8D4-3204-7DFF392EE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9500" y="190500"/>
          <a:ext cx="8658072" cy="30353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19</xdr:row>
      <xdr:rowOff>0</xdr:rowOff>
    </xdr:from>
    <xdr:to>
      <xdr:col>11</xdr:col>
      <xdr:colOff>749300</xdr:colOff>
      <xdr:row>43</xdr:row>
      <xdr:rowOff>4372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9F70722-06B4-90FC-8C50-85EC5B665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2200" y="3619500"/>
          <a:ext cx="8737600" cy="4576372"/>
        </a:xfrm>
        <a:prstGeom prst="rect">
          <a:avLst/>
        </a:prstGeom>
      </xdr:spPr>
    </xdr:pic>
    <xdr:clientData/>
  </xdr:twoCellAnchor>
  <xdr:twoCellAnchor editAs="oneCell">
    <xdr:from>
      <xdr:col>13</xdr:col>
      <xdr:colOff>12700</xdr:colOff>
      <xdr:row>19</xdr:row>
      <xdr:rowOff>63500</xdr:rowOff>
    </xdr:from>
    <xdr:to>
      <xdr:col>19</xdr:col>
      <xdr:colOff>571500</xdr:colOff>
      <xdr:row>38</xdr:row>
      <xdr:rowOff>152400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F8F036A-4446-F628-7C4E-985551578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44200" y="3683000"/>
          <a:ext cx="5511800" cy="370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177800</xdr:colOff>
      <xdr:row>0</xdr:row>
      <xdr:rowOff>152400</xdr:rowOff>
    </xdr:from>
    <xdr:to>
      <xdr:col>9</xdr:col>
      <xdr:colOff>520700</xdr:colOff>
      <xdr:row>11</xdr:row>
      <xdr:rowOff>175865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6F22EE-B03C-F40F-5ABE-A38AEA6EB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00" y="152400"/>
          <a:ext cx="7772400" cy="2118965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127000</xdr:colOff>
      <xdr:row>13</xdr:row>
      <xdr:rowOff>12700</xdr:rowOff>
    </xdr:from>
    <xdr:to>
      <xdr:col>9</xdr:col>
      <xdr:colOff>469900</xdr:colOff>
      <xdr:row>23</xdr:row>
      <xdr:rowOff>42388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370C7D3-8D28-9A2E-CB32-6680FA950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000" y="2489200"/>
          <a:ext cx="7772400" cy="1934688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25</xdr:row>
      <xdr:rowOff>63500</xdr:rowOff>
    </xdr:from>
    <xdr:to>
      <xdr:col>9</xdr:col>
      <xdr:colOff>508000</xdr:colOff>
      <xdr:row>59</xdr:row>
      <xdr:rowOff>75870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4644ECC-A386-DBF4-422E-33259A7D23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5100" y="4826000"/>
          <a:ext cx="7772400" cy="6489370"/>
        </a:xfrm>
        <a:prstGeom prst="rect">
          <a:avLst/>
        </a:prstGeom>
      </xdr:spPr>
    </xdr:pic>
    <xdr:clientData/>
  </xdr:twoCellAnchor>
  <xdr:twoCellAnchor editAs="oneCell">
    <xdr:from>
      <xdr:col>10</xdr:col>
      <xdr:colOff>406400</xdr:colOff>
      <xdr:row>30</xdr:row>
      <xdr:rowOff>127000</xdr:rowOff>
    </xdr:from>
    <xdr:to>
      <xdr:col>23</xdr:col>
      <xdr:colOff>25400</xdr:colOff>
      <xdr:row>61</xdr:row>
      <xdr:rowOff>30309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9AE398-A59B-2842-844F-E9AECCDB9B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61400" y="5842000"/>
          <a:ext cx="10350500" cy="5808809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1</xdr:row>
      <xdr:rowOff>12700</xdr:rowOff>
    </xdr:from>
    <xdr:to>
      <xdr:col>17</xdr:col>
      <xdr:colOff>660400</xdr:colOff>
      <xdr:row>28</xdr:row>
      <xdr:rowOff>139700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9977A4-17A8-FBE3-87C5-81AD1A4D8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50300" y="203200"/>
          <a:ext cx="5943600" cy="52705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88900</xdr:colOff>
      <xdr:row>0</xdr:row>
      <xdr:rowOff>0</xdr:rowOff>
    </xdr:from>
    <xdr:to>
      <xdr:col>9</xdr:col>
      <xdr:colOff>431800</xdr:colOff>
      <xdr:row>48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EE417B-AF1A-2B1C-810F-1E398E898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900" y="0"/>
          <a:ext cx="7772400" cy="9245600"/>
        </a:xfrm>
        <a:prstGeom prst="rect">
          <a:avLst/>
        </a:prstGeom>
      </xdr:spPr>
    </xdr:pic>
    <xdr:clientData/>
  </xdr:twoCellAnchor>
  <xdr:twoCellAnchor editAs="oneCell">
    <xdr:from>
      <xdr:col>9</xdr:col>
      <xdr:colOff>800100</xdr:colOff>
      <xdr:row>0</xdr:row>
      <xdr:rowOff>165100</xdr:rowOff>
    </xdr:from>
    <xdr:to>
      <xdr:col>18</xdr:col>
      <xdr:colOff>355600</xdr:colOff>
      <xdr:row>47</xdr:row>
      <xdr:rowOff>177800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D7B727-FA2D-5A1B-A443-01CC03857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29600" y="165100"/>
          <a:ext cx="6985000" cy="8966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8</xdr:col>
      <xdr:colOff>711200</xdr:colOff>
      <xdr:row>98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33E4F1-47E6-3977-CF26-E555D0FF9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715500"/>
          <a:ext cx="7315200" cy="8978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50</xdr:row>
      <xdr:rowOff>0</xdr:rowOff>
    </xdr:from>
    <xdr:to>
      <xdr:col>18</xdr:col>
      <xdr:colOff>381000</xdr:colOff>
      <xdr:row>97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4B11078-0B92-0644-93D3-38D098B6A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0" y="9525000"/>
          <a:ext cx="6985000" cy="8953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8</xdr:col>
      <xdr:colOff>758825</xdr:colOff>
      <xdr:row>147</xdr:row>
      <xdr:rowOff>38100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4097B8-A35F-936C-EA74-CEE103B82F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050000"/>
          <a:ext cx="7391400" cy="8991600"/>
        </a:xfrm>
        <a:prstGeom prst="rect">
          <a:avLst/>
        </a:prstGeom>
      </xdr:spPr>
    </xdr:pic>
    <xdr:clientData/>
  </xdr:twoCellAnchor>
  <xdr:twoCellAnchor editAs="oneCell">
    <xdr:from>
      <xdr:col>10</xdr:col>
      <xdr:colOff>63500</xdr:colOff>
      <xdr:row>100</xdr:row>
      <xdr:rowOff>25400</xdr:rowOff>
    </xdr:from>
    <xdr:to>
      <xdr:col>18</xdr:col>
      <xdr:colOff>469900</xdr:colOff>
      <xdr:row>147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2A544E-5F81-CF09-5F90-BF23B3E8F6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18500" y="19075400"/>
          <a:ext cx="7010400" cy="8978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 fitToPage="1"/>
  </sheetPr>
  <dimension ref="B2:R42"/>
  <sheetViews>
    <sheetView zoomScale="80" zoomScaleNormal="80" workbookViewId="0">
      <selection activeCell="H7" sqref="H7"/>
    </sheetView>
  </sheetViews>
  <sheetFormatPr baseColWidth="10" defaultColWidth="9.1640625" defaultRowHeight="15" outlineLevelRow="1" x14ac:dyDescent="0.2"/>
  <cols>
    <col min="1" max="1" width="2.5" style="127" customWidth="1"/>
    <col min="2" max="2" width="29" style="127" bestFit="1" customWidth="1"/>
    <col min="3" max="3" width="6.33203125" style="127" customWidth="1"/>
    <col min="4" max="4" width="9.6640625" style="127" bestFit="1" customWidth="1"/>
    <col min="5" max="5" width="20.83203125" style="127" customWidth="1"/>
    <col min="6" max="6" width="10" style="127" customWidth="1"/>
    <col min="7" max="7" width="9.1640625" style="127"/>
    <col min="8" max="8" width="11.5" style="127" bestFit="1" customWidth="1"/>
    <col min="9" max="9" width="18.33203125" style="127" customWidth="1"/>
    <col min="10" max="10" width="10.1640625" style="127" customWidth="1"/>
    <col min="11" max="11" width="9.1640625" style="127"/>
    <col min="12" max="12" width="10.5" style="127" bestFit="1" customWidth="1"/>
    <col min="13" max="13" width="2.5" style="127" customWidth="1"/>
    <col min="14" max="14" width="2.5" style="137" customWidth="1"/>
    <col min="15" max="15" width="9.1640625" style="127"/>
    <col min="16" max="16" width="20.1640625" style="127" bestFit="1" customWidth="1"/>
    <col min="17" max="16384" width="9.1640625" style="127"/>
  </cols>
  <sheetData>
    <row r="2" spans="2:18" ht="19" x14ac:dyDescent="0.25">
      <c r="B2" s="135" t="str">
        <f>"WACC Analysis - "&amp;Company_Name</f>
        <v>WACC Analysis - Ford Motor Company</v>
      </c>
      <c r="C2" s="136"/>
    </row>
    <row r="3" spans="2:18" ht="16" x14ac:dyDescent="0.2">
      <c r="B3" s="76" t="s">
        <v>0</v>
      </c>
    </row>
    <row r="4" spans="2:18" x14ac:dyDescent="0.2">
      <c r="O4" s="138"/>
    </row>
    <row r="5" spans="2:18" x14ac:dyDescent="0.2">
      <c r="B5" s="139" t="s">
        <v>1</v>
      </c>
      <c r="C5" s="140"/>
      <c r="D5" s="141"/>
      <c r="E5" s="141"/>
      <c r="F5" s="141"/>
      <c r="G5" s="142"/>
    </row>
    <row r="6" spans="2:18" x14ac:dyDescent="0.2">
      <c r="B6" s="143" t="s">
        <v>2</v>
      </c>
      <c r="C6" s="143"/>
      <c r="F6" s="134">
        <v>4.4600000000000001E-2</v>
      </c>
      <c r="G6" s="144"/>
      <c r="H6" s="145"/>
    </row>
    <row r="7" spans="2:18" x14ac:dyDescent="0.2">
      <c r="B7" s="143" t="s">
        <v>3</v>
      </c>
      <c r="C7" s="143"/>
      <c r="F7" s="134">
        <v>7.7799999999999994E-2</v>
      </c>
      <c r="G7" s="145"/>
      <c r="H7" s="127" t="s">
        <v>4</v>
      </c>
    </row>
    <row r="8" spans="2:18" x14ac:dyDescent="0.2">
      <c r="B8" s="143" t="s">
        <v>5</v>
      </c>
      <c r="C8" s="143"/>
      <c r="F8" s="134">
        <v>4.5699999999999998E-2</v>
      </c>
      <c r="I8" s="146"/>
      <c r="J8" s="146"/>
    </row>
    <row r="9" spans="2:18" x14ac:dyDescent="0.2">
      <c r="B9" s="143" t="s">
        <v>6</v>
      </c>
      <c r="C9" s="143"/>
      <c r="F9" s="134">
        <v>0</v>
      </c>
      <c r="G9" s="145"/>
      <c r="H9" s="145" t="s">
        <v>7</v>
      </c>
      <c r="I9" s="146"/>
      <c r="J9" s="146"/>
    </row>
    <row r="11" spans="2:18" hidden="1" outlineLevel="1" x14ac:dyDescent="0.2">
      <c r="B11" s="147"/>
      <c r="C11" s="148"/>
      <c r="D11" s="148"/>
      <c r="E11" s="149">
        <v>6</v>
      </c>
      <c r="F11" s="148"/>
      <c r="G11" s="149">
        <v>7</v>
      </c>
      <c r="H11" s="148"/>
      <c r="I11" s="150">
        <v>4</v>
      </c>
      <c r="J11" s="147"/>
      <c r="K11" s="148"/>
    </row>
    <row r="12" spans="2:18" collapsed="1" x14ac:dyDescent="0.2">
      <c r="B12" s="151" t="s">
        <v>8</v>
      </c>
      <c r="C12" s="151"/>
      <c r="D12" s="151"/>
      <c r="E12" s="151"/>
      <c r="F12" s="151"/>
      <c r="G12" s="151"/>
      <c r="H12" s="151"/>
      <c r="I12" s="151"/>
      <c r="J12" s="151"/>
      <c r="K12" s="151"/>
      <c r="L12" s="151"/>
    </row>
    <row r="13" spans="2:18" x14ac:dyDescent="0.2">
      <c r="B13" s="152"/>
      <c r="C13" s="152"/>
      <c r="D13" s="153" t="s">
        <v>9</v>
      </c>
      <c r="E13" s="153"/>
      <c r="F13" s="153"/>
      <c r="G13" s="153" t="s">
        <v>10</v>
      </c>
      <c r="H13" s="153"/>
      <c r="I13" s="153" t="s">
        <v>11</v>
      </c>
      <c r="J13" s="153"/>
      <c r="K13" s="153"/>
      <c r="L13" s="153" t="s">
        <v>12</v>
      </c>
    </row>
    <row r="14" spans="2:18" x14ac:dyDescent="0.2">
      <c r="B14" s="154" t="s">
        <v>13</v>
      </c>
      <c r="C14" s="154" t="s">
        <v>14</v>
      </c>
      <c r="D14" s="155" t="s">
        <v>15</v>
      </c>
      <c r="E14" s="155" t="s">
        <v>16</v>
      </c>
      <c r="F14" s="155" t="s">
        <v>17</v>
      </c>
      <c r="G14" s="155" t="s">
        <v>18</v>
      </c>
      <c r="H14" s="155" t="s">
        <v>19</v>
      </c>
      <c r="I14" s="155" t="s">
        <v>20</v>
      </c>
      <c r="J14" s="155" t="s">
        <v>21</v>
      </c>
      <c r="K14" s="155" t="s">
        <v>22</v>
      </c>
      <c r="L14" s="155" t="s">
        <v>15</v>
      </c>
    </row>
    <row r="15" spans="2:18" ht="14.5" customHeight="1" x14ac:dyDescent="0.2">
      <c r="B15" s="156" t="s">
        <v>23</v>
      </c>
      <c r="C15" s="257" t="s">
        <v>24</v>
      </c>
      <c r="D15" s="157">
        <v>1.4603742968872899</v>
      </c>
      <c r="E15" s="158">
        <v>114699000000</v>
      </c>
      <c r="F15" s="258">
        <v>0.72379117567027096</v>
      </c>
      <c r="G15" s="158">
        <v>0</v>
      </c>
      <c r="H15" s="159">
        <f>0</f>
        <v>0</v>
      </c>
      <c r="I15" s="160">
        <f>E15/F15*J15</f>
        <v>43770740797.519852</v>
      </c>
      <c r="J15" s="258">
        <v>0.27620882432972899</v>
      </c>
      <c r="K15" s="161">
        <v>0.16280069999999999</v>
      </c>
      <c r="L15" s="162">
        <f>D15/(1+(F15/J15)*(1-K15)+H15/J15)</f>
        <v>0.4572474285418468</v>
      </c>
    </row>
    <row r="16" spans="2:18" ht="14.5" customHeight="1" x14ac:dyDescent="0.2">
      <c r="B16" s="156" t="s">
        <v>25</v>
      </c>
      <c r="C16" s="257" t="s">
        <v>26</v>
      </c>
      <c r="D16" s="157">
        <v>1.4302276981406301</v>
      </c>
      <c r="E16" s="158">
        <v>29059289383.5616</v>
      </c>
      <c r="F16" s="258">
        <v>0.36686645088741104</v>
      </c>
      <c r="G16" s="158">
        <v>0</v>
      </c>
      <c r="H16" s="159">
        <f>0</f>
        <v>0</v>
      </c>
      <c r="I16" s="160">
        <f t="shared" ref="I16:I20" si="0">E16/F16*J16</f>
        <v>50150159486.102722</v>
      </c>
      <c r="J16" s="258">
        <v>0.63313354911258901</v>
      </c>
      <c r="K16" s="161">
        <v>0.21478020645080001</v>
      </c>
      <c r="L16" s="162">
        <f t="shared" ref="L16:L20" si="1">D16/(1+(F16/J16)*(1-K16)+H16/J16)</f>
        <v>0.98297966199279141</v>
      </c>
      <c r="R16" s="163"/>
    </row>
    <row r="17" spans="2:16" ht="14.5" customHeight="1" x14ac:dyDescent="0.2">
      <c r="B17" s="156" t="s">
        <v>27</v>
      </c>
      <c r="C17" s="257" t="s">
        <v>28</v>
      </c>
      <c r="D17" s="157">
        <v>1.4134610370819201</v>
      </c>
      <c r="E17" s="158">
        <v>217928082191.78101</v>
      </c>
      <c r="F17" s="258">
        <v>0.79309266171305492</v>
      </c>
      <c r="G17" s="158">
        <v>0</v>
      </c>
      <c r="H17" s="159">
        <f>0</f>
        <v>0</v>
      </c>
      <c r="I17" s="160">
        <f t="shared" si="0"/>
        <v>56854541217.018753</v>
      </c>
      <c r="J17" s="258">
        <v>0.20690733828694502</v>
      </c>
      <c r="K17" s="161">
        <v>0.23567229999999997</v>
      </c>
      <c r="L17" s="162">
        <f t="shared" si="1"/>
        <v>0.35968398427667547</v>
      </c>
    </row>
    <row r="18" spans="2:16" ht="14.5" customHeight="1" x14ac:dyDescent="0.2">
      <c r="B18" s="156" t="s">
        <v>29</v>
      </c>
      <c r="C18" s="257" t="s">
        <v>30</v>
      </c>
      <c r="D18" s="157">
        <v>1.8799692657557701</v>
      </c>
      <c r="E18" s="158">
        <v>67917380136.986298</v>
      </c>
      <c r="F18" s="258">
        <v>0.84801008569443692</v>
      </c>
      <c r="G18" s="158">
        <v>0</v>
      </c>
      <c r="H18" s="159">
        <f>0</f>
        <v>0</v>
      </c>
      <c r="I18" s="160">
        <f t="shared" si="0"/>
        <v>12172917469.991611</v>
      </c>
      <c r="J18" s="258">
        <v>0.151989914305563</v>
      </c>
      <c r="K18" s="161">
        <v>0.2525789</v>
      </c>
      <c r="L18" s="162">
        <f>D18/(1+(F18/J18)*(1-K18)+H18/J18)</f>
        <v>0.36361991994658688</v>
      </c>
    </row>
    <row r="19" spans="2:16" ht="14.5" customHeight="1" x14ac:dyDescent="0.2">
      <c r="B19" s="156" t="s">
        <v>31</v>
      </c>
      <c r="C19" s="257" t="s">
        <v>32</v>
      </c>
      <c r="D19" s="157">
        <v>1.2894270783986499</v>
      </c>
      <c r="E19" s="158">
        <v>57723985239.852402</v>
      </c>
      <c r="F19" s="258">
        <v>0.496418200002126</v>
      </c>
      <c r="G19" s="158">
        <v>0</v>
      </c>
      <c r="H19" s="159">
        <f>0</f>
        <v>0</v>
      </c>
      <c r="I19" s="160">
        <f t="shared" si="0"/>
        <v>58556975529.928375</v>
      </c>
      <c r="J19" s="258">
        <v>0.503581799997874</v>
      </c>
      <c r="K19" s="161">
        <v>0.28921254126124002</v>
      </c>
      <c r="L19" s="162">
        <f t="shared" si="1"/>
        <v>0.75818489425949864</v>
      </c>
    </row>
    <row r="20" spans="2:16" ht="14.5" customHeight="1" x14ac:dyDescent="0.2">
      <c r="B20" s="156" t="s">
        <v>33</v>
      </c>
      <c r="C20" s="257" t="s">
        <v>34</v>
      </c>
      <c r="D20" s="157">
        <v>1.73895602156467</v>
      </c>
      <c r="E20" s="158">
        <v>53008984110.249298</v>
      </c>
      <c r="F20" s="258">
        <v>0.7241590165560351</v>
      </c>
      <c r="G20" s="164">
        <v>0</v>
      </c>
      <c r="H20" s="159">
        <f>0</f>
        <v>0</v>
      </c>
      <c r="I20" s="160">
        <f t="shared" si="0"/>
        <v>20191767241.781258</v>
      </c>
      <c r="J20" s="258">
        <v>0.27584098344396502</v>
      </c>
      <c r="K20" s="161">
        <v>0.37854300000000002</v>
      </c>
      <c r="L20" s="162">
        <f t="shared" si="1"/>
        <v>0.66082390905052313</v>
      </c>
    </row>
    <row r="22" spans="2:16" x14ac:dyDescent="0.2">
      <c r="B22" s="165" t="s">
        <v>35</v>
      </c>
      <c r="C22" s="166"/>
      <c r="D22" s="167">
        <f t="shared" ref="D22:L22" si="2">MEDIAN(D15:D20)</f>
        <v>1.4453009975139599</v>
      </c>
      <c r="E22" s="168">
        <f t="shared" si="2"/>
        <v>62820682688.41935</v>
      </c>
      <c r="F22" s="169">
        <f t="shared" si="2"/>
        <v>0.72397509611315303</v>
      </c>
      <c r="G22" s="168">
        <f t="shared" si="2"/>
        <v>0</v>
      </c>
      <c r="H22" s="169">
        <f t="shared" si="2"/>
        <v>0</v>
      </c>
      <c r="I22" s="168">
        <f t="shared" si="2"/>
        <v>46960450141.811287</v>
      </c>
      <c r="J22" s="169">
        <f t="shared" si="2"/>
        <v>0.27602490388684697</v>
      </c>
      <c r="K22" s="169">
        <f t="shared" si="2"/>
        <v>0.2441256</v>
      </c>
      <c r="L22" s="170">
        <f t="shared" si="2"/>
        <v>0.55903566879618494</v>
      </c>
    </row>
    <row r="24" spans="2:16" x14ac:dyDescent="0.2">
      <c r="B24" s="171" t="str">
        <f>Company_Name</f>
        <v>Ford Motor Company</v>
      </c>
      <c r="C24" s="172" t="s">
        <v>36</v>
      </c>
      <c r="D24" s="173">
        <v>1.86</v>
      </c>
      <c r="E24" s="174"/>
      <c r="F24" s="174"/>
      <c r="G24" s="174"/>
      <c r="H24" s="174"/>
      <c r="I24" s="174"/>
      <c r="J24" s="174"/>
      <c r="K24" s="175"/>
      <c r="L24" s="176"/>
      <c r="P24" s="177"/>
    </row>
    <row r="26" spans="2:16" x14ac:dyDescent="0.2">
      <c r="B26" s="151" t="str">
        <f>TEXT(Company_Name,"")&amp; " - Levered Beta &amp; WACC Calculation"</f>
        <v>Ford Motor Company - Levered Beta &amp; WACC Calculation</v>
      </c>
      <c r="C26" s="178"/>
      <c r="D26" s="178"/>
      <c r="E26" s="178"/>
      <c r="F26" s="178"/>
      <c r="G26" s="178"/>
      <c r="H26" s="178"/>
      <c r="I26" s="178"/>
      <c r="J26" s="178"/>
      <c r="K26" s="178"/>
      <c r="L26" s="178"/>
    </row>
    <row r="27" spans="2:16" x14ac:dyDescent="0.2">
      <c r="B27" s="178"/>
      <c r="C27" s="152"/>
      <c r="D27" s="153" t="s">
        <v>12</v>
      </c>
      <c r="E27" s="153"/>
      <c r="F27" s="153"/>
      <c r="G27" s="153" t="s">
        <v>10</v>
      </c>
      <c r="H27" s="153"/>
      <c r="I27" s="153" t="s">
        <v>11</v>
      </c>
      <c r="J27" s="153"/>
      <c r="K27" s="153"/>
      <c r="L27" s="153" t="s">
        <v>9</v>
      </c>
    </row>
    <row r="28" spans="2:16" x14ac:dyDescent="0.2">
      <c r="B28" s="179"/>
      <c r="C28" s="154" t="s">
        <v>14</v>
      </c>
      <c r="D28" s="155" t="s">
        <v>15</v>
      </c>
      <c r="E28" s="155" t="s">
        <v>16</v>
      </c>
      <c r="F28" s="155" t="s">
        <v>17</v>
      </c>
      <c r="G28" s="155" t="s">
        <v>18</v>
      </c>
      <c r="H28" s="155" t="s">
        <v>19</v>
      </c>
      <c r="I28" s="155" t="s">
        <v>20</v>
      </c>
      <c r="J28" s="155" t="s">
        <v>21</v>
      </c>
      <c r="K28" s="155" t="s">
        <v>22</v>
      </c>
      <c r="L28" s="155" t="s">
        <v>15</v>
      </c>
    </row>
    <row r="29" spans="2:16" x14ac:dyDescent="0.2">
      <c r="B29" s="180" t="s">
        <v>37</v>
      </c>
      <c r="C29" s="180" t="str">
        <f>Ticker</f>
        <v>F</v>
      </c>
      <c r="D29" s="181">
        <f>L22</f>
        <v>0.55903566879618494</v>
      </c>
      <c r="E29" s="164">
        <v>138969000000</v>
      </c>
      <c r="F29" s="182">
        <v>0.74160350112402595</v>
      </c>
      <c r="G29" s="164">
        <v>0</v>
      </c>
      <c r="H29" s="182">
        <v>0</v>
      </c>
      <c r="I29" s="183">
        <f>E29/F29*J29</f>
        <v>48420892023.660744</v>
      </c>
      <c r="J29" s="182">
        <v>0.25839649887597399</v>
      </c>
      <c r="K29" s="184">
        <f>'Ford Motor Co | Ratios - Key Me'!G12</f>
        <v>0.17799999999999999</v>
      </c>
      <c r="L29" s="185">
        <f>D29*(1+(F29/J29)*(1-K29)+(H29/J29))</f>
        <v>1.8778889453363441</v>
      </c>
    </row>
    <row r="30" spans="2:16" x14ac:dyDescent="0.2">
      <c r="B30" s="143" t="s">
        <v>38</v>
      </c>
      <c r="C30" s="143" t="str">
        <f>Ticker</f>
        <v>F</v>
      </c>
      <c r="D30" s="186">
        <f>+L22</f>
        <v>0.55903566879618494</v>
      </c>
      <c r="E30" s="187">
        <f>+F30*($E29+$G29+$I29)</f>
        <v>135665615088.46315</v>
      </c>
      <c r="F30" s="188">
        <f>+F22</f>
        <v>0.72397509611315303</v>
      </c>
      <c r="G30" s="187">
        <f>+H30*($E29+$G29+$I29)</f>
        <v>0</v>
      </c>
      <c r="H30" s="188">
        <f>+H22</f>
        <v>0</v>
      </c>
      <c r="I30" s="187">
        <f>+J30*($E29+$G29+$I29)</f>
        <v>51724276935.197586</v>
      </c>
      <c r="J30" s="188">
        <f>+J22</f>
        <v>0.27602490388684697</v>
      </c>
      <c r="K30" s="189">
        <f>K29</f>
        <v>0.17799999999999999</v>
      </c>
      <c r="L30" s="190">
        <f>D30*(1+(F30/J30)*(1-K30)+(H30/J30))</f>
        <v>1.7643121884081345</v>
      </c>
      <c r="P30" s="265"/>
    </row>
    <row r="32" spans="2:16" x14ac:dyDescent="0.2">
      <c r="B32" s="191" t="s">
        <v>39</v>
      </c>
      <c r="C32" s="192"/>
      <c r="D32" s="192"/>
      <c r="E32" s="192"/>
      <c r="F32" s="192"/>
      <c r="G32" s="192"/>
      <c r="H32" s="192"/>
      <c r="I32" s="192"/>
      <c r="J32" s="192"/>
      <c r="K32" s="192"/>
      <c r="L32" s="193">
        <f>+Risk_Free_Rate+Equity_Risk_Premium*L29</f>
        <v>0.19069975994716756</v>
      </c>
    </row>
    <row r="33" spans="2:12" x14ac:dyDescent="0.2">
      <c r="B33" s="194" t="s">
        <v>40</v>
      </c>
      <c r="C33" s="195"/>
      <c r="D33" s="195"/>
      <c r="E33" s="195"/>
      <c r="F33" s="195"/>
      <c r="G33" s="195"/>
      <c r="H33" s="195"/>
      <c r="I33" s="195"/>
      <c r="J33" s="195"/>
      <c r="K33" s="195"/>
      <c r="L33" s="196">
        <f>+Risk_Free_Rate+Equity_Risk_Premium*L30</f>
        <v>0.18186348825815285</v>
      </c>
    </row>
    <row r="34" spans="2:12" x14ac:dyDescent="0.2">
      <c r="B34" s="197" t="s">
        <v>41</v>
      </c>
      <c r="C34" s="198"/>
      <c r="D34" s="198"/>
      <c r="E34" s="198"/>
      <c r="F34" s="198"/>
      <c r="G34" s="198"/>
      <c r="H34" s="198"/>
      <c r="I34" s="198"/>
      <c r="J34" s="198"/>
      <c r="K34" s="198"/>
      <c r="L34" s="199">
        <f>+Risk_Free_Rate+Equity_Risk_Premium*D24</f>
        <v>0.189308</v>
      </c>
    </row>
    <row r="35" spans="2:12" x14ac:dyDescent="0.2">
      <c r="B35" s="180"/>
      <c r="C35" s="180"/>
      <c r="D35" s="180"/>
      <c r="E35" s="180"/>
      <c r="F35" s="180"/>
      <c r="G35" s="180"/>
      <c r="H35" s="180"/>
      <c r="I35" s="180"/>
      <c r="J35" s="180"/>
      <c r="K35" s="180"/>
      <c r="L35" s="180"/>
    </row>
    <row r="36" spans="2:12" x14ac:dyDescent="0.2">
      <c r="B36" s="143" t="s">
        <v>42</v>
      </c>
      <c r="C36" s="143"/>
      <c r="D36" s="143"/>
      <c r="E36" s="143"/>
      <c r="F36" s="143"/>
      <c r="G36" s="143"/>
      <c r="H36" s="143"/>
      <c r="I36" s="143"/>
      <c r="J36" s="143"/>
      <c r="K36" s="143"/>
      <c r="L36" s="143"/>
    </row>
    <row r="37" spans="2:12" x14ac:dyDescent="0.2">
      <c r="B37" s="200"/>
      <c r="C37" s="200"/>
      <c r="D37" s="200"/>
      <c r="E37" s="200"/>
      <c r="F37" s="200"/>
      <c r="G37" s="200"/>
      <c r="H37" s="200"/>
      <c r="I37" s="200"/>
      <c r="J37" s="200"/>
      <c r="K37" s="200"/>
      <c r="L37" s="200"/>
    </row>
    <row r="38" spans="2:12" x14ac:dyDescent="0.2">
      <c r="B38" s="191" t="s">
        <v>43</v>
      </c>
      <c r="C38" s="192"/>
      <c r="D38" s="192"/>
      <c r="E38" s="192"/>
      <c r="F38" s="192"/>
      <c r="G38" s="192"/>
      <c r="H38" s="192"/>
      <c r="I38" s="192"/>
      <c r="J38" s="192"/>
      <c r="K38" s="192"/>
      <c r="L38" s="201">
        <f>+L32*J29+Cost_of_Debt*(1-Tax_Rate)*F29+Cost_of_Preferred*H29</f>
        <v>7.6292584159927276E-2</v>
      </c>
    </row>
    <row r="39" spans="2:12" x14ac:dyDescent="0.2">
      <c r="B39" s="194" t="s">
        <v>44</v>
      </c>
      <c r="C39" s="195"/>
      <c r="D39" s="195"/>
      <c r="E39" s="195"/>
      <c r="F39" s="195"/>
      <c r="G39" s="195"/>
      <c r="H39" s="195"/>
      <c r="I39" s="195"/>
      <c r="J39" s="195"/>
      <c r="K39" s="195"/>
      <c r="L39" s="202">
        <f>+L33*J30+Cost_of_Debt*(1-Tax_Rate)*F30+Cost_of_Preferred*H30</f>
        <v>7.6573087244486984E-2</v>
      </c>
    </row>
    <row r="40" spans="2:12" x14ac:dyDescent="0.2">
      <c r="B40" s="197" t="s">
        <v>45</v>
      </c>
      <c r="C40" s="198"/>
      <c r="D40" s="198"/>
      <c r="E40" s="198"/>
      <c r="F40" s="198"/>
      <c r="G40" s="198"/>
      <c r="H40" s="198"/>
      <c r="I40" s="198"/>
      <c r="J40" s="198"/>
      <c r="K40" s="198"/>
      <c r="L40" s="203">
        <f>+L34*J29+Cost_of_Debt*(1-Tax_Rate)*F29+Cost_of_Preferred*H29</f>
        <v>7.5932958262303368E-2</v>
      </c>
    </row>
    <row r="42" spans="2:12" x14ac:dyDescent="0.2">
      <c r="B42" s="171" t="s">
        <v>46</v>
      </c>
      <c r="C42" s="204"/>
      <c r="D42" s="204"/>
      <c r="E42" s="204"/>
      <c r="F42" s="204"/>
      <c r="G42" s="204"/>
      <c r="H42" s="204"/>
      <c r="I42" s="204"/>
      <c r="J42" s="204"/>
      <c r="K42" s="204"/>
      <c r="L42" s="205">
        <f>AVERAGE(L38:L40)</f>
        <v>7.6266209888905881E-2</v>
      </c>
    </row>
  </sheetData>
  <printOptions headings="1" gridLines="1"/>
  <pageMargins left="0.7" right="0.7" top="0.75" bottom="0.75" header="0.3" footer="0.3"/>
  <pageSetup scale="74" orientation="landscape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 fitToPage="1"/>
  </sheetPr>
  <dimension ref="A2:AJ131"/>
  <sheetViews>
    <sheetView tabSelected="1" topLeftCell="A61" zoomScale="70" zoomScaleNormal="70" workbookViewId="0">
      <selection activeCell="B65" sqref="B65"/>
    </sheetView>
  </sheetViews>
  <sheetFormatPr baseColWidth="10" defaultColWidth="9.1640625" defaultRowHeight="15" outlineLevelRow="1" x14ac:dyDescent="0.2"/>
  <cols>
    <col min="1" max="2" width="2.6640625" style="3" customWidth="1"/>
    <col min="3" max="5" width="12.6640625" style="3" customWidth="1"/>
    <col min="6" max="7" width="13.83203125" style="3" customWidth="1"/>
    <col min="8" max="8" width="14.5" style="3" customWidth="1"/>
    <col min="9" max="9" width="15.6640625" style="3" customWidth="1"/>
    <col min="10" max="10" width="14.6640625" style="3" customWidth="1"/>
    <col min="11" max="11" width="15.6640625" style="3" customWidth="1"/>
    <col min="12" max="12" width="24.33203125" style="3" customWidth="1"/>
    <col min="13" max="13" width="17" style="3" customWidth="1"/>
    <col min="14" max="14" width="12.1640625" style="3" customWidth="1"/>
    <col min="15" max="15" width="10.83203125" style="3" customWidth="1"/>
    <col min="16" max="16" width="13.6640625" style="3" customWidth="1"/>
    <col min="17" max="17" width="6" style="3" customWidth="1"/>
    <col min="19" max="20" width="9.1640625" style="3"/>
    <col min="21" max="21" width="9.1640625" style="3" customWidth="1"/>
    <col min="22" max="16384" width="9.1640625" style="3"/>
  </cols>
  <sheetData>
    <row r="2" spans="2:34" ht="16" x14ac:dyDescent="0.2">
      <c r="B2" s="2" t="str">
        <f>"Discounted Cash Flow Analysis - "&amp;Company_Name&amp;""</f>
        <v>Discounted Cash Flow Analysis - Ford Motor Company</v>
      </c>
      <c r="D2" s="4"/>
      <c r="E2" s="4"/>
      <c r="F2" s="4"/>
      <c r="G2" s="5" t="s">
        <v>47</v>
      </c>
      <c r="H2" s="111" t="s">
        <v>36</v>
      </c>
      <c r="I2" s="4"/>
      <c r="J2" s="5" t="s">
        <v>48</v>
      </c>
      <c r="K2" s="112">
        <v>45238</v>
      </c>
      <c r="L2" s="4"/>
      <c r="M2" s="4" t="s">
        <v>49</v>
      </c>
      <c r="N2" s="113">
        <v>44926</v>
      </c>
      <c r="O2" s="4"/>
    </row>
    <row r="3" spans="2:34" x14ac:dyDescent="0.2">
      <c r="B3" s="6" t="s">
        <v>50</v>
      </c>
      <c r="D3" s="4"/>
      <c r="E3" s="4"/>
      <c r="F3" s="4"/>
      <c r="G3" s="5" t="s">
        <v>51</v>
      </c>
      <c r="H3" s="111" t="s">
        <v>52</v>
      </c>
      <c r="I3" s="4"/>
      <c r="J3" s="4"/>
      <c r="K3" s="4"/>
      <c r="L3" s="4"/>
      <c r="M3" s="4"/>
      <c r="N3" s="4"/>
      <c r="O3" s="4"/>
    </row>
    <row r="4" spans="2:34" x14ac:dyDescent="0.2"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S4" s="4"/>
      <c r="T4" s="4"/>
      <c r="U4" s="4"/>
    </row>
    <row r="5" spans="2:34" x14ac:dyDescent="0.2"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4"/>
      <c r="S5" s="4"/>
      <c r="T5" s="4"/>
      <c r="U5" s="4"/>
    </row>
    <row r="6" spans="2:34" ht="16" x14ac:dyDescent="0.2">
      <c r="B6" s="8" t="str">
        <f>Company_Name&amp;" - DCF Assumptions &amp; Output:"</f>
        <v>Ford Motor Company - DCF Assumptions &amp; Output:</v>
      </c>
      <c r="C6" s="9"/>
      <c r="D6" s="9"/>
      <c r="E6" s="9"/>
      <c r="F6" s="9"/>
      <c r="G6" s="10"/>
      <c r="H6" s="10"/>
      <c r="I6" s="10"/>
      <c r="J6" s="10"/>
      <c r="K6" s="10"/>
      <c r="L6" s="10"/>
      <c r="M6" s="10"/>
      <c r="N6" s="10"/>
      <c r="O6" s="10"/>
      <c r="P6" s="10"/>
      <c r="Q6" s="4"/>
      <c r="S6" s="4"/>
      <c r="T6" s="4"/>
      <c r="U6" s="4"/>
      <c r="V6" s="11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</row>
    <row r="7" spans="2:34" x14ac:dyDescent="0.2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</row>
    <row r="8" spans="2:34" ht="16" thickBot="1" x14ac:dyDescent="0.25">
      <c r="C8" s="6" t="s">
        <v>53</v>
      </c>
      <c r="D8" s="6"/>
      <c r="E8" s="96"/>
      <c r="F8" s="97" t="s">
        <v>54</v>
      </c>
      <c r="G8" s="4"/>
      <c r="H8" s="89" t="s">
        <v>55</v>
      </c>
      <c r="I8" s="90"/>
      <c r="J8" s="90"/>
      <c r="K8" s="91">
        <v>1</v>
      </c>
      <c r="L8" s="4"/>
      <c r="M8" s="89" t="s">
        <v>56</v>
      </c>
      <c r="N8" s="90"/>
      <c r="O8" s="90"/>
      <c r="P8" s="90"/>
      <c r="Q8" s="11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</row>
    <row r="9" spans="2:34" x14ac:dyDescent="0.2">
      <c r="C9" s="6" t="s">
        <v>57</v>
      </c>
      <c r="F9" s="95">
        <v>10.050000000000001</v>
      </c>
      <c r="G9" s="251" t="s">
        <v>58</v>
      </c>
      <c r="L9" s="4"/>
      <c r="M9" s="4"/>
      <c r="N9" s="4"/>
      <c r="O9" s="4"/>
      <c r="P9" s="4"/>
      <c r="Q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</row>
    <row r="10" spans="2:34" x14ac:dyDescent="0.2">
      <c r="G10" s="4"/>
      <c r="H10" s="12" t="s">
        <v>59</v>
      </c>
      <c r="I10" s="4"/>
      <c r="J10" s="4"/>
      <c r="K10" s="13">
        <f>F16/(1+Discount_Rate)^5</f>
        <v>99989.901459899964</v>
      </c>
      <c r="L10" s="103"/>
      <c r="M10" s="12" t="s">
        <v>59</v>
      </c>
      <c r="N10" s="4"/>
      <c r="O10" s="4"/>
      <c r="P10" s="99">
        <f>F21/(1+Discount_Rate)^5</f>
        <v>153244.4974567091</v>
      </c>
      <c r="Q10" s="103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</row>
    <row r="11" spans="2:34" x14ac:dyDescent="0.2">
      <c r="C11" s="4" t="s">
        <v>60</v>
      </c>
      <c r="F11" s="92">
        <f>(21.9%+18.67%)/2</f>
        <v>0.20284999999999997</v>
      </c>
      <c r="H11" s="15" t="s">
        <v>61</v>
      </c>
      <c r="I11" s="16"/>
      <c r="J11" s="16"/>
      <c r="K11" s="13">
        <f>NPV(Discount_Rate,K58:O58)</f>
        <v>46754.527043038317</v>
      </c>
      <c r="L11" s="104"/>
      <c r="M11" s="15" t="s">
        <v>61</v>
      </c>
      <c r="N11" s="16"/>
      <c r="O11" s="16"/>
      <c r="P11" s="98">
        <f>NPV(Discount_Rate,K58:O58)</f>
        <v>46754.527043038317</v>
      </c>
      <c r="Q11" s="103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</row>
    <row r="12" spans="2:34" x14ac:dyDescent="0.2">
      <c r="C12" s="4" t="s">
        <v>62</v>
      </c>
      <c r="D12" s="4"/>
      <c r="E12" s="4"/>
      <c r="F12" s="109">
        <f>WACC!L42</f>
        <v>7.6266209888905881E-2</v>
      </c>
      <c r="G12" s="4"/>
      <c r="H12" s="11" t="s">
        <v>63</v>
      </c>
      <c r="I12" s="4"/>
      <c r="J12" s="4"/>
      <c r="K12" s="17">
        <f>SUM(K10:K11)</f>
        <v>146744.42850293827</v>
      </c>
      <c r="L12" s="104"/>
      <c r="M12" s="11" t="s">
        <v>63</v>
      </c>
      <c r="N12" s="4"/>
      <c r="O12" s="4"/>
      <c r="P12" s="99">
        <f>SUM(P10:P11)</f>
        <v>199999.02449974741</v>
      </c>
      <c r="Q12" s="103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</row>
    <row r="13" spans="2:34" x14ac:dyDescent="0.2">
      <c r="C13" s="4"/>
      <c r="D13" s="4"/>
      <c r="I13" s="4"/>
      <c r="J13" s="4"/>
      <c r="K13" s="101"/>
      <c r="L13" s="4"/>
      <c r="M13" s="11"/>
      <c r="N13" s="4"/>
      <c r="O13" s="4"/>
      <c r="P13" s="102"/>
      <c r="Q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</row>
    <row r="14" spans="2:34" x14ac:dyDescent="0.2">
      <c r="C14" s="4"/>
      <c r="D14" s="4"/>
      <c r="E14" s="4"/>
      <c r="F14" s="4"/>
      <c r="G14" s="4"/>
      <c r="H14" s="4"/>
      <c r="L14" s="4"/>
      <c r="M14" s="4"/>
      <c r="N14" s="4"/>
      <c r="O14" s="4"/>
      <c r="P14" s="4"/>
      <c r="Q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</row>
    <row r="15" spans="2:34" x14ac:dyDescent="0.2">
      <c r="C15" s="4" t="s">
        <v>64</v>
      </c>
      <c r="D15" s="4"/>
      <c r="E15" s="18"/>
      <c r="F15" s="93">
        <v>6</v>
      </c>
      <c r="G15" s="4"/>
      <c r="H15" s="4" t="s">
        <v>65</v>
      </c>
      <c r="K15" s="19">
        <f>K10/K12</f>
        <v>0.68138806004411856</v>
      </c>
      <c r="L15" s="4"/>
      <c r="M15" s="4" t="s">
        <v>65</v>
      </c>
      <c r="N15" s="4"/>
      <c r="O15" s="4"/>
      <c r="P15" s="100">
        <f>P10/P12</f>
        <v>0.76622622455292344</v>
      </c>
      <c r="Q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</row>
    <row r="16" spans="2:34" x14ac:dyDescent="0.2">
      <c r="C16" s="4" t="s">
        <v>66</v>
      </c>
      <c r="F16" s="20">
        <f>Terminal_Multiple*O61</f>
        <v>144395.83549567047</v>
      </c>
      <c r="G16" s="103"/>
      <c r="L16" s="4"/>
      <c r="M16" s="4"/>
      <c r="N16" s="4"/>
      <c r="O16" s="4"/>
      <c r="P16" s="4"/>
      <c r="Q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</row>
    <row r="17" spans="2:36" x14ac:dyDescent="0.2">
      <c r="C17" s="4" t="s">
        <v>67</v>
      </c>
      <c r="D17" s="4"/>
      <c r="E17" s="18"/>
      <c r="F17" s="21">
        <f>(F16*F12-O58)/(O58+F16)</f>
        <v>-7.6313402422075868E-3</v>
      </c>
      <c r="G17" s="4"/>
      <c r="H17" s="4" t="s">
        <v>68</v>
      </c>
      <c r="I17" s="4"/>
      <c r="J17" s="4"/>
      <c r="K17" s="22">
        <f>'Ford Motor Co | Balance Sheet '!B71+'Ford Motor Co | Balance Sheet '!B64+'Ford Motor Co | Balance Sheet '!B63-'Ford Motor Co | Balance Sheet '!B23</f>
        <v>94899</v>
      </c>
      <c r="L17" s="4"/>
      <c r="M17" s="4" t="s">
        <v>68</v>
      </c>
      <c r="N17" s="4"/>
      <c r="O17" s="4"/>
      <c r="P17" s="22">
        <f>K17</f>
        <v>94899</v>
      </c>
      <c r="Q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</row>
    <row r="18" spans="2:36" x14ac:dyDescent="0.2">
      <c r="C18" s="4"/>
      <c r="D18" s="4"/>
      <c r="E18" s="18"/>
      <c r="F18" s="21"/>
      <c r="G18" s="4"/>
      <c r="H18" s="4"/>
      <c r="I18" s="4"/>
      <c r="J18" s="4"/>
      <c r="K18" s="105"/>
      <c r="L18" s="4"/>
      <c r="M18" s="4"/>
      <c r="N18" s="4"/>
      <c r="O18" s="4"/>
      <c r="P18" s="105"/>
      <c r="Q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</row>
    <row r="19" spans="2:36" x14ac:dyDescent="0.2">
      <c r="F19" s="116"/>
      <c r="G19" s="4"/>
      <c r="H19" s="23" t="s">
        <v>69</v>
      </c>
      <c r="I19" s="4"/>
      <c r="J19" s="4"/>
      <c r="K19" s="24">
        <f>K12-K17</f>
        <v>51845.428502938274</v>
      </c>
      <c r="L19" s="104"/>
      <c r="M19" s="23" t="s">
        <v>69</v>
      </c>
      <c r="N19" s="4"/>
      <c r="O19" s="4"/>
      <c r="P19" s="24">
        <f>P12-P17</f>
        <v>105100.02449974741</v>
      </c>
      <c r="Q19" s="103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</row>
    <row r="20" spans="2:36" x14ac:dyDescent="0.2">
      <c r="C20" s="4" t="s">
        <v>70</v>
      </c>
      <c r="D20" s="4"/>
      <c r="E20" s="18"/>
      <c r="F20" s="94">
        <v>0.02</v>
      </c>
      <c r="G20" s="11"/>
      <c r="H20" s="4" t="s">
        <v>71</v>
      </c>
      <c r="I20" s="4"/>
      <c r="J20" s="4"/>
      <c r="K20" s="25">
        <f>4002954437/1000000</f>
        <v>4002.9544369999999</v>
      </c>
      <c r="L20" s="4"/>
      <c r="M20" s="4" t="s">
        <v>71</v>
      </c>
      <c r="O20" s="4"/>
      <c r="P20" s="88">
        <f>Diluted_Shares</f>
        <v>4002.9544369999999</v>
      </c>
      <c r="Q20" s="4"/>
      <c r="S20" s="4"/>
      <c r="T20" s="4"/>
      <c r="U20" s="4"/>
      <c r="V20" s="11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</row>
    <row r="21" spans="2:36" x14ac:dyDescent="0.2">
      <c r="C21" s="4" t="s">
        <v>66</v>
      </c>
      <c r="D21" s="4"/>
      <c r="E21" s="4"/>
      <c r="F21" s="26">
        <f>O58*(1+Terminal_Growth_Rate)/(Discount_Rate-Terminal_Growth_Rate)</f>
        <v>221301.02062606628</v>
      </c>
      <c r="G21" s="103"/>
      <c r="H21" s="4"/>
      <c r="I21" s="4"/>
      <c r="J21" s="4"/>
      <c r="K21" s="4"/>
      <c r="L21" s="4"/>
      <c r="M21" s="4"/>
      <c r="N21" s="4"/>
      <c r="O21" s="4"/>
      <c r="P21" s="4"/>
      <c r="Q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</row>
    <row r="22" spans="2:36" x14ac:dyDescent="0.2">
      <c r="C22" s="4" t="s">
        <v>72</v>
      </c>
      <c r="F22" s="27">
        <f>F21/O61</f>
        <v>9.1955984686013341</v>
      </c>
      <c r="G22" s="4"/>
      <c r="H22" s="28" t="s">
        <v>73</v>
      </c>
      <c r="I22" s="29"/>
      <c r="J22" s="29"/>
      <c r="K22" s="30">
        <f>K19/K20</f>
        <v>12.951790813235847</v>
      </c>
      <c r="L22" s="104"/>
      <c r="M22" s="28" t="s">
        <v>73</v>
      </c>
      <c r="N22" s="87"/>
      <c r="O22" s="87"/>
      <c r="P22" s="30">
        <f>P19/P20</f>
        <v>26.255613485951702</v>
      </c>
      <c r="Q22" s="103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</row>
    <row r="23" spans="2:36" x14ac:dyDescent="0.2">
      <c r="G23" s="4"/>
      <c r="H23" s="29" t="s">
        <v>74</v>
      </c>
      <c r="I23" s="29"/>
      <c r="J23" s="29"/>
      <c r="K23" s="19">
        <f>K22/Share_Price-1</f>
        <v>0.28873540430207423</v>
      </c>
      <c r="L23" s="104"/>
      <c r="M23" s="29" t="s">
        <v>74</v>
      </c>
      <c r="N23" s="87"/>
      <c r="O23" s="87"/>
      <c r="P23" s="19">
        <f>P22/Share_Price-1</f>
        <v>1.6124988543235523</v>
      </c>
      <c r="Q23" s="103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</row>
    <row r="24" spans="2:36" x14ac:dyDescent="0.2"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S24" s="4"/>
      <c r="T24" s="4"/>
      <c r="U24" s="4"/>
      <c r="V24" s="4"/>
      <c r="W24" s="4"/>
      <c r="Y24" s="4"/>
      <c r="Z24" s="4"/>
      <c r="AA24" s="4"/>
      <c r="AB24" s="4"/>
      <c r="AC24" s="4"/>
      <c r="AD24" s="4"/>
      <c r="AE24" s="4"/>
      <c r="AF24" s="4"/>
      <c r="AG24" s="4"/>
      <c r="AH24" s="4"/>
    </row>
    <row r="25" spans="2:36" outlineLevel="1" x14ac:dyDescent="0.2">
      <c r="C25" s="4"/>
      <c r="D25" s="4"/>
      <c r="E25" s="4"/>
      <c r="F25" s="4"/>
      <c r="G25" s="4"/>
      <c r="H25" s="4"/>
      <c r="I25" s="31">
        <v>1</v>
      </c>
      <c r="J25" s="32">
        <f>+I25+1</f>
        <v>2</v>
      </c>
      <c r="K25" s="32">
        <f>+J25+1</f>
        <v>3</v>
      </c>
      <c r="L25" s="32">
        <f>+K25+1</f>
        <v>4</v>
      </c>
      <c r="M25" s="32">
        <f>+L25+1</f>
        <v>5</v>
      </c>
      <c r="N25" s="4"/>
      <c r="O25" s="4"/>
      <c r="P25" s="4"/>
      <c r="Q25" s="4"/>
      <c r="S25" s="4"/>
      <c r="T25" s="4"/>
      <c r="U25" s="4"/>
      <c r="V25" s="4"/>
      <c r="Y25" s="4"/>
      <c r="Z25" s="4"/>
      <c r="AA25" s="4"/>
      <c r="AB25" s="4"/>
      <c r="AC25" s="4"/>
      <c r="AD25" s="4"/>
      <c r="AE25" s="4"/>
      <c r="AF25" s="4"/>
      <c r="AG25" s="4"/>
      <c r="AH25" s="4"/>
    </row>
    <row r="26" spans="2:36" x14ac:dyDescent="0.2">
      <c r="B26" s="33"/>
      <c r="C26" s="33"/>
      <c r="D26" s="33"/>
      <c r="E26" s="33"/>
      <c r="F26" s="39"/>
      <c r="G26" s="39"/>
      <c r="H26" s="34" t="s">
        <v>75</v>
      </c>
      <c r="I26" s="35"/>
      <c r="J26" s="36"/>
      <c r="K26" s="37" t="s">
        <v>76</v>
      </c>
      <c r="L26" s="38"/>
      <c r="M26" s="38"/>
      <c r="N26" s="38"/>
      <c r="O26" s="38"/>
      <c r="P26" s="38"/>
      <c r="Q26" s="4"/>
      <c r="R26" s="4"/>
      <c r="S26" s="4"/>
      <c r="T26"/>
      <c r="U26" s="4"/>
      <c r="V26" s="84"/>
      <c r="W26" s="84"/>
      <c r="X26" s="4"/>
      <c r="Y26" s="4"/>
      <c r="AA26" s="4"/>
      <c r="AB26" s="4"/>
      <c r="AC26" s="4"/>
      <c r="AD26" s="4"/>
      <c r="AE26" s="4"/>
      <c r="AF26" s="4"/>
      <c r="AG26" s="4"/>
      <c r="AH26" s="4"/>
      <c r="AI26" s="4"/>
      <c r="AJ26" s="4"/>
    </row>
    <row r="27" spans="2:36" x14ac:dyDescent="0.2">
      <c r="B27" s="39" t="str">
        <f>Company_Name&amp;" - FCF Projections:"</f>
        <v>Ford Motor Company - FCF Projections:</v>
      </c>
      <c r="C27" s="39"/>
      <c r="D27" s="39"/>
      <c r="E27" s="39"/>
      <c r="F27" s="40">
        <f>G27-1</f>
        <v>2018</v>
      </c>
      <c r="G27" s="40">
        <f>H27-1</f>
        <v>2019</v>
      </c>
      <c r="H27" s="40">
        <f>I27-1</f>
        <v>2020</v>
      </c>
      <c r="I27" s="40">
        <f>J27-1</f>
        <v>2021</v>
      </c>
      <c r="J27" s="77">
        <v>2022</v>
      </c>
      <c r="K27" s="41">
        <f>J27+1</f>
        <v>2023</v>
      </c>
      <c r="L27" s="41">
        <f>K27+1</f>
        <v>2024</v>
      </c>
      <c r="M27" s="41">
        <f>L27+1</f>
        <v>2025</v>
      </c>
      <c r="N27" s="41">
        <f>M27+1</f>
        <v>2026</v>
      </c>
      <c r="O27" s="41">
        <f>N27+1</f>
        <v>2027</v>
      </c>
      <c r="P27" s="38" t="s">
        <v>77</v>
      </c>
      <c r="Q27" s="4"/>
      <c r="R27" s="4"/>
      <c r="S27" s="11"/>
      <c r="T27"/>
      <c r="U27" s="4"/>
      <c r="V27" s="84"/>
      <c r="W27" s="84"/>
      <c r="X27" s="4"/>
      <c r="Y27" s="4"/>
      <c r="AA27" s="4"/>
      <c r="AB27" s="4"/>
      <c r="AC27" s="4"/>
      <c r="AD27" s="4"/>
      <c r="AE27" s="4"/>
      <c r="AF27" s="4"/>
      <c r="AG27" s="4"/>
      <c r="AH27" s="4"/>
      <c r="AI27" s="4"/>
      <c r="AJ27" s="4"/>
    </row>
    <row r="28" spans="2:36" x14ac:dyDescent="0.2">
      <c r="C28" s="4"/>
      <c r="D28" s="4"/>
      <c r="E28" s="4"/>
      <c r="F28" s="4"/>
      <c r="G28" s="4"/>
      <c r="H28" s="4"/>
      <c r="I28" s="4"/>
      <c r="J28" s="4"/>
      <c r="K28" s="11"/>
      <c r="L28" s="11"/>
      <c r="M28" s="11"/>
      <c r="N28" s="11"/>
      <c r="O28" s="11"/>
      <c r="P28" s="11"/>
      <c r="Q28" s="4"/>
      <c r="R28" s="4"/>
      <c r="S28" s="4"/>
      <c r="T28"/>
      <c r="U28" s="4"/>
      <c r="V28" s="84"/>
      <c r="W28" s="84"/>
      <c r="X28" s="4"/>
      <c r="Y28" s="4"/>
      <c r="AA28" s="4"/>
      <c r="AB28" s="4"/>
      <c r="AC28" s="4"/>
      <c r="AD28" s="4"/>
      <c r="AE28" s="4"/>
      <c r="AF28" s="4"/>
      <c r="AG28" s="4"/>
      <c r="AH28" s="4"/>
      <c r="AI28" s="4"/>
      <c r="AJ28" s="4"/>
    </row>
    <row r="29" spans="2:36" x14ac:dyDescent="0.2">
      <c r="C29" s="11" t="s">
        <v>78</v>
      </c>
      <c r="D29" s="4"/>
      <c r="E29" s="4"/>
      <c r="F29" s="42">
        <f>'Ford Motor Co | Income Statemen'!G23</f>
        <v>160338</v>
      </c>
      <c r="G29" s="42">
        <f>'Ford Motor Co | Income Statemen'!F23</f>
        <v>155900</v>
      </c>
      <c r="H29" s="42">
        <f>'Ford Motor Co | Income Statemen'!E23</f>
        <v>127144</v>
      </c>
      <c r="I29" s="42">
        <f>'Ford Motor Co | Income Statemen'!D23</f>
        <v>136341</v>
      </c>
      <c r="J29" s="42">
        <f>'Ford Motor Co | Income Statemen'!C23</f>
        <v>158057</v>
      </c>
      <c r="K29" s="18">
        <f>J29*(1+K30)</f>
        <v>171692.36786740011</v>
      </c>
      <c r="L29" s="18">
        <f>K29*(1+L30)</f>
        <v>181572.58157629651</v>
      </c>
      <c r="M29" s="18">
        <f>L29*(1+M30)</f>
        <v>183226.70779445657</v>
      </c>
      <c r="N29" s="18">
        <f>M29*(1+N30)</f>
        <v>191513.63410309053</v>
      </c>
      <c r="O29" s="18">
        <f>N29*(1+O30)</f>
        <v>194718.57561809832</v>
      </c>
      <c r="P29" s="43"/>
      <c r="Q29" s="75"/>
      <c r="R29" s="4"/>
      <c r="S29" s="4"/>
      <c r="T29"/>
      <c r="U29" s="4"/>
      <c r="V29" s="84"/>
      <c r="W29" s="84"/>
      <c r="X29" s="4"/>
      <c r="Y29" s="4"/>
      <c r="AA29" s="4"/>
      <c r="AB29" s="4"/>
      <c r="AC29" s="4"/>
      <c r="AD29" s="4"/>
      <c r="AE29" s="4"/>
      <c r="AF29" s="4"/>
      <c r="AG29" s="4"/>
      <c r="AH29" s="4"/>
      <c r="AI29" s="4"/>
      <c r="AJ29" s="4"/>
    </row>
    <row r="30" spans="2:36" x14ac:dyDescent="0.2">
      <c r="C30" s="57" t="s">
        <v>79</v>
      </c>
      <c r="D30" s="4"/>
      <c r="E30" s="4"/>
      <c r="F30" s="44">
        <f>F29/156776-1</f>
        <v>2.2720314333826597E-2</v>
      </c>
      <c r="G30" s="44">
        <f>G29/F29-1</f>
        <v>-2.767902805323752E-2</v>
      </c>
      <c r="H30" s="44">
        <f>H29/G29-1</f>
        <v>-0.1844515715202053</v>
      </c>
      <c r="I30" s="44">
        <f>+I29/H29-1</f>
        <v>7.2335304851192328E-2</v>
      </c>
      <c r="J30" s="44">
        <f>+J29/I29-1</f>
        <v>0.15927710666637318</v>
      </c>
      <c r="K30" s="14">
        <v>8.6268674385823599E-2</v>
      </c>
      <c r="L30" s="14">
        <v>5.7546027418801701E-2</v>
      </c>
      <c r="M30" s="14">
        <v>9.11E-3</v>
      </c>
      <c r="N30" s="14">
        <v>4.5227720392870999E-2</v>
      </c>
      <c r="O30" s="14">
        <v>1.6734795566996502E-2</v>
      </c>
      <c r="P30" s="43"/>
      <c r="Q30" s="261"/>
      <c r="R30" s="4"/>
      <c r="S30" s="11"/>
      <c r="T30"/>
      <c r="U30" s="4"/>
      <c r="V30" s="85"/>
      <c r="W30" s="86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</row>
    <row r="31" spans="2:36" x14ac:dyDescent="0.2">
      <c r="C31" s="11" t="s">
        <v>80</v>
      </c>
      <c r="D31" s="4"/>
      <c r="E31" s="4"/>
      <c r="F31" s="45">
        <f>'Ford Motor Co | Income Statemen'!G40</f>
        <v>3203</v>
      </c>
      <c r="G31" s="45">
        <f>'Ford Motor Co | Income Statemen'!F40</f>
        <v>519</v>
      </c>
      <c r="H31" s="45">
        <f>'Ford Motor Co | Income Statemen'!E40</f>
        <v>-4409</v>
      </c>
      <c r="I31" s="45">
        <f>'Ford Motor Co | Income Statemen'!D40</f>
        <v>2821</v>
      </c>
      <c r="J31" s="45">
        <f>'Ford Motor Co | Income Statemen'!C40</f>
        <v>6155</v>
      </c>
      <c r="K31" s="46">
        <f>J31*(1+K33)</f>
        <v>12539.315679644704</v>
      </c>
      <c r="L31" s="46">
        <f t="shared" ref="L31:O31" si="0">K31*(1+L33)</f>
        <v>14854.097394341719</v>
      </c>
      <c r="M31" s="46">
        <f t="shared" si="0"/>
        <v>15096.229000218933</v>
      </c>
      <c r="N31" s="46">
        <f t="shared" si="0"/>
        <v>15977.244480502959</v>
      </c>
      <c r="O31" s="46">
        <f t="shared" si="0"/>
        <v>16005.972582611746</v>
      </c>
      <c r="P31" s="43"/>
      <c r="Q31" s="75"/>
      <c r="R31" s="4"/>
      <c r="S31" s="4"/>
      <c r="T31"/>
      <c r="U31" s="4"/>
      <c r="V31" s="84"/>
      <c r="W31" s="8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</row>
    <row r="32" spans="2:36" x14ac:dyDescent="0.2">
      <c r="C32" s="57" t="s">
        <v>81</v>
      </c>
      <c r="D32" s="4"/>
      <c r="E32" s="4"/>
      <c r="F32" s="44">
        <f>+F31/F29</f>
        <v>1.9976549539098654E-2</v>
      </c>
      <c r="G32" s="44">
        <f>+G31/G29</f>
        <v>3.3290570878768441E-3</v>
      </c>
      <c r="H32" s="44">
        <f>+H31/H29</f>
        <v>-3.4677216384571823E-2</v>
      </c>
      <c r="I32" s="44">
        <f>+I31/I29</f>
        <v>2.069076800082147E-2</v>
      </c>
      <c r="J32" s="44">
        <f>+J31/J29</f>
        <v>3.8941647633448692E-2</v>
      </c>
      <c r="K32" s="14">
        <f t="shared" ref="K32:L32" si="1">+K31/K29</f>
        <v>7.3033623074783116E-2</v>
      </c>
      <c r="L32" s="14">
        <f t="shared" si="1"/>
        <v>8.1808042080957308E-2</v>
      </c>
      <c r="M32" s="14">
        <f>+M31/M29</f>
        <v>8.2390985364174413E-2</v>
      </c>
      <c r="N32" s="14">
        <f t="shared" ref="N32" si="2">+N31/N29</f>
        <v>8.3426146422048014E-2</v>
      </c>
      <c r="O32" s="14">
        <f t="shared" ref="O32" si="3">+O31/O29</f>
        <v>8.2200542664220555E-2</v>
      </c>
      <c r="P32" s="47"/>
      <c r="Q32" s="75"/>
      <c r="R32" s="4"/>
      <c r="S32" s="4"/>
      <c r="T32"/>
      <c r="U32" s="4"/>
      <c r="V32" s="85"/>
      <c r="W32" s="86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</row>
    <row r="33" spans="3:36" x14ac:dyDescent="0.2">
      <c r="C33" s="57" t="s">
        <v>82</v>
      </c>
      <c r="D33" s="4"/>
      <c r="E33" s="4"/>
      <c r="F33" s="44">
        <f>IFERROR(F31/4881-1, "N/A")</f>
        <v>-0.34378201188281088</v>
      </c>
      <c r="G33" s="44">
        <f>IFERROR(G31/F31-1, "N/A")</f>
        <v>-0.8379644083671558</v>
      </c>
      <c r="H33" s="44">
        <f>IFERROR(H31/G31-1, "N/A")</f>
        <v>-9.4951830443159917</v>
      </c>
      <c r="I33" s="44">
        <f>IFERROR(I31/H31-1, "N/A")</f>
        <v>-1.6398276253118622</v>
      </c>
      <c r="J33" s="44">
        <f>IFERROR(J31/I31-1, "N/A")</f>
        <v>1.1818504076568592</v>
      </c>
      <c r="K33" s="44">
        <v>1.0372568122899599</v>
      </c>
      <c r="L33" s="44">
        <v>0.18460191718872199</v>
      </c>
      <c r="M33" s="44">
        <v>1.63006609859341E-2</v>
      </c>
      <c r="N33" s="44">
        <v>5.8359970577503001E-2</v>
      </c>
      <c r="O33" s="44">
        <v>1.7980636237897598E-3</v>
      </c>
      <c r="P33" s="47"/>
      <c r="Q33" s="75"/>
      <c r="R33" s="4"/>
      <c r="S33" s="4"/>
      <c r="T33"/>
      <c r="U33" s="4"/>
      <c r="V33" s="85"/>
      <c r="W33" s="86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</row>
    <row r="34" spans="3:36" x14ac:dyDescent="0.2">
      <c r="C34" s="11"/>
      <c r="D34" s="4"/>
      <c r="E34" s="4"/>
      <c r="F34" s="4"/>
      <c r="G34" s="4"/>
      <c r="H34" s="4"/>
      <c r="I34" s="4"/>
      <c r="J34" s="21"/>
      <c r="K34" s="48"/>
      <c r="L34" s="48"/>
      <c r="M34" s="48"/>
      <c r="N34" s="48"/>
      <c r="O34" s="48"/>
      <c r="P34" s="48"/>
      <c r="Q34" s="75"/>
      <c r="R34" s="4"/>
      <c r="S34" s="11"/>
      <c r="T34"/>
      <c r="U34" s="4"/>
      <c r="V34" s="84"/>
      <c r="W34" s="8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</row>
    <row r="35" spans="3:36" x14ac:dyDescent="0.2">
      <c r="C35" s="4" t="s">
        <v>83</v>
      </c>
      <c r="D35" s="4"/>
      <c r="E35" s="4"/>
      <c r="F35" s="49">
        <f t="shared" ref="F35:O35" si="4">-F31*Tax_Rate</f>
        <v>-649.72854999999993</v>
      </c>
      <c r="G35" s="49">
        <f t="shared" si="4"/>
        <v>-105.27914999999999</v>
      </c>
      <c r="H35" s="49">
        <f t="shared" si="4"/>
        <v>894.36564999999985</v>
      </c>
      <c r="I35" s="49">
        <f t="shared" si="4"/>
        <v>-572.23984999999993</v>
      </c>
      <c r="J35" s="49">
        <f t="shared" si="4"/>
        <v>-1248.5417499999999</v>
      </c>
      <c r="K35" s="49">
        <f t="shared" si="4"/>
        <v>-2543.6001856159278</v>
      </c>
      <c r="L35" s="49">
        <f t="shared" si="4"/>
        <v>-3013.1536564422172</v>
      </c>
      <c r="M35" s="49">
        <f t="shared" si="4"/>
        <v>-3062.27005269441</v>
      </c>
      <c r="N35" s="49">
        <f t="shared" si="4"/>
        <v>-3240.984042870025</v>
      </c>
      <c r="O35" s="49">
        <f t="shared" si="4"/>
        <v>-3246.8115383827922</v>
      </c>
      <c r="P35" s="50"/>
      <c r="Q35" s="75"/>
      <c r="R35" s="4"/>
      <c r="S35" s="4"/>
      <c r="T35"/>
      <c r="U35" s="4"/>
      <c r="V35" s="84"/>
      <c r="W35" s="8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</row>
    <row r="36" spans="3:36" x14ac:dyDescent="0.2">
      <c r="C36" s="11"/>
      <c r="D36" s="4"/>
      <c r="E36" s="4"/>
      <c r="F36" s="4"/>
      <c r="G36" s="4"/>
      <c r="H36" s="48"/>
      <c r="I36" s="48"/>
      <c r="J36" s="48"/>
      <c r="K36" s="48"/>
      <c r="L36" s="48"/>
      <c r="M36" s="48"/>
      <c r="N36" s="48"/>
      <c r="O36" s="48"/>
      <c r="P36" s="50"/>
      <c r="Q36" s="75"/>
      <c r="R36" s="4"/>
      <c r="S36" s="4"/>
      <c r="T36"/>
      <c r="U36" s="4"/>
      <c r="V36" s="84"/>
      <c r="W36" s="84"/>
      <c r="X36" s="11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</row>
    <row r="37" spans="3:36" x14ac:dyDescent="0.2">
      <c r="C37" s="11" t="s">
        <v>84</v>
      </c>
      <c r="D37" s="4"/>
      <c r="E37" s="4"/>
      <c r="F37" s="46">
        <f>+F31+F35</f>
        <v>2553.2714500000002</v>
      </c>
      <c r="G37" s="46">
        <f>+G31+G35</f>
        <v>413.72085000000004</v>
      </c>
      <c r="H37" s="46">
        <f>+H31+H35</f>
        <v>-3514.6343500000003</v>
      </c>
      <c r="I37" s="46">
        <f t="shared" ref="I37:O37" si="5">+I31+I35</f>
        <v>2248.7601500000001</v>
      </c>
      <c r="J37" s="46">
        <f t="shared" si="5"/>
        <v>4906.4582499999997</v>
      </c>
      <c r="K37" s="46">
        <f t="shared" si="5"/>
        <v>9995.7154940287764</v>
      </c>
      <c r="L37" s="46">
        <f t="shared" si="5"/>
        <v>11840.943737899503</v>
      </c>
      <c r="M37" s="46">
        <f t="shared" si="5"/>
        <v>12033.958947524523</v>
      </c>
      <c r="N37" s="46">
        <f t="shared" si="5"/>
        <v>12736.260437632935</v>
      </c>
      <c r="O37" s="46">
        <f t="shared" si="5"/>
        <v>12759.161044228955</v>
      </c>
      <c r="P37" s="43"/>
      <c r="Q37" s="75"/>
      <c r="R37" s="4"/>
      <c r="S37" s="11"/>
      <c r="T37"/>
      <c r="U37" s="4"/>
      <c r="V37" s="84"/>
      <c r="W37" s="8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</row>
    <row r="38" spans="3:36" x14ac:dyDescent="0.2">
      <c r="C38" s="11"/>
      <c r="D38" s="4"/>
      <c r="E38" s="4"/>
      <c r="F38" s="4"/>
      <c r="G38" s="4"/>
      <c r="H38" s="48"/>
      <c r="I38" s="48"/>
      <c r="J38" s="48"/>
      <c r="K38" s="48"/>
      <c r="L38" s="48"/>
      <c r="M38" s="48"/>
      <c r="N38" s="48"/>
      <c r="O38" s="48"/>
      <c r="P38" s="50"/>
      <c r="Q38" s="75"/>
      <c r="R38" s="4"/>
      <c r="S38" s="4"/>
      <c r="T38"/>
      <c r="U38" s="4"/>
      <c r="V38" s="84"/>
      <c r="W38" s="8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</row>
    <row r="39" spans="3:36" x14ac:dyDescent="0.2">
      <c r="C39" s="11" t="s">
        <v>85</v>
      </c>
      <c r="D39" s="4"/>
      <c r="E39" s="4"/>
      <c r="F39" s="4"/>
      <c r="G39" s="4"/>
      <c r="H39" s="48"/>
      <c r="I39" s="48"/>
      <c r="J39" s="48"/>
      <c r="K39" s="48"/>
      <c r="L39" s="48"/>
      <c r="M39" s="48"/>
      <c r="N39" s="48"/>
      <c r="O39" s="48"/>
      <c r="P39" s="50"/>
      <c r="Q39" s="75"/>
      <c r="R39" s="4"/>
      <c r="S39" s="4"/>
      <c r="T39"/>
      <c r="U39" s="4"/>
      <c r="V39" s="84"/>
      <c r="W39" s="8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</row>
    <row r="40" spans="3:36" x14ac:dyDescent="0.2">
      <c r="C40" s="12" t="s">
        <v>86</v>
      </c>
      <c r="D40" s="4"/>
      <c r="E40" s="4"/>
      <c r="F40" s="51">
        <f>'Ford Motor Co | Cash Flow '!F25</f>
        <v>9280</v>
      </c>
      <c r="G40" s="51">
        <f>'Ford Motor Co | Cash Flow '!E25</f>
        <v>9689</v>
      </c>
      <c r="H40" s="51">
        <f>'Ford Motor Co | Cash Flow '!D25</f>
        <v>8751</v>
      </c>
      <c r="I40" s="51">
        <f>'Ford Motor Co | Cash Flow '!C25</f>
        <v>7318</v>
      </c>
      <c r="J40" s="51">
        <f>'Ford Motor Co | Cash Flow '!B25</f>
        <v>7642</v>
      </c>
      <c r="K40" s="49">
        <v>6317.8043699999998</v>
      </c>
      <c r="L40" s="49">
        <v>7735.6109299999998</v>
      </c>
      <c r="M40" s="49">
        <v>7450.1598899999999</v>
      </c>
      <c r="N40" s="49">
        <v>7814</v>
      </c>
      <c r="O40" s="49">
        <v>8060</v>
      </c>
      <c r="P40" s="50"/>
      <c r="Q40" s="75"/>
      <c r="R40" s="4"/>
      <c r="S40" s="4"/>
      <c r="T40"/>
      <c r="U40" s="4"/>
      <c r="V40" s="84"/>
      <c r="W40" s="8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</row>
    <row r="41" spans="3:36" x14ac:dyDescent="0.2">
      <c r="C41" s="52" t="s">
        <v>87</v>
      </c>
      <c r="D41" s="4"/>
      <c r="E41" s="21"/>
      <c r="F41" s="44">
        <f>+F40/F29</f>
        <v>5.7877733288428199E-2</v>
      </c>
      <c r="G41" s="44">
        <f>+G40/G29</f>
        <v>6.2148813341885822E-2</v>
      </c>
      <c r="H41" s="44">
        <f>+H40/H29</f>
        <v>6.88274712137419E-2</v>
      </c>
      <c r="I41" s="44">
        <f>+I40/I29</f>
        <v>5.367424325771411E-2</v>
      </c>
      <c r="J41" s="44">
        <f>+J40/J29</f>
        <v>4.8349646013779841E-2</v>
      </c>
      <c r="K41" s="14">
        <f>AVERAGE(H41:J41)</f>
        <v>5.6950453495078622E-2</v>
      </c>
      <c r="L41" s="14">
        <f t="shared" ref="L41:O41" si="6">AVERAGE(I41:K41)</f>
        <v>5.2991447588857522E-2</v>
      </c>
      <c r="M41" s="14">
        <f t="shared" si="6"/>
        <v>5.2763849032571995E-2</v>
      </c>
      <c r="N41" s="14">
        <f t="shared" si="6"/>
        <v>5.4235250038836051E-2</v>
      </c>
      <c r="O41" s="14">
        <f t="shared" si="6"/>
        <v>5.3330182220088528E-2</v>
      </c>
      <c r="P41" s="50"/>
      <c r="Q41" s="75"/>
      <c r="R41" s="4"/>
      <c r="S41" s="4"/>
      <c r="T41"/>
      <c r="U41" s="4"/>
      <c r="V41" s="85"/>
      <c r="W41" s="86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</row>
    <row r="42" spans="3:36" x14ac:dyDescent="0.2">
      <c r="C42" s="12" t="s">
        <v>88</v>
      </c>
      <c r="D42" s="4"/>
      <c r="E42" s="4"/>
      <c r="F42" s="51">
        <f>'Ford Motor Co | Cash Flow '!F27</f>
        <v>-197</v>
      </c>
      <c r="G42" s="51">
        <f>'Ford Motor Co | Cash Flow '!E27</f>
        <v>-1370</v>
      </c>
      <c r="H42" s="51">
        <f>'Ford Motor Co | Cash Flow '!D27</f>
        <v>-269</v>
      </c>
      <c r="I42" s="51">
        <f>'Ford Motor Co | Cash Flow '!C27</f>
        <v>-563</v>
      </c>
      <c r="J42" s="51">
        <f>'Ford Motor Co | Cash Flow '!B27</f>
        <v>-1910</v>
      </c>
      <c r="K42" s="49">
        <f>-K43*K35</f>
        <v>127.1800092807964</v>
      </c>
      <c r="L42" s="49">
        <f>-L43*L35</f>
        <v>150.65768282211087</v>
      </c>
      <c r="M42" s="49">
        <f>-M43*M35</f>
        <v>153.1135026347205</v>
      </c>
      <c r="N42" s="49">
        <f>-N43*N35</f>
        <v>162.04920214350125</v>
      </c>
      <c r="O42" s="49">
        <f>-O43*O35</f>
        <v>162.34057691913961</v>
      </c>
      <c r="P42" s="110"/>
      <c r="Q42" s="75"/>
      <c r="R42" s="4"/>
      <c r="S42" s="4"/>
      <c r="T42"/>
      <c r="U42" s="4"/>
      <c r="V42" s="84"/>
      <c r="W42" s="8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</row>
    <row r="43" spans="3:36" x14ac:dyDescent="0.2">
      <c r="C43" s="52" t="s">
        <v>89</v>
      </c>
      <c r="D43" s="4"/>
      <c r="E43" s="4"/>
      <c r="F43" s="44">
        <f>+F42/'Ford Motor Co | Income Statemen'!G51</f>
        <v>-0.25485122897800777</v>
      </c>
      <c r="G43" s="44">
        <f>+G42/'Ford Motor Co | Income Statemen'!F51</f>
        <v>1.6727716727716728</v>
      </c>
      <c r="H43" s="44">
        <f>+H42/'Ford Motor Co | Income Statemen'!E51</f>
        <v>-1.6812499999999999</v>
      </c>
      <c r="I43" s="44">
        <f>+I42/'Ford Motor Co | Income Statemen'!D51</f>
        <v>4.3307692307692305</v>
      </c>
      <c r="J43" s="44">
        <f>+J42/'Ford Motor Co | Income Statemen'!C51</f>
        <v>2.2106481481481484</v>
      </c>
      <c r="K43" s="14">
        <v>0.05</v>
      </c>
      <c r="L43" s="14">
        <v>0.05</v>
      </c>
      <c r="M43" s="14">
        <v>0.05</v>
      </c>
      <c r="N43" s="14">
        <v>0.05</v>
      </c>
      <c r="O43" s="14">
        <v>0.05</v>
      </c>
      <c r="P43" s="110"/>
      <c r="Q43" s="75"/>
      <c r="R43" s="4"/>
      <c r="S43" s="4"/>
      <c r="T43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</row>
    <row r="44" spans="3:36" x14ac:dyDescent="0.2">
      <c r="C44" s="53" t="s">
        <v>90</v>
      </c>
      <c r="D44" s="54"/>
      <c r="E44" s="54"/>
      <c r="F44" s="54"/>
      <c r="G44" s="54"/>
      <c r="H44" s="55">
        <f>+H42+H40</f>
        <v>8482</v>
      </c>
      <c r="I44" s="55">
        <f t="shared" ref="I44:O44" si="7">+I42+I40</f>
        <v>6755</v>
      </c>
      <c r="J44" s="55">
        <f t="shared" si="7"/>
        <v>5732</v>
      </c>
      <c r="K44" s="55">
        <f t="shared" si="7"/>
        <v>6444.984379280796</v>
      </c>
      <c r="L44" s="55">
        <f t="shared" si="7"/>
        <v>7886.2686128221103</v>
      </c>
      <c r="M44" s="55">
        <f t="shared" si="7"/>
        <v>7603.27339263472</v>
      </c>
      <c r="N44" s="55">
        <f t="shared" si="7"/>
        <v>7976.0492021435011</v>
      </c>
      <c r="O44" s="55">
        <f t="shared" si="7"/>
        <v>8222.3405769191395</v>
      </c>
      <c r="P44" s="50"/>
      <c r="Q44" s="75"/>
      <c r="R44" s="4"/>
      <c r="S44" s="4"/>
      <c r="T44"/>
      <c r="U44" s="4"/>
      <c r="V44" s="4"/>
      <c r="W44" s="4"/>
      <c r="X44" s="4"/>
    </row>
    <row r="45" spans="3:36" x14ac:dyDescent="0.2">
      <c r="C45" s="12"/>
      <c r="D45" s="4"/>
      <c r="E45" s="4"/>
      <c r="F45" s="4"/>
      <c r="G45" s="4"/>
      <c r="H45" s="56"/>
      <c r="I45" s="56"/>
      <c r="J45" s="56"/>
      <c r="K45" s="56"/>
      <c r="L45" s="48"/>
      <c r="M45" s="48"/>
      <c r="N45" s="48"/>
      <c r="O45" s="48"/>
      <c r="P45" s="50"/>
      <c r="Q45" s="75"/>
      <c r="R45" s="4"/>
      <c r="S45" s="4"/>
      <c r="T45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</row>
    <row r="46" spans="3:36" x14ac:dyDescent="0.2">
      <c r="C46" s="11" t="s">
        <v>91</v>
      </c>
      <c r="D46" s="4"/>
      <c r="E46" s="4"/>
      <c r="F46" s="4"/>
      <c r="G46" s="4"/>
      <c r="H46" s="56"/>
      <c r="I46" s="56"/>
      <c r="J46" s="56"/>
      <c r="K46" s="56"/>
      <c r="L46" s="48"/>
      <c r="M46" s="48"/>
      <c r="N46" s="48"/>
      <c r="O46" s="48"/>
      <c r="P46" s="50"/>
      <c r="Q46" s="75"/>
      <c r="R46" s="4"/>
      <c r="S46" s="4"/>
      <c r="T46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</row>
    <row r="47" spans="3:36" x14ac:dyDescent="0.2">
      <c r="C47" s="12" t="s">
        <v>92</v>
      </c>
      <c r="D47" s="4"/>
      <c r="E47" s="4"/>
      <c r="F47" s="51">
        <f>'Ford Motor Co | Cash Flow '!F33</f>
        <v>-2239</v>
      </c>
      <c r="G47" s="51">
        <f>'Ford Motor Co | Cash Flow '!E33</f>
        <v>738</v>
      </c>
      <c r="H47" s="51">
        <f>'Ford Motor Co | Cash Flow '!D33</f>
        <v>12041</v>
      </c>
      <c r="I47" s="51">
        <f>'Ford Motor Co | Cash Flow '!C33</f>
        <v>6515</v>
      </c>
      <c r="J47" s="51">
        <f>'Ford Motor Co | Cash Flow '!B33</f>
        <v>-11743</v>
      </c>
      <c r="K47" s="56"/>
      <c r="L47" s="48"/>
      <c r="M47" s="48"/>
      <c r="N47" s="48"/>
      <c r="O47" s="48"/>
      <c r="P47" s="50"/>
      <c r="Q47" s="75"/>
      <c r="R47" s="4"/>
      <c r="S47" s="4"/>
      <c r="T47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</row>
    <row r="48" spans="3:36" x14ac:dyDescent="0.2">
      <c r="C48" s="12" t="s">
        <v>93</v>
      </c>
      <c r="D48" s="4"/>
      <c r="E48" s="4"/>
      <c r="F48" s="51">
        <f>'Ford Motor Co | Cash Flow '!F34</f>
        <v>-828</v>
      </c>
      <c r="G48" s="51">
        <f>'Ford Motor Co | Cash Flow '!E34</f>
        <v>206</v>
      </c>
      <c r="H48" s="51">
        <f>'Ford Motor Co | Cash Flow '!D34</f>
        <v>148</v>
      </c>
      <c r="I48" s="51">
        <f>'Ford Motor Co | Cash Flow '!C34</f>
        <v>-1778</v>
      </c>
      <c r="J48" s="51">
        <f>'Ford Motor Co | Cash Flow '!B34</f>
        <v>-2576</v>
      </c>
      <c r="K48" s="56"/>
      <c r="L48" s="48"/>
      <c r="M48" s="48"/>
      <c r="N48" s="48"/>
      <c r="O48" s="48"/>
      <c r="P48" s="50"/>
      <c r="Q48" s="75"/>
      <c r="R48" s="4"/>
      <c r="S48" s="4"/>
      <c r="T48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</row>
    <row r="49" spans="1:36" x14ac:dyDescent="0.2">
      <c r="C49" s="12" t="s">
        <v>94</v>
      </c>
      <c r="D49" s="4"/>
      <c r="E49" s="4"/>
      <c r="F49" s="51">
        <f>'Ford Motor Co | Cash Flow '!F35</f>
        <v>6781</v>
      </c>
      <c r="G49" s="51">
        <f>'Ford Motor Co | Cash Flow '!E35</f>
        <v>5260</v>
      </c>
      <c r="H49" s="51">
        <f>'Ford Motor Co | Cash Flow '!D35</f>
        <v>6809</v>
      </c>
      <c r="I49" s="51">
        <f>'Ford Motor Co | Cash Flow '!C35</f>
        <v>-36</v>
      </c>
      <c r="J49" s="51">
        <f>'Ford Motor Co | Cash Flow '!B35</f>
        <v>7268</v>
      </c>
      <c r="K49" s="56"/>
      <c r="L49" s="48"/>
      <c r="M49" s="48"/>
      <c r="N49" s="48"/>
      <c r="O49" s="48"/>
      <c r="P49" s="50"/>
      <c r="Q49" s="75"/>
      <c r="R49" s="4"/>
      <c r="S49" s="4"/>
      <c r="T49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</row>
    <row r="50" spans="1:36" x14ac:dyDescent="0.2">
      <c r="C50" s="12" t="s">
        <v>95</v>
      </c>
      <c r="D50" s="4"/>
      <c r="E50" s="4"/>
      <c r="F50" s="51">
        <f>'Ford Motor Co | Cash Flow '!F36</f>
        <v>17</v>
      </c>
      <c r="G50" s="51">
        <f>'Ford Motor Co | Cash Flow '!E36</f>
        <v>41</v>
      </c>
      <c r="H50" s="51">
        <f>'Ford Motor Co | Cash Flow '!D36</f>
        <v>-242</v>
      </c>
      <c r="I50" s="51">
        <f>'Ford Motor Co | Cash Flow '!C36</f>
        <v>-234</v>
      </c>
      <c r="J50" s="51">
        <f>'Ford Motor Co | Cash Flow '!B36</f>
        <v>436</v>
      </c>
      <c r="K50" s="56"/>
      <c r="L50" s="48"/>
      <c r="M50" s="48"/>
      <c r="N50" s="48"/>
      <c r="O50" s="48"/>
      <c r="P50" s="50"/>
      <c r="Q50" s="75"/>
      <c r="R50" s="4"/>
      <c r="S50" s="4"/>
      <c r="T50"/>
      <c r="U50" s="4"/>
      <c r="V50" s="4"/>
      <c r="W50" s="4"/>
      <c r="X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</row>
    <row r="51" spans="1:36" x14ac:dyDescent="0.2">
      <c r="C51" s="53" t="s">
        <v>96</v>
      </c>
      <c r="D51" s="54"/>
      <c r="E51" s="54"/>
      <c r="F51" s="55">
        <f>SUM(F47:F50)</f>
        <v>3731</v>
      </c>
      <c r="G51" s="55">
        <f>SUM(G47:G50)</f>
        <v>6245</v>
      </c>
      <c r="H51" s="55">
        <f>SUM(H47:H50)</f>
        <v>18756</v>
      </c>
      <c r="I51" s="55">
        <f>SUM(I47:I50)</f>
        <v>4467</v>
      </c>
      <c r="J51" s="55">
        <f>SUM(J47:J50)</f>
        <v>-6615</v>
      </c>
      <c r="K51" s="55">
        <f>+K52*(K29-J29)</f>
        <v>1112.5936005503293</v>
      </c>
      <c r="L51" s="55">
        <f>+L52*(L29-K29)</f>
        <v>918.5346010368155</v>
      </c>
      <c r="M51" s="55">
        <f>+M52*(M29-L29)</f>
        <v>170.4193307538896</v>
      </c>
      <c r="N51" s="55">
        <f>+N52*(N29-M29)</f>
        <v>760.20579864660044</v>
      </c>
      <c r="O51" s="55">
        <f>+O52*(O29-N29)</f>
        <v>41.479302507573934</v>
      </c>
      <c r="P51" s="50"/>
      <c r="Q51" s="4"/>
      <c r="R51" s="4"/>
      <c r="S51" s="4"/>
      <c r="T51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</row>
    <row r="52" spans="1:36" x14ac:dyDescent="0.2">
      <c r="C52" s="12" t="s">
        <v>97</v>
      </c>
      <c r="D52" s="4"/>
      <c r="E52" s="4"/>
      <c r="F52" s="44">
        <f>+F51/(F29-9539)</f>
        <v>2.4741543378934874E-2</v>
      </c>
      <c r="G52" s="44">
        <f>+G51/(G29-9539)</f>
        <v>4.2668470425864816E-2</v>
      </c>
      <c r="H52" s="44">
        <f>+H51/(H29-9539)</f>
        <v>0.1594830151779261</v>
      </c>
      <c r="I52" s="44">
        <f>+I51/(I29-H29)</f>
        <v>0.48570185930194626</v>
      </c>
      <c r="J52" s="44">
        <f>+J51/(J29-I29)</f>
        <v>-0.30461410941241479</v>
      </c>
      <c r="K52" s="14">
        <f>AVERAGE(F52:J52)</f>
        <v>8.1596155774451437E-2</v>
      </c>
      <c r="L52" s="14">
        <f t="shared" ref="L52:O52" si="8">AVERAGE(G52:K52)</f>
        <v>9.2967078253554755E-2</v>
      </c>
      <c r="M52" s="14">
        <f t="shared" si="8"/>
        <v>0.10302679981909275</v>
      </c>
      <c r="N52" s="14">
        <f t="shared" si="8"/>
        <v>9.1735556747326086E-2</v>
      </c>
      <c r="O52" s="14">
        <f t="shared" si="8"/>
        <v>1.2942296236402053E-2</v>
      </c>
      <c r="P52" s="21"/>
      <c r="Q52" s="4"/>
      <c r="R52" s="4"/>
      <c r="S52" s="4"/>
      <c r="T52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</row>
    <row r="53" spans="1:36" x14ac:dyDescent="0.2">
      <c r="C53" s="57" t="s">
        <v>87</v>
      </c>
      <c r="D53" s="4"/>
      <c r="E53" s="4"/>
      <c r="F53" s="44">
        <f t="shared" ref="F53:O53" si="9">+F51/F29</f>
        <v>2.3269592984819568E-2</v>
      </c>
      <c r="G53" s="44">
        <f t="shared" si="9"/>
        <v>4.0057729313662603E-2</v>
      </c>
      <c r="H53" s="44">
        <f t="shared" si="9"/>
        <v>0.14751777512112252</v>
      </c>
      <c r="I53" s="44">
        <f t="shared" si="9"/>
        <v>3.276343873082932E-2</v>
      </c>
      <c r="J53" s="44">
        <f t="shared" si="9"/>
        <v>-4.1851990104835597E-2</v>
      </c>
      <c r="K53" s="44">
        <f t="shared" si="9"/>
        <v>6.4801575886564589E-3</v>
      </c>
      <c r="L53" s="44">
        <f t="shared" si="9"/>
        <v>5.0587737039518204E-3</v>
      </c>
      <c r="M53" s="44">
        <f t="shared" si="9"/>
        <v>9.3010092690780507E-4</v>
      </c>
      <c r="N53" s="44">
        <f t="shared" si="9"/>
        <v>3.9694604627333561E-3</v>
      </c>
      <c r="O53" s="44">
        <f t="shared" si="9"/>
        <v>2.1302180532034766E-4</v>
      </c>
      <c r="P53" s="48"/>
      <c r="Q53" s="4"/>
      <c r="R53" s="4"/>
      <c r="S53" s="4"/>
      <c r="T53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</row>
    <row r="54" spans="1:36" x14ac:dyDescent="0.2">
      <c r="C54" s="12"/>
      <c r="D54" s="4"/>
      <c r="E54" s="4"/>
      <c r="F54" s="4"/>
      <c r="G54" s="4"/>
      <c r="H54" s="4"/>
      <c r="I54" s="4"/>
      <c r="J54" s="4"/>
      <c r="K54" s="48"/>
      <c r="L54" s="48"/>
      <c r="M54" s="48"/>
      <c r="N54" s="48"/>
      <c r="O54" s="48"/>
      <c r="P54" s="48"/>
      <c r="Q54" s="4"/>
      <c r="R54" s="4"/>
      <c r="S54" s="11"/>
      <c r="T54"/>
      <c r="U54" s="4"/>
      <c r="V54" s="4"/>
      <c r="W54" s="4"/>
      <c r="X54" s="4"/>
      <c r="Y54" s="11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</row>
    <row r="55" spans="1:36" x14ac:dyDescent="0.2">
      <c r="C55" s="4" t="s">
        <v>98</v>
      </c>
      <c r="D55" s="4"/>
      <c r="E55" s="4"/>
      <c r="F55" s="256">
        <f>'Ford Motor Co | Cash Flow '!F40</f>
        <v>-7785</v>
      </c>
      <c r="G55" s="256">
        <f>'Ford Motor Co | Cash Flow '!E40</f>
        <v>-7632</v>
      </c>
      <c r="H55" s="256">
        <f>'Ford Motor Co | Cash Flow '!D40</f>
        <v>-5742</v>
      </c>
      <c r="I55" s="256">
        <f>'Ford Motor Co | Cash Flow '!C40</f>
        <v>-6227</v>
      </c>
      <c r="J55" s="256">
        <f>'Ford Motor Co | Cash Flow '!B40</f>
        <v>-6866</v>
      </c>
      <c r="K55" s="49">
        <f>-K56*K29</f>
        <v>-7959.0333241656808</v>
      </c>
      <c r="L55" s="49">
        <f>-L56*L29</f>
        <v>-8337.2494716329275</v>
      </c>
      <c r="M55" s="49">
        <f>-M56*M29</f>
        <v>-8301.8893434601305</v>
      </c>
      <c r="N55" s="49">
        <f>-N56*N29</f>
        <v>-8683.0333948526659</v>
      </c>
      <c r="O55" s="49">
        <f>-O56*O29</f>
        <v>-8815.3635950524003</v>
      </c>
      <c r="P55" s="58"/>
      <c r="Q55" s="75"/>
      <c r="R55" s="4"/>
      <c r="S55" s="4"/>
      <c r="T55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</row>
    <row r="56" spans="1:36" x14ac:dyDescent="0.2">
      <c r="C56" s="12" t="s">
        <v>87</v>
      </c>
      <c r="D56" s="4"/>
      <c r="E56" s="4"/>
      <c r="F56" s="44">
        <f>-F55/F29</f>
        <v>4.8553680350260073E-2</v>
      </c>
      <c r="G56" s="44">
        <f>-G55/G29</f>
        <v>4.8954457985888392E-2</v>
      </c>
      <c r="H56" s="44">
        <f>-H55/H29</f>
        <v>4.5161391807714085E-2</v>
      </c>
      <c r="I56" s="44">
        <f>-I55/I29</f>
        <v>4.5672248259877805E-2</v>
      </c>
      <c r="J56" s="44">
        <f>-J55/J29</f>
        <v>4.3440024801179318E-2</v>
      </c>
      <c r="K56" s="14">
        <f>AVERAGE(F56:J56)</f>
        <v>4.6356360640983932E-2</v>
      </c>
      <c r="L56" s="14">
        <f t="shared" ref="L56:O56" si="10">AVERAGE(G56:K56)</f>
        <v>4.5916896699128705E-2</v>
      </c>
      <c r="M56" s="14">
        <f t="shared" si="10"/>
        <v>4.5309384441776776E-2</v>
      </c>
      <c r="N56" s="14">
        <f t="shared" si="10"/>
        <v>4.5338982968589306E-2</v>
      </c>
      <c r="O56" s="14">
        <f t="shared" si="10"/>
        <v>4.5272329910331609E-2</v>
      </c>
      <c r="P56" s="58"/>
      <c r="Q56" s="4"/>
      <c r="R56" s="4"/>
      <c r="S56" s="4"/>
      <c r="T56"/>
      <c r="U56" s="4"/>
      <c r="V56" s="21"/>
      <c r="W56" s="79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</row>
    <row r="57" spans="1:36" x14ac:dyDescent="0.2">
      <c r="C57" s="11"/>
      <c r="D57" s="4"/>
      <c r="E57" s="4"/>
      <c r="F57" s="4"/>
      <c r="G57" s="4"/>
      <c r="H57" s="56"/>
      <c r="I57" s="56"/>
      <c r="J57" s="56"/>
      <c r="K57" s="48"/>
      <c r="L57" s="48"/>
      <c r="M57" s="48"/>
      <c r="N57" s="48"/>
      <c r="O57" s="48"/>
      <c r="P57" s="50"/>
      <c r="Q57" s="4"/>
      <c r="R57" s="4"/>
      <c r="S57" s="11"/>
      <c r="T57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</row>
    <row r="58" spans="1:36" x14ac:dyDescent="0.2">
      <c r="C58" s="33" t="s">
        <v>99</v>
      </c>
      <c r="D58" s="33"/>
      <c r="E58" s="33"/>
      <c r="F58" s="59">
        <f t="shared" ref="F58:O58" si="11">+F37+F44+F51+F55</f>
        <v>-1500.7285499999998</v>
      </c>
      <c r="G58" s="59">
        <f>+G37+G44+G51+G55</f>
        <v>-973.2791500000003</v>
      </c>
      <c r="H58" s="59">
        <f t="shared" si="11"/>
        <v>17981.36565</v>
      </c>
      <c r="I58" s="59">
        <f t="shared" si="11"/>
        <v>7243.7601500000001</v>
      </c>
      <c r="J58" s="59">
        <f t="shared" si="11"/>
        <v>-2842.5417500000003</v>
      </c>
      <c r="K58" s="59">
        <f t="shared" si="11"/>
        <v>9594.2601496942189</v>
      </c>
      <c r="L58" s="59">
        <f t="shared" si="11"/>
        <v>12308.497480125501</v>
      </c>
      <c r="M58" s="59">
        <f t="shared" si="11"/>
        <v>11505.762327453001</v>
      </c>
      <c r="N58" s="59">
        <f t="shared" si="11"/>
        <v>12789.482043570368</v>
      </c>
      <c r="O58" s="59">
        <f t="shared" si="11"/>
        <v>12207.617328603268</v>
      </c>
      <c r="P58" s="43"/>
      <c r="Q58" s="4"/>
      <c r="R58" s="4"/>
      <c r="S58" s="4"/>
      <c r="T58"/>
      <c r="U58" s="4"/>
      <c r="V58" s="4"/>
      <c r="W58" s="4"/>
      <c r="X58" s="11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</row>
    <row r="59" spans="1:36" x14ac:dyDescent="0.2">
      <c r="A59" s="4"/>
      <c r="B59" s="4"/>
      <c r="C59" s="57" t="s">
        <v>82</v>
      </c>
      <c r="D59" s="4"/>
      <c r="E59" s="4"/>
      <c r="F59" s="44" t="str">
        <f t="shared" ref="F59:O59" si="12">IFERROR(+F58/E58-1,"N/A")</f>
        <v>N/A</v>
      </c>
      <c r="G59" s="44">
        <f t="shared" si="12"/>
        <v>-0.35146222812913075</v>
      </c>
      <c r="H59" s="44">
        <f t="shared" si="12"/>
        <v>-19.475034269459069</v>
      </c>
      <c r="I59" s="44">
        <f t="shared" si="12"/>
        <v>-0.59715183535016991</v>
      </c>
      <c r="J59" s="44">
        <f t="shared" si="12"/>
        <v>-1.3924124613651103</v>
      </c>
      <c r="K59" s="44">
        <f t="shared" si="12"/>
        <v>-4.3752398358596558</v>
      </c>
      <c r="L59" s="44">
        <f t="shared" si="12"/>
        <v>0.28290220278400402</v>
      </c>
      <c r="M59" s="44">
        <f t="shared" si="12"/>
        <v>-6.5217964578428322E-2</v>
      </c>
      <c r="N59" s="44">
        <f t="shared" si="12"/>
        <v>0.11157189585381788</v>
      </c>
      <c r="O59" s="44">
        <f t="shared" si="12"/>
        <v>-4.5495565260957438E-2</v>
      </c>
      <c r="P59" s="4"/>
      <c r="Q59" s="4"/>
      <c r="R59" s="4"/>
      <c r="S59" s="4"/>
      <c r="T59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</row>
    <row r="60" spans="1:36" x14ac:dyDescent="0.2">
      <c r="A60" s="4"/>
      <c r="B60" s="4"/>
      <c r="C60" s="4"/>
      <c r="D60" s="4"/>
      <c r="E60" s="4"/>
      <c r="F60" s="4"/>
      <c r="G60" s="4"/>
      <c r="H60" s="4"/>
      <c r="I60" s="4"/>
      <c r="J60" s="4"/>
      <c r="K60" s="60"/>
      <c r="L60" s="60"/>
      <c r="M60" s="60"/>
      <c r="N60" s="60"/>
      <c r="O60" s="60"/>
      <c r="Q60" s="4"/>
      <c r="R60" s="4"/>
      <c r="S60" s="4"/>
      <c r="T60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</row>
    <row r="61" spans="1:36" x14ac:dyDescent="0.2">
      <c r="A61" s="4"/>
      <c r="B61" s="4"/>
      <c r="C61" s="61" t="s">
        <v>100</v>
      </c>
      <c r="D61" s="61"/>
      <c r="E61" s="61"/>
      <c r="F61" s="62">
        <f t="shared" ref="F61:O61" si="13">+F31+F40</f>
        <v>12483</v>
      </c>
      <c r="G61" s="62">
        <f t="shared" si="13"/>
        <v>10208</v>
      </c>
      <c r="H61" s="62">
        <f t="shared" si="13"/>
        <v>4342</v>
      </c>
      <c r="I61" s="62">
        <f t="shared" si="13"/>
        <v>10139</v>
      </c>
      <c r="J61" s="62">
        <f t="shared" si="13"/>
        <v>13797</v>
      </c>
      <c r="K61" s="62">
        <f t="shared" si="13"/>
        <v>18857.120049644705</v>
      </c>
      <c r="L61" s="62">
        <f t="shared" si="13"/>
        <v>22589.708324341718</v>
      </c>
      <c r="M61" s="62">
        <f t="shared" si="13"/>
        <v>22546.388890218932</v>
      </c>
      <c r="N61" s="62">
        <f t="shared" si="13"/>
        <v>23791.244480502959</v>
      </c>
      <c r="O61" s="62">
        <f t="shared" si="13"/>
        <v>24065.972582611746</v>
      </c>
      <c r="P61" s="43"/>
      <c r="Q61" s="4"/>
      <c r="R61" s="4"/>
      <c r="S61" s="4"/>
      <c r="T61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</row>
    <row r="62" spans="1:36" x14ac:dyDescent="0.2">
      <c r="A62" s="4"/>
      <c r="B62" s="4"/>
      <c r="C62" s="57" t="s">
        <v>82</v>
      </c>
      <c r="F62" s="44" t="str">
        <f t="shared" ref="F62:O62" si="14">IFERROR(+F61/E61-1,"N/A")</f>
        <v>N/A</v>
      </c>
      <c r="G62" s="44">
        <f t="shared" si="14"/>
        <v>-0.18224785708563651</v>
      </c>
      <c r="H62" s="44">
        <f t="shared" si="14"/>
        <v>-0.57464733542319757</v>
      </c>
      <c r="I62" s="44">
        <f t="shared" si="14"/>
        <v>1.3350990327038232</v>
      </c>
      <c r="J62" s="44">
        <f t="shared" si="14"/>
        <v>0.36078508728671466</v>
      </c>
      <c r="K62" s="44">
        <f t="shared" si="14"/>
        <v>0.36675509528482308</v>
      </c>
      <c r="L62" s="44">
        <f t="shared" si="14"/>
        <v>0.19794052670133677</v>
      </c>
      <c r="M62" s="44">
        <f t="shared" si="14"/>
        <v>-1.9176623930158287E-3</v>
      </c>
      <c r="N62" s="44">
        <f t="shared" si="14"/>
        <v>5.521308074412179E-2</v>
      </c>
      <c r="O62" s="44">
        <f t="shared" si="14"/>
        <v>1.1547445630005981E-2</v>
      </c>
      <c r="P62" s="4"/>
      <c r="Q62" s="4"/>
      <c r="R62" s="4"/>
      <c r="S62" s="4"/>
      <c r="T62"/>
      <c r="U62" s="4"/>
      <c r="V62" s="4"/>
      <c r="W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</row>
    <row r="63" spans="1:36" x14ac:dyDescent="0.2">
      <c r="R63" s="4"/>
      <c r="S63" s="4"/>
      <c r="T63"/>
      <c r="U63" s="4"/>
      <c r="V63" s="4"/>
      <c r="W63" s="4"/>
      <c r="Y63" s="11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</row>
    <row r="64" spans="1:36" x14ac:dyDescent="0.2">
      <c r="P64" s="4"/>
      <c r="Q64" s="4"/>
      <c r="S64" s="4"/>
      <c r="T64" s="4"/>
      <c r="U64" s="4"/>
      <c r="W64" s="4"/>
    </row>
    <row r="65" spans="3:32" x14ac:dyDescent="0.2">
      <c r="C65" s="1" t="s">
        <v>101</v>
      </c>
      <c r="D65" s="63"/>
      <c r="E65" s="63"/>
      <c r="F65" s="6"/>
      <c r="G65" s="6"/>
      <c r="H65" s="6"/>
      <c r="I65" s="6"/>
      <c r="J65" s="6"/>
      <c r="K65" s="6"/>
      <c r="L65" s="6"/>
      <c r="M65" s="6"/>
      <c r="P65" s="4"/>
      <c r="Q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</row>
    <row r="66" spans="3:32" x14ac:dyDescent="0.2">
      <c r="C66" s="63"/>
      <c r="D66" s="63"/>
      <c r="E66" s="63"/>
      <c r="F66" s="6"/>
      <c r="G66" s="6"/>
      <c r="H66" s="6"/>
      <c r="I66" s="6"/>
      <c r="J66" s="6"/>
      <c r="K66" s="6"/>
      <c r="L66" s="6"/>
      <c r="M66" s="6"/>
      <c r="P66" s="4"/>
      <c r="Q66" s="4"/>
      <c r="S66" s="4"/>
      <c r="T66" s="4"/>
      <c r="U66" s="4"/>
      <c r="V66" s="4"/>
      <c r="W66" s="11"/>
      <c r="X66" s="4"/>
      <c r="Y66" s="4"/>
      <c r="Z66" s="4"/>
      <c r="AA66" s="4"/>
      <c r="AB66" s="4"/>
      <c r="AC66" s="4"/>
      <c r="AD66" s="4"/>
      <c r="AE66" s="4"/>
      <c r="AF66" s="4"/>
    </row>
    <row r="67" spans="3:32" x14ac:dyDescent="0.2">
      <c r="C67" s="64"/>
      <c r="D67" s="65"/>
      <c r="E67" s="117" t="s">
        <v>102</v>
      </c>
      <c r="F67" s="117"/>
      <c r="G67" s="117"/>
      <c r="H67" s="117"/>
      <c r="I67" s="117"/>
      <c r="J67" s="117"/>
      <c r="K67" s="117"/>
      <c r="L67" s="117"/>
      <c r="M67" s="125"/>
      <c r="P67" s="80"/>
      <c r="Q67" s="80"/>
      <c r="S67" s="81"/>
      <c r="T67" s="81"/>
      <c r="U67" s="81"/>
      <c r="V67" s="4"/>
      <c r="X67" s="4"/>
      <c r="Y67" s="4"/>
      <c r="Z67" s="4"/>
      <c r="AA67" s="4"/>
      <c r="AB67" s="4"/>
      <c r="AC67" s="4"/>
      <c r="AD67" s="4"/>
      <c r="AE67" s="4"/>
      <c r="AF67" s="4"/>
    </row>
    <row r="68" spans="3:32" x14ac:dyDescent="0.2">
      <c r="C68" s="68"/>
      <c r="D68" s="69">
        <f>P22</f>
        <v>26.255613485951702</v>
      </c>
      <c r="E68" s="120">
        <v>0</v>
      </c>
      <c r="F68" s="120">
        <f t="shared" ref="F68:M68" si="15">+E68+0.5%</f>
        <v>5.0000000000000001E-3</v>
      </c>
      <c r="G68" s="263">
        <f t="shared" si="15"/>
        <v>0.01</v>
      </c>
      <c r="H68" s="263">
        <f t="shared" si="15"/>
        <v>1.4999999999999999E-2</v>
      </c>
      <c r="I68" s="263">
        <f t="shared" si="15"/>
        <v>0.02</v>
      </c>
      <c r="J68" s="263">
        <f t="shared" si="15"/>
        <v>2.5000000000000001E-2</v>
      </c>
      <c r="K68" s="263">
        <f t="shared" si="15"/>
        <v>3.0000000000000002E-2</v>
      </c>
      <c r="L68" s="263">
        <f t="shared" si="15"/>
        <v>3.5000000000000003E-2</v>
      </c>
      <c r="M68" s="264">
        <f t="shared" si="15"/>
        <v>0.04</v>
      </c>
      <c r="N68" s="262"/>
      <c r="P68" s="82"/>
      <c r="Q68" s="80"/>
      <c r="S68" s="74"/>
      <c r="T68" s="74"/>
      <c r="U68" s="115"/>
      <c r="V68" s="4"/>
      <c r="W68" s="11"/>
      <c r="X68" s="4"/>
      <c r="Y68" s="4"/>
      <c r="Z68" s="4"/>
      <c r="AA68" s="4"/>
      <c r="AB68" s="4"/>
      <c r="AC68" s="4"/>
      <c r="AD68" s="4"/>
      <c r="AE68" s="4"/>
      <c r="AF68" s="4"/>
    </row>
    <row r="69" spans="3:32" ht="14.5" customHeight="1" x14ac:dyDescent="0.2">
      <c r="C69" s="337" t="s">
        <v>62</v>
      </c>
      <c r="D69" s="120">
        <f>D70-0.5%</f>
        <v>6.4999999999999988E-2</v>
      </c>
      <c r="E69" s="70">
        <f t="dataTable" ref="E69:M77" dt2D="1" dtr="1" r1="F20" r2="F12"/>
        <v>22.587529050255704</v>
      </c>
      <c r="F69" s="71">
        <v>25.626714675259517</v>
      </c>
      <c r="G69" s="71">
        <v>29.218479504809494</v>
      </c>
      <c r="H69" s="71">
        <v>33.52859730026946</v>
      </c>
      <c r="I69" s="106">
        <v>38.796519050276103</v>
      </c>
      <c r="J69" s="71">
        <v>45.381421237784373</v>
      </c>
      <c r="K69" s="71">
        <v>53.847724050295028</v>
      </c>
      <c r="L69" s="71">
        <v>65.136127800309239</v>
      </c>
      <c r="M69" s="20">
        <v>80.939893050329118</v>
      </c>
      <c r="P69" s="74"/>
      <c r="Q69" s="341"/>
      <c r="S69" s="83"/>
      <c r="T69" s="83"/>
      <c r="U69" s="83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</row>
    <row r="70" spans="3:32" x14ac:dyDescent="0.2">
      <c r="C70" s="338"/>
      <c r="D70" s="120">
        <f>D71-0.5%</f>
        <v>6.9999999999999993E-2</v>
      </c>
      <c r="E70" s="72">
        <v>19.238848775327011</v>
      </c>
      <c r="F70" s="73">
        <v>21.795513369126422</v>
      </c>
      <c r="G70" s="73">
        <v>24.778288728559062</v>
      </c>
      <c r="H70" s="73">
        <v>28.303386880615822</v>
      </c>
      <c r="I70" s="107">
        <v>32.533504663083946</v>
      </c>
      <c r="J70" s="73">
        <v>37.703648619433849</v>
      </c>
      <c r="K70" s="73">
        <v>44.16632856487125</v>
      </c>
      <c r="L70" s="73">
        <v>52.475488494719336</v>
      </c>
      <c r="M70" s="73">
        <v>63.554368401183439</v>
      </c>
      <c r="P70" s="74"/>
      <c r="Q70" s="341"/>
      <c r="S70" s="83"/>
      <c r="T70" s="83"/>
      <c r="U70" s="83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</row>
    <row r="71" spans="3:32" x14ac:dyDescent="0.2">
      <c r="C71" s="338"/>
      <c r="D71" s="120">
        <f>D72-0.5%</f>
        <v>7.4999999999999997E-2</v>
      </c>
      <c r="E71" s="72">
        <v>16.336991098407385</v>
      </c>
      <c r="F71" s="73">
        <v>18.511830057226899</v>
      </c>
      <c r="G71" s="73">
        <v>21.02125962509556</v>
      </c>
      <c r="H71" s="73">
        <v>23.94892745427568</v>
      </c>
      <c r="I71" s="107">
        <v>27.408898525124908</v>
      </c>
      <c r="J71" s="73">
        <v>31.560863810143978</v>
      </c>
      <c r="K71" s="73">
        <v>36.635488047389508</v>
      </c>
      <c r="L71" s="73">
        <v>42.97876834394642</v>
      </c>
      <c r="M71" s="73">
        <v>51.134414439519595</v>
      </c>
      <c r="P71" s="74"/>
      <c r="Q71" s="341"/>
      <c r="S71" s="83"/>
      <c r="T71" s="83"/>
      <c r="U71" s="83"/>
      <c r="V71" s="11"/>
    </row>
    <row r="72" spans="3:32" x14ac:dyDescent="0.2">
      <c r="C72" s="338"/>
      <c r="D72" s="120">
        <f>D73-0.5%</f>
        <v>0.08</v>
      </c>
      <c r="E72" s="72">
        <v>13.798174220721865</v>
      </c>
      <c r="F72" s="73">
        <v>15.666161834466196</v>
      </c>
      <c r="G72" s="73">
        <v>17.801004821602575</v>
      </c>
      <c r="H72" s="73">
        <v>20.264285191375315</v>
      </c>
      <c r="I72" s="107">
        <v>23.138112289443523</v>
      </c>
      <c r="J72" s="73">
        <v>26.534453405342298</v>
      </c>
      <c r="K72" s="73">
        <v>30.610062744420841</v>
      </c>
      <c r="L72" s="73">
        <v>35.591363047739051</v>
      </c>
      <c r="M72" s="73">
        <v>41.817988426886828</v>
      </c>
      <c r="P72" s="74"/>
      <c r="Q72" s="341"/>
      <c r="S72" s="83"/>
      <c r="T72" s="83"/>
      <c r="U72" s="83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</row>
    <row r="73" spans="3:32" x14ac:dyDescent="0.2">
      <c r="C73" s="338"/>
      <c r="D73" s="120">
        <v>8.5000000000000006E-2</v>
      </c>
      <c r="E73" s="108">
        <v>11.558329684847171</v>
      </c>
      <c r="F73" s="107">
        <v>13.176381403444063</v>
      </c>
      <c r="G73" s="107">
        <v>15.010173351187209</v>
      </c>
      <c r="H73" s="107">
        <v>17.105935577179377</v>
      </c>
      <c r="I73" s="107">
        <v>19.524122761016496</v>
      </c>
      <c r="J73" s="107">
        <v>22.3453411421598</v>
      </c>
      <c r="K73" s="107">
        <v>25.679508319874618</v>
      </c>
      <c r="L73" s="107">
        <v>29.680508933132391</v>
      </c>
      <c r="M73" s="107">
        <v>34.570620793780783</v>
      </c>
      <c r="P73" s="74"/>
      <c r="Q73" s="341"/>
      <c r="S73" s="83"/>
      <c r="T73" s="83"/>
      <c r="U73" s="83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</row>
    <row r="74" spans="3:32" x14ac:dyDescent="0.2">
      <c r="C74" s="338"/>
      <c r="D74" s="120">
        <f t="shared" ref="D74:D77" si="16">+D73+0.5%</f>
        <v>9.0000000000000011E-2</v>
      </c>
      <c r="E74" s="72">
        <v>9.5676264496090688</v>
      </c>
      <c r="F74" s="73">
        <v>10.979685431387974</v>
      </c>
      <c r="G74" s="73">
        <v>12.568251785889251</v>
      </c>
      <c r="H74" s="73">
        <v>14.368626987657358</v>
      </c>
      <c r="I74" s="107">
        <v>16.426198646820922</v>
      </c>
      <c r="J74" s="73">
        <v>18.800319792009638</v>
      </c>
      <c r="K74" s="73">
        <v>21.57012779472981</v>
      </c>
      <c r="L74" s="73">
        <v>24.843537252490002</v>
      </c>
      <c r="M74" s="73">
        <v>28.771628601802252</v>
      </c>
      <c r="P74" s="74"/>
      <c r="Q74" s="341"/>
      <c r="S74" s="83"/>
      <c r="T74" s="83"/>
      <c r="U74" s="83"/>
    </row>
    <row r="75" spans="3:32" x14ac:dyDescent="0.2">
      <c r="C75" s="338"/>
      <c r="D75" s="120">
        <f t="shared" si="16"/>
        <v>9.5000000000000015E-2</v>
      </c>
      <c r="E75" s="72">
        <v>7.7867242043052762</v>
      </c>
      <c r="F75" s="73">
        <v>9.0272267878069297</v>
      </c>
      <c r="G75" s="73">
        <v>10.413670851720546</v>
      </c>
      <c r="H75" s="73">
        <v>11.973420423623359</v>
      </c>
      <c r="I75" s="107">
        <v>13.741136605113228</v>
      </c>
      <c r="J75" s="73">
        <v>15.76138366967306</v>
      </c>
      <c r="K75" s="73">
        <v>18.092437974934413</v>
      </c>
      <c r="L75" s="73">
        <v>20.812001331072651</v>
      </c>
      <c r="M75" s="73">
        <v>24.026030751963315</v>
      </c>
      <c r="P75" s="74"/>
      <c r="Q75" s="341"/>
      <c r="S75" s="83"/>
      <c r="T75" s="83"/>
      <c r="U75" s="83"/>
    </row>
    <row r="76" spans="3:32" x14ac:dyDescent="0.2">
      <c r="C76" s="338"/>
      <c r="D76" s="120">
        <f t="shared" si="16"/>
        <v>0.10000000000000002</v>
      </c>
      <c r="E76" s="72">
        <v>6.1841506884991011</v>
      </c>
      <c r="F76" s="73">
        <v>7.2804418647198368</v>
      </c>
      <c r="G76" s="73">
        <v>8.4985431716317681</v>
      </c>
      <c r="H76" s="73">
        <v>9.8599505146509827</v>
      </c>
      <c r="I76" s="107">
        <v>11.391533775547606</v>
      </c>
      <c r="J76" s="73">
        <v>13.127328137897104</v>
      </c>
      <c r="K76" s="73">
        <v>15.111093123439391</v>
      </c>
      <c r="L76" s="73">
        <v>17.400052722142025</v>
      </c>
      <c r="M76" s="73">
        <v>20.070505587295106</v>
      </c>
      <c r="P76" s="74"/>
      <c r="Q76" s="341"/>
      <c r="S76" s="83"/>
      <c r="T76" s="83"/>
      <c r="U76" s="83"/>
    </row>
    <row r="77" spans="3:32" x14ac:dyDescent="0.2">
      <c r="C77" s="339"/>
      <c r="D77" s="124">
        <f t="shared" si="16"/>
        <v>0.10500000000000002</v>
      </c>
      <c r="E77" s="72">
        <v>4.734428348869689</v>
      </c>
      <c r="F77" s="73">
        <v>5.7084797005714636</v>
      </c>
      <c r="G77" s="73">
        <v>6.7850627735050102</v>
      </c>
      <c r="H77" s="73">
        <v>7.9812661878756064</v>
      </c>
      <c r="I77" s="107">
        <v>9.3181994157015762</v>
      </c>
      <c r="J77" s="73">
        <v>10.822249297005795</v>
      </c>
      <c r="K77" s="73">
        <v>12.526839162483899</v>
      </c>
      <c r="L77" s="73">
        <v>14.474941865887455</v>
      </c>
      <c r="M77" s="73">
        <v>16.722752677506936</v>
      </c>
      <c r="P77" s="74"/>
      <c r="Q77" s="341"/>
      <c r="S77" s="83"/>
      <c r="T77" s="83"/>
      <c r="U77" s="83"/>
    </row>
    <row r="78" spans="3:32" hidden="1" x14ac:dyDescent="0.2">
      <c r="P78" s="4"/>
      <c r="Q78" s="4"/>
      <c r="S78" s="4"/>
      <c r="T78" s="4"/>
      <c r="U78" s="4"/>
    </row>
    <row r="79" spans="3:32" hidden="1" x14ac:dyDescent="0.2">
      <c r="C79" s="1"/>
      <c r="D79" s="63"/>
      <c r="E79" s="63"/>
      <c r="F79" s="6"/>
      <c r="G79" s="6"/>
      <c r="H79" s="6"/>
      <c r="I79" s="6"/>
      <c r="J79" s="6"/>
      <c r="K79" s="6"/>
      <c r="L79" s="6"/>
      <c r="M79" s="6"/>
      <c r="P79" s="4"/>
      <c r="Q79" s="4"/>
      <c r="R79" s="3"/>
      <c r="S79" s="4"/>
      <c r="T79" s="4"/>
      <c r="U79" s="4"/>
    </row>
    <row r="80" spans="3:32" x14ac:dyDescent="0.2">
      <c r="C80" s="63"/>
      <c r="D80" s="63"/>
      <c r="E80" s="63"/>
      <c r="F80" s="6"/>
      <c r="G80" s="6"/>
      <c r="H80" s="6"/>
      <c r="I80" s="6"/>
      <c r="J80" s="6"/>
      <c r="K80" s="6"/>
      <c r="L80" s="6"/>
      <c r="M80" s="6"/>
      <c r="P80" s="4"/>
      <c r="Q80" s="4"/>
      <c r="R80" s="3"/>
      <c r="S80" s="4"/>
      <c r="T80" s="4"/>
      <c r="U80" s="4"/>
    </row>
    <row r="81" spans="3:18" x14ac:dyDescent="0.2">
      <c r="C81" s="64"/>
      <c r="D81" s="65"/>
      <c r="E81" s="117" t="s">
        <v>103</v>
      </c>
      <c r="F81" s="66"/>
      <c r="G81" s="66"/>
      <c r="H81" s="66"/>
      <c r="I81" s="66"/>
      <c r="J81" s="66"/>
      <c r="K81" s="66"/>
      <c r="L81" s="66"/>
      <c r="M81" s="67"/>
      <c r="R81" s="118"/>
    </row>
    <row r="82" spans="3:18" x14ac:dyDescent="0.2">
      <c r="C82" s="68"/>
      <c r="D82" s="69">
        <f>K22</f>
        <v>12.951790813235847</v>
      </c>
      <c r="E82" s="119">
        <f>F82-0.5</f>
        <v>4</v>
      </c>
      <c r="F82" s="119">
        <f>G82-0.5</f>
        <v>4.5</v>
      </c>
      <c r="G82" s="119">
        <f>H82-0.5</f>
        <v>5</v>
      </c>
      <c r="H82" s="119">
        <f>I82-0.5</f>
        <v>5.5</v>
      </c>
      <c r="I82" s="119">
        <v>6</v>
      </c>
      <c r="J82" s="119">
        <f>I82+0.5</f>
        <v>6.5</v>
      </c>
      <c r="K82" s="119">
        <f t="shared" ref="K82:M82" si="17">J82+0.5</f>
        <v>7</v>
      </c>
      <c r="L82" s="119">
        <f t="shared" si="17"/>
        <v>7.5</v>
      </c>
      <c r="M82" s="119">
        <f t="shared" si="17"/>
        <v>8</v>
      </c>
      <c r="R82" s="118"/>
    </row>
    <row r="83" spans="3:18" x14ac:dyDescent="0.2">
      <c r="C83" s="337" t="s">
        <v>62</v>
      </c>
      <c r="D83" s="120">
        <v>6.0299999999999999E-2</v>
      </c>
      <c r="E83" s="70">
        <f t="dataTable" ref="E83:M91" dt2D="1" dtr="1" r1="F15" r2="F12"/>
        <v>12.951790813235847</v>
      </c>
      <c r="F83" s="71">
        <v>12.951790813235847</v>
      </c>
      <c r="G83" s="71">
        <v>12.951790813235847</v>
      </c>
      <c r="H83" s="106">
        <v>12.951790813235847</v>
      </c>
      <c r="I83" s="121">
        <v>12.951790813235847</v>
      </c>
      <c r="J83" s="106">
        <v>12.951790813235847</v>
      </c>
      <c r="K83" s="71">
        <v>12.951790813235847</v>
      </c>
      <c r="L83" s="71">
        <v>12.951790813235847</v>
      </c>
      <c r="M83" s="20">
        <v>12.951790813235847</v>
      </c>
      <c r="R83" s="118"/>
    </row>
    <row r="84" spans="3:18" x14ac:dyDescent="0.2">
      <c r="C84" s="337"/>
      <c r="D84" s="120">
        <v>6.5299999999999997E-2</v>
      </c>
      <c r="E84" s="72">
        <v>12.951790813235847</v>
      </c>
      <c r="F84" s="73">
        <v>12.951790813235847</v>
      </c>
      <c r="G84" s="73">
        <v>12.951790813235847</v>
      </c>
      <c r="H84" s="107">
        <v>12.951790813235847</v>
      </c>
      <c r="I84" s="122">
        <v>12.951790813235847</v>
      </c>
      <c r="J84" s="107">
        <v>12.951790813235847</v>
      </c>
      <c r="K84" s="73">
        <v>12.951790813235847</v>
      </c>
      <c r="L84" s="73">
        <v>12.951790813235847</v>
      </c>
      <c r="M84" s="73">
        <v>12.951790813235847</v>
      </c>
      <c r="R84" s="118"/>
    </row>
    <row r="85" spans="3:18" x14ac:dyDescent="0.2">
      <c r="C85" s="337"/>
      <c r="D85" s="120">
        <v>7.0300000000000001E-2</v>
      </c>
      <c r="E85" s="72">
        <v>12.951790813235847</v>
      </c>
      <c r="F85" s="73">
        <v>12.951790813235847</v>
      </c>
      <c r="G85" s="73">
        <v>12.951790813235847</v>
      </c>
      <c r="H85" s="107">
        <v>12.951790813235847</v>
      </c>
      <c r="I85" s="122">
        <v>12.951790813235847</v>
      </c>
      <c r="J85" s="107">
        <v>12.951790813235847</v>
      </c>
      <c r="K85" s="73">
        <v>12.951790813235847</v>
      </c>
      <c r="L85" s="73">
        <v>12.951790813235847</v>
      </c>
      <c r="M85" s="73">
        <v>12.951790813235847</v>
      </c>
      <c r="R85" s="118"/>
    </row>
    <row r="86" spans="3:18" x14ac:dyDescent="0.2">
      <c r="C86" s="337"/>
      <c r="D86" s="120">
        <v>7.5300000000000006E-2</v>
      </c>
      <c r="E86" s="72">
        <v>12.951790813235847</v>
      </c>
      <c r="F86" s="73">
        <v>12.951790813235847</v>
      </c>
      <c r="G86" s="73">
        <v>12.951790813235847</v>
      </c>
      <c r="H86" s="107">
        <v>12.951790813235847</v>
      </c>
      <c r="I86" s="122">
        <v>12.951790813235847</v>
      </c>
      <c r="J86" s="107">
        <v>12.951790813235847</v>
      </c>
      <c r="K86" s="73">
        <v>12.951790813235847</v>
      </c>
      <c r="L86" s="73">
        <v>12.951790813235847</v>
      </c>
      <c r="M86" s="73">
        <v>12.951790813235847</v>
      </c>
      <c r="R86" s="118"/>
    </row>
    <row r="87" spans="3:18" x14ac:dyDescent="0.2">
      <c r="C87" s="337"/>
      <c r="D87" s="120">
        <v>8.0299999999999996E-2</v>
      </c>
      <c r="E87" s="123">
        <v>12.951790813235847</v>
      </c>
      <c r="F87" s="122">
        <v>12.951790813235847</v>
      </c>
      <c r="G87" s="122">
        <v>12.951790813235847</v>
      </c>
      <c r="H87" s="122">
        <v>12.951790813235847</v>
      </c>
      <c r="I87" s="122">
        <v>12.951790813235847</v>
      </c>
      <c r="J87" s="122">
        <v>12.951790813235847</v>
      </c>
      <c r="K87" s="122">
        <v>12.951790813235847</v>
      </c>
      <c r="L87" s="122">
        <v>12.951790813235847</v>
      </c>
      <c r="M87" s="122">
        <v>12.951790813235847</v>
      </c>
      <c r="R87" s="118"/>
    </row>
    <row r="88" spans="3:18" x14ac:dyDescent="0.2">
      <c r="C88" s="337"/>
      <c r="D88" s="120">
        <v>8.5300000000000001E-2</v>
      </c>
      <c r="E88" s="72">
        <v>12.951790813235847</v>
      </c>
      <c r="F88" s="73">
        <v>12.951790813235847</v>
      </c>
      <c r="G88" s="73">
        <v>12.951790813235847</v>
      </c>
      <c r="H88" s="107">
        <v>12.951790813235847</v>
      </c>
      <c r="I88" s="122">
        <v>12.951790813235847</v>
      </c>
      <c r="J88" s="107">
        <v>12.951790813235847</v>
      </c>
      <c r="K88" s="73">
        <v>12.951790813235847</v>
      </c>
      <c r="L88" s="73">
        <v>12.951790813235847</v>
      </c>
      <c r="M88" s="73">
        <v>12.951790813235847</v>
      </c>
      <c r="R88" s="118"/>
    </row>
    <row r="89" spans="3:18" x14ac:dyDescent="0.2">
      <c r="C89" s="337"/>
      <c r="D89" s="120">
        <v>9.0300000000000005E-2</v>
      </c>
      <c r="E89" s="72">
        <v>12.951790813235847</v>
      </c>
      <c r="F89" s="73">
        <v>12.951790813235847</v>
      </c>
      <c r="G89" s="73">
        <v>12.951790813235847</v>
      </c>
      <c r="H89" s="107">
        <v>12.951790813235847</v>
      </c>
      <c r="I89" s="122">
        <v>12.951790813235847</v>
      </c>
      <c r="J89" s="107">
        <v>12.951790813235847</v>
      </c>
      <c r="K89" s="73">
        <v>12.951790813235847</v>
      </c>
      <c r="L89" s="73">
        <v>12.951790813235847</v>
      </c>
      <c r="M89" s="73">
        <v>12.951790813235847</v>
      </c>
      <c r="R89" s="3"/>
    </row>
    <row r="90" spans="3:18" x14ac:dyDescent="0.2">
      <c r="C90" s="337"/>
      <c r="D90" s="120">
        <v>9.5299999999999996E-2</v>
      </c>
      <c r="E90" s="72">
        <v>12.951790813235847</v>
      </c>
      <c r="F90" s="73">
        <v>12.951790813235847</v>
      </c>
      <c r="G90" s="73">
        <v>12.951790813235847</v>
      </c>
      <c r="H90" s="107">
        <v>12.951790813235847</v>
      </c>
      <c r="I90" s="122">
        <v>12.951790813235847</v>
      </c>
      <c r="J90" s="107">
        <v>12.951790813235847</v>
      </c>
      <c r="K90" s="73">
        <v>12.951790813235847</v>
      </c>
      <c r="L90" s="73">
        <v>12.951790813235847</v>
      </c>
      <c r="M90" s="73">
        <v>12.951790813235847</v>
      </c>
      <c r="R90" s="3"/>
    </row>
    <row r="91" spans="3:18" x14ac:dyDescent="0.2">
      <c r="C91" s="340"/>
      <c r="D91" s="124">
        <v>0.1003</v>
      </c>
      <c r="E91" s="72">
        <v>12.951790813235847</v>
      </c>
      <c r="F91" s="73">
        <v>12.951790813235847</v>
      </c>
      <c r="G91" s="73">
        <v>12.951790813235847</v>
      </c>
      <c r="H91" s="107">
        <v>12.951790813235847</v>
      </c>
      <c r="I91" s="122">
        <v>12.951790813235847</v>
      </c>
      <c r="J91" s="107">
        <v>12.951790813235847</v>
      </c>
      <c r="K91" s="73">
        <v>12.951790813235847</v>
      </c>
      <c r="L91" s="73">
        <v>12.951790813235847</v>
      </c>
      <c r="M91" s="73">
        <v>12.951790813235847</v>
      </c>
      <c r="R91" s="3"/>
    </row>
    <row r="92" spans="3:18" ht="13" x14ac:dyDescent="0.15">
      <c r="R92" s="3"/>
    </row>
    <row r="93" spans="3:18" ht="13" x14ac:dyDescent="0.15">
      <c r="R93" s="3"/>
    </row>
    <row r="94" spans="3:18" ht="13" x14ac:dyDescent="0.15">
      <c r="R94" s="3"/>
    </row>
    <row r="95" spans="3:18" ht="13" x14ac:dyDescent="0.15">
      <c r="R95" s="3"/>
    </row>
    <row r="96" spans="3:18" ht="13" x14ac:dyDescent="0.15">
      <c r="R96" s="3"/>
    </row>
    <row r="97" spans="3:18" ht="13" x14ac:dyDescent="0.15">
      <c r="R97" s="3"/>
    </row>
    <row r="98" spans="3:18" ht="13" x14ac:dyDescent="0.15">
      <c r="R98" s="3"/>
    </row>
    <row r="99" spans="3:18" ht="13" x14ac:dyDescent="0.15">
      <c r="R99" s="3"/>
    </row>
    <row r="100" spans="3:18" ht="13" x14ac:dyDescent="0.15">
      <c r="R100" s="3"/>
    </row>
    <row r="101" spans="3:18" ht="13" x14ac:dyDescent="0.15">
      <c r="R101" s="3"/>
    </row>
    <row r="102" spans="3:18" ht="13" x14ac:dyDescent="0.15">
      <c r="R102" s="3"/>
    </row>
    <row r="103" spans="3:18" ht="13" x14ac:dyDescent="0.15">
      <c r="R103" s="3"/>
    </row>
    <row r="104" spans="3:18" x14ac:dyDescent="0.2">
      <c r="C104" s="78"/>
      <c r="D104" s="74"/>
      <c r="E104" s="73"/>
      <c r="F104" s="73"/>
      <c r="G104" s="73"/>
      <c r="H104" s="73"/>
      <c r="I104" s="73"/>
      <c r="J104" s="73"/>
      <c r="K104" s="73"/>
      <c r="L104" s="73"/>
      <c r="M104" s="73"/>
      <c r="R104" s="3"/>
    </row>
    <row r="105" spans="3:18" x14ac:dyDescent="0.2">
      <c r="C105" s="78"/>
      <c r="D105" s="74"/>
      <c r="E105" s="73"/>
      <c r="F105" s="73"/>
      <c r="G105" s="73"/>
      <c r="H105" s="73"/>
      <c r="I105" s="73"/>
      <c r="J105" s="73"/>
      <c r="K105" s="73"/>
      <c r="L105" s="73"/>
      <c r="M105" s="73"/>
      <c r="R105" s="3"/>
    </row>
    <row r="106" spans="3:18" ht="13" x14ac:dyDescent="0.15">
      <c r="R106" s="3"/>
    </row>
    <row r="107" spans="3:18" ht="13" x14ac:dyDescent="0.15">
      <c r="R107" s="3"/>
    </row>
    <row r="108" spans="3:18" ht="13" x14ac:dyDescent="0.15">
      <c r="R108" s="3"/>
    </row>
    <row r="109" spans="3:18" ht="13" x14ac:dyDescent="0.15">
      <c r="R109" s="3"/>
    </row>
    <row r="110" spans="3:18" ht="13" x14ac:dyDescent="0.15">
      <c r="R110" s="3"/>
    </row>
    <row r="111" spans="3:18" ht="13" x14ac:dyDescent="0.15">
      <c r="R111" s="3"/>
    </row>
    <row r="112" spans="3:18" ht="13" x14ac:dyDescent="0.15">
      <c r="R112" s="3"/>
    </row>
    <row r="113" spans="3:18" ht="13" x14ac:dyDescent="0.15">
      <c r="R113" s="3"/>
    </row>
    <row r="114" spans="3:18" ht="13" x14ac:dyDescent="0.15">
      <c r="R114" s="3"/>
    </row>
    <row r="115" spans="3:18" ht="13" x14ac:dyDescent="0.15">
      <c r="C115" s="126"/>
      <c r="D115" s="126"/>
      <c r="E115" s="126"/>
      <c r="F115" s="126"/>
      <c r="G115" s="126"/>
      <c r="H115" s="126"/>
      <c r="I115" s="126"/>
      <c r="R115" s="3"/>
    </row>
    <row r="116" spans="3:18" x14ac:dyDescent="0.2">
      <c r="C116" s="80"/>
      <c r="D116" s="126"/>
      <c r="E116" s="126"/>
      <c r="F116" s="80" t="s">
        <v>104</v>
      </c>
      <c r="G116" s="80" t="s">
        <v>105</v>
      </c>
      <c r="H116" s="80" t="s">
        <v>106</v>
      </c>
      <c r="I116" s="126" t="s">
        <v>107</v>
      </c>
      <c r="R116" s="3"/>
    </row>
    <row r="117" spans="3:18" s="126" customFormat="1" x14ac:dyDescent="0.2">
      <c r="C117" s="128" t="str">
        <f>"DCF Value at "&amp;TEXT(E82,"0.0x")&amp;"-"&amp;TEXT(M82,"0.0x")&amp;" Exit EBITDA Range"</f>
        <v>DCF Value at 4.0x-8.0x Exit EBITDA Range</v>
      </c>
      <c r="F117" s="129">
        <f>E87</f>
        <v>4.1885284838329779</v>
      </c>
      <c r="G117" s="132">
        <f>H117-F117</f>
        <v>16.344095137480728</v>
      </c>
      <c r="H117" s="130">
        <f>M87</f>
        <v>20.532623621313707</v>
      </c>
      <c r="I117" s="131">
        <f>K22</f>
        <v>12.951790813235847</v>
      </c>
    </row>
    <row r="118" spans="3:18" s="126" customFormat="1" x14ac:dyDescent="0.2">
      <c r="C118" s="80" t="str">
        <f>"DCF Value at "&amp;TEXT(E68,"0.0%")&amp;"-"&amp;TEXT(M68,"0.0%")&amp;" Perpetuity Range"</f>
        <v>DCF Value at 0.0%-4.0% Perpetuity Range</v>
      </c>
      <c r="F118" s="129">
        <f>E73</f>
        <v>11.558329684847171</v>
      </c>
      <c r="G118" s="132">
        <f>H118-F118</f>
        <v>23.01229110893361</v>
      </c>
      <c r="H118" s="129">
        <f>M73</f>
        <v>34.570620793780783</v>
      </c>
      <c r="I118" s="131">
        <f>P22</f>
        <v>26.255613485951702</v>
      </c>
    </row>
    <row r="119" spans="3:18" s="126" customFormat="1" x14ac:dyDescent="0.2">
      <c r="C119" s="80" t="s">
        <v>108</v>
      </c>
      <c r="F119" s="80">
        <v>9.6999999999999993</v>
      </c>
      <c r="G119" s="130">
        <f>H119-F119</f>
        <v>5.65</v>
      </c>
      <c r="H119" s="80">
        <v>15.35</v>
      </c>
      <c r="I119" s="126">
        <f>Share_Price</f>
        <v>10.050000000000001</v>
      </c>
    </row>
    <row r="120" spans="3:18" s="133" customFormat="1" ht="13" x14ac:dyDescent="0.15"/>
    <row r="121" spans="3:18" ht="13" x14ac:dyDescent="0.15">
      <c r="R121" s="3"/>
    </row>
    <row r="122" spans="3:18" ht="13" x14ac:dyDescent="0.15">
      <c r="R122" s="3"/>
    </row>
    <row r="123" spans="3:18" ht="13" x14ac:dyDescent="0.15">
      <c r="R123" s="3"/>
    </row>
    <row r="124" spans="3:18" ht="13" x14ac:dyDescent="0.15">
      <c r="R124" s="3"/>
    </row>
    <row r="125" spans="3:18" ht="13" x14ac:dyDescent="0.15">
      <c r="R125" s="3"/>
    </row>
    <row r="126" spans="3:18" ht="13" x14ac:dyDescent="0.15">
      <c r="R126" s="3"/>
    </row>
    <row r="127" spans="3:18" ht="13" x14ac:dyDescent="0.15">
      <c r="R127" s="3"/>
    </row>
    <row r="128" spans="3:18" ht="13" x14ac:dyDescent="0.15">
      <c r="R128" s="3"/>
    </row>
    <row r="129" spans="18:18" ht="13" x14ac:dyDescent="0.15">
      <c r="R129" s="3"/>
    </row>
    <row r="130" spans="18:18" ht="13" x14ac:dyDescent="0.15">
      <c r="R130" s="3"/>
    </row>
    <row r="131" spans="18:18" ht="13" x14ac:dyDescent="0.15">
      <c r="R131" s="3"/>
    </row>
  </sheetData>
  <mergeCells count="3">
    <mergeCell ref="C69:C77"/>
    <mergeCell ref="C83:C91"/>
    <mergeCell ref="Q69:Q77"/>
  </mergeCells>
  <conditionalFormatting sqref="S69:AA7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disablePrompts="1" count="2">
    <dataValidation type="whole" allowBlank="1" showInputMessage="1" showErrorMessage="1" sqref="K8" xr:uid="{00000000-0002-0000-0300-000000000000}">
      <formula1>0</formula1>
      <formula2>1</formula2>
    </dataValidation>
    <dataValidation type="whole" showInputMessage="1" showErrorMessage="1" sqref="F6" xr:uid="{00000000-0002-0000-0300-000001000000}">
      <formula1>0</formula1>
      <formula2>1</formula2>
    </dataValidation>
  </dataValidations>
  <printOptions verticalCentered="1" headings="1" gridLines="1"/>
  <pageMargins left="0.25" right="0.25" top="0.25" bottom="0.25" header="0" footer="0"/>
  <pageSetup scale="56" orientation="landscape" r:id="rId1"/>
  <headerFooter alignWithMargins="0"/>
  <rowBreaks count="1" manualBreakCount="1">
    <brk id="45" max="15" man="1"/>
  </rowBreaks>
  <drawing r:id="rId2"/>
  <legacy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32629B3B-FA31-4E7C-A0E5-0044A34B5253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'Ford-DCF'!H29:O29</xm:f>
              <xm:sqref>P29</xm:sqref>
            </x14:sparkline>
          </x14:sparklines>
        </x14:sparklineGroup>
        <x14:sparklineGroup type="column" displayEmptyCellsAs="gap" xr2:uid="{661B2433-E15D-4D22-812B-72AFD354115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'Ford-DCF'!H31:O31</xm:f>
              <xm:sqref>P31</xm:sqref>
            </x14:sparkline>
          </x14:sparklines>
        </x14:sparklineGroup>
        <x14:sparklineGroup type="column" displayEmptyCellsAs="gap" xr2:uid="{A2B10773-49DE-40A8-AD3A-DB72D5FD1B0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'Ford-DCF'!H37:O37</xm:f>
              <xm:sqref>P37</xm:sqref>
            </x14:sparkline>
          </x14:sparklines>
        </x14:sparklineGroup>
        <x14:sparklineGroup type="column" displayEmptyCellsAs="gap" xr2:uid="{05E3F4D5-73CD-4DB1-8F0A-E64B6BCF063E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'Ford-DCF'!H58:O58</xm:f>
              <xm:sqref>P58</xm:sqref>
            </x14:sparkline>
          </x14:sparklines>
        </x14:sparklineGroup>
        <x14:sparklineGroup type="column" displayEmptyCellsAs="gap" xr2:uid="{7DAAD82D-A7D9-4011-9DDE-53C196485B4D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'Ford-DCF'!H61:O61</xm:f>
              <xm:sqref>P61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529F-652D-C048-965A-CD50BCF7C20B}">
  <sheetPr>
    <outlinePr summaryBelow="0"/>
  </sheetPr>
  <dimension ref="A1:L18"/>
  <sheetViews>
    <sheetView workbookViewId="0">
      <selection activeCell="G23" sqref="G23"/>
    </sheetView>
  </sheetViews>
  <sheetFormatPr baseColWidth="10" defaultColWidth="8.83203125" defaultRowHeight="15" x14ac:dyDescent="0.2"/>
  <cols>
    <col min="1" max="1" width="15.1640625" bestFit="1" customWidth="1"/>
    <col min="2" max="2" width="30.33203125" bestFit="1" customWidth="1"/>
    <col min="3" max="9" width="13.83203125" bestFit="1" customWidth="1"/>
    <col min="10" max="10" width="18.33203125" bestFit="1" customWidth="1"/>
    <col min="11" max="11" width="14.83203125" bestFit="1" customWidth="1"/>
    <col min="12" max="12" width="13.83203125" bestFit="1" customWidth="1"/>
  </cols>
  <sheetData>
    <row r="1" spans="1:12" ht="64" collapsed="1" x14ac:dyDescent="0.2">
      <c r="A1" s="298" t="s">
        <v>109</v>
      </c>
      <c r="B1" s="298" t="s">
        <v>110</v>
      </c>
      <c r="C1" s="298" t="s">
        <v>111</v>
      </c>
      <c r="D1" s="298" t="s">
        <v>112</v>
      </c>
      <c r="E1" s="298" t="s">
        <v>113</v>
      </c>
      <c r="F1" s="298" t="s">
        <v>114</v>
      </c>
      <c r="G1" s="298" t="s">
        <v>115</v>
      </c>
      <c r="H1" s="298" t="s">
        <v>116</v>
      </c>
      <c r="I1" s="298" t="s">
        <v>117</v>
      </c>
      <c r="J1" s="298" t="s">
        <v>118</v>
      </c>
      <c r="K1" s="298" t="s">
        <v>119</v>
      </c>
      <c r="L1" s="298" t="s">
        <v>120</v>
      </c>
    </row>
    <row r="2" spans="1:12" ht="20" customHeight="1" collapsed="1" x14ac:dyDescent="0.2">
      <c r="A2" s="299" t="s">
        <v>36</v>
      </c>
      <c r="B2" s="299" t="s">
        <v>121</v>
      </c>
      <c r="C2" s="296">
        <v>1.83076640295024</v>
      </c>
      <c r="D2" s="296">
        <v>1.8633299999999999</v>
      </c>
      <c r="E2" s="296">
        <v>5.5711054641961102</v>
      </c>
      <c r="F2" s="296">
        <v>0.30087073019999999</v>
      </c>
      <c r="G2" s="296">
        <v>1.1745722054838901</v>
      </c>
      <c r="H2" s="296">
        <v>7.1685714669370704</v>
      </c>
      <c r="I2" s="297">
        <v>-1.25335E-2</v>
      </c>
      <c r="J2" s="297">
        <v>3.2137505203270003</v>
      </c>
      <c r="K2" s="297">
        <v>0.14265870259800001</v>
      </c>
      <c r="L2" s="297">
        <v>2.9689999999999998E-2</v>
      </c>
    </row>
    <row r="3" spans="1:12" ht="20" customHeight="1" collapsed="1" x14ac:dyDescent="0.2">
      <c r="A3" s="299" t="s">
        <v>122</v>
      </c>
      <c r="B3" s="299" t="s">
        <v>23</v>
      </c>
      <c r="C3" s="296">
        <v>3.35915169521834</v>
      </c>
      <c r="D3" s="296">
        <v>7.4295299999999997</v>
      </c>
      <c r="E3" s="296">
        <v>4.2578190265224398</v>
      </c>
      <c r="F3" s="296">
        <v>0.4280323674</v>
      </c>
      <c r="G3" s="296">
        <v>1.12930375180801</v>
      </c>
      <c r="H3" s="296">
        <v>7.2608111136190301</v>
      </c>
      <c r="I3" s="297">
        <v>5.6879400000000004E-2</v>
      </c>
      <c r="J3" s="297">
        <v>1.6919253009199999</v>
      </c>
      <c r="K3" s="297">
        <v>0.14213132585300001</v>
      </c>
      <c r="L3" s="297">
        <v>4.3390000000000005E-2</v>
      </c>
    </row>
    <row r="4" spans="1:12" ht="20" customHeight="1" collapsed="1" x14ac:dyDescent="0.2">
      <c r="A4" s="299" t="s">
        <v>123</v>
      </c>
      <c r="B4" s="299" t="s">
        <v>25</v>
      </c>
      <c r="C4" s="296">
        <v>15.0592175356834</v>
      </c>
      <c r="D4" s="296">
        <v>6.4995515008313598</v>
      </c>
      <c r="E4" s="296">
        <v>3.3038128256030399</v>
      </c>
      <c r="F4" s="296">
        <v>0.22764373190000001</v>
      </c>
      <c r="G4" s="296">
        <v>0.81346725404545395</v>
      </c>
      <c r="H4" s="296">
        <v>18.298094667883799</v>
      </c>
      <c r="I4" s="297">
        <v>9.3539800000000006E-2</v>
      </c>
      <c r="J4" s="297">
        <v>0.37713023792</v>
      </c>
      <c r="K4" s="297">
        <v>0.27847138066100002</v>
      </c>
      <c r="L4" s="297">
        <v>9.3900000000000011E-2</v>
      </c>
    </row>
    <row r="5" spans="1:12" ht="20" customHeight="1" collapsed="1" x14ac:dyDescent="0.2">
      <c r="A5" s="299" t="s">
        <v>124</v>
      </c>
      <c r="B5" s="299" t="s">
        <v>27</v>
      </c>
      <c r="C5" s="296">
        <v>3.5817937369015298</v>
      </c>
      <c r="D5" s="296">
        <v>32.638090230999197</v>
      </c>
      <c r="E5" s="296">
        <v>3.58069762736186</v>
      </c>
      <c r="F5" s="296">
        <v>0.30764606509999998</v>
      </c>
      <c r="G5" s="296">
        <v>0.56308860431523799</v>
      </c>
      <c r="H5" s="296">
        <v>6.9080580407919303</v>
      </c>
      <c r="I5" s="297">
        <v>5.3242499999999998E-2</v>
      </c>
      <c r="J5" s="297">
        <v>1.231319953803</v>
      </c>
      <c r="K5" s="297">
        <v>7.9483318578999998E-2</v>
      </c>
      <c r="L5" s="297">
        <v>2.7200000000000002E-2</v>
      </c>
    </row>
    <row r="6" spans="1:12" ht="20" customHeight="1" collapsed="1" x14ac:dyDescent="0.2">
      <c r="A6" s="299" t="s">
        <v>125</v>
      </c>
      <c r="B6" s="299" t="s">
        <v>29</v>
      </c>
      <c r="C6" s="296">
        <v>-5.2702995848817604</v>
      </c>
      <c r="D6" s="296">
        <v>15.174850536310901</v>
      </c>
      <c r="E6" s="296">
        <v>2.5422640307072899</v>
      </c>
      <c r="F6" s="296">
        <v>0.2163204151</v>
      </c>
      <c r="G6" s="296">
        <v>0.34921431682016102</v>
      </c>
      <c r="H6" s="296">
        <v>7.0654758820912003</v>
      </c>
      <c r="I6" s="297">
        <v>3.55672E-2</v>
      </c>
      <c r="J6" s="297">
        <v>2.1922000759959999</v>
      </c>
      <c r="K6" s="297">
        <v>0.10898829138299999</v>
      </c>
      <c r="L6" s="297">
        <v>-2.8999999999999998E-3</v>
      </c>
    </row>
    <row r="7" spans="1:12" ht="20" customHeight="1" collapsed="1" x14ac:dyDescent="0.2">
      <c r="A7" s="299" t="s">
        <v>126</v>
      </c>
      <c r="B7" s="299" t="s">
        <v>127</v>
      </c>
      <c r="C7" s="296">
        <v>7.3534987196259403</v>
      </c>
      <c r="D7" s="296">
        <v>38.625225022334398</v>
      </c>
      <c r="E7" s="296">
        <v>3.8681923301438501</v>
      </c>
      <c r="F7" s="296">
        <v>0.36489145789999999</v>
      </c>
      <c r="G7" s="296">
        <v>0.58607180706052797</v>
      </c>
      <c r="H7" s="296">
        <v>15.8176993625296</v>
      </c>
      <c r="I7" s="297">
        <v>5.1669799999999995E-2</v>
      </c>
      <c r="J7" s="297">
        <v>1.3758057674499999</v>
      </c>
      <c r="K7" s="297">
        <v>0.12992754521700001</v>
      </c>
      <c r="L7" s="297">
        <v>3.0079999999999999E-2</v>
      </c>
    </row>
    <row r="8" spans="1:12" ht="20" customHeight="1" collapsed="1" x14ac:dyDescent="0.2">
      <c r="A8" s="299" t="s">
        <v>128</v>
      </c>
      <c r="B8" s="299" t="s">
        <v>31</v>
      </c>
      <c r="C8" s="296">
        <v>-3.16618228060377</v>
      </c>
      <c r="D8" s="296">
        <v>1.3420400160599599</v>
      </c>
      <c r="E8" s="296">
        <v>7.2118540838261804</v>
      </c>
      <c r="F8" s="296">
        <v>0.36080586240000001</v>
      </c>
      <c r="G8" s="296">
        <v>0.59390002203691405</v>
      </c>
      <c r="H8" s="296">
        <v>9.6096818002837594</v>
      </c>
      <c r="I8" s="297">
        <v>3.8527699999999998E-2</v>
      </c>
      <c r="J8" s="297">
        <v>0.68535377875100001</v>
      </c>
      <c r="K8" s="297">
        <v>7.7518074805000003E-2</v>
      </c>
      <c r="L8" s="297">
        <v>2.8590000000000001E-2</v>
      </c>
    </row>
    <row r="9" spans="1:12" ht="20" customHeight="1" collapsed="1" x14ac:dyDescent="0.2">
      <c r="A9" s="299" t="s">
        <v>129</v>
      </c>
      <c r="B9" s="299" t="s">
        <v>33</v>
      </c>
      <c r="C9" s="296">
        <v>-7.1200022328925696</v>
      </c>
      <c r="D9" s="296">
        <v>0.66168106734434595</v>
      </c>
      <c r="E9" s="296">
        <v>5.8407887906663296</v>
      </c>
      <c r="F9" s="296">
        <v>0.2371697824</v>
      </c>
      <c r="G9" s="296">
        <v>0.48477788903371799</v>
      </c>
      <c r="H9" s="296">
        <v>-34.713173766691803</v>
      </c>
      <c r="I9" s="297">
        <v>2.0940500000000001E-2</v>
      </c>
      <c r="J9" s="297">
        <v>1.3708217963190001</v>
      </c>
      <c r="K9" s="297">
        <v>8.3071519223999996E-2</v>
      </c>
      <c r="L9" s="297">
        <v>1.306E-2</v>
      </c>
    </row>
    <row r="14" spans="1:12" x14ac:dyDescent="0.2">
      <c r="C14" s="267"/>
      <c r="D14" s="267"/>
      <c r="E14" s="267"/>
      <c r="F14" s="267"/>
      <c r="G14" s="267"/>
      <c r="H14" s="267"/>
      <c r="I14" s="267"/>
      <c r="J14" s="267"/>
      <c r="K14" s="267"/>
      <c r="L14" s="267"/>
    </row>
    <row r="15" spans="1:12" x14ac:dyDescent="0.2">
      <c r="C15" s="266"/>
      <c r="D15" s="266"/>
      <c r="E15" s="266"/>
      <c r="F15" s="266"/>
      <c r="G15" s="266"/>
      <c r="H15" s="266"/>
      <c r="I15" s="258"/>
      <c r="J15" s="258"/>
      <c r="K15" s="258"/>
      <c r="L15" s="258"/>
    </row>
    <row r="16" spans="1:12" ht="64" x14ac:dyDescent="0.2">
      <c r="A16" s="300"/>
      <c r="B16" s="298" t="s">
        <v>111</v>
      </c>
      <c r="C16" s="298" t="s">
        <v>112</v>
      </c>
      <c r="D16" s="298" t="s">
        <v>113</v>
      </c>
      <c r="E16" s="298" t="s">
        <v>114</v>
      </c>
      <c r="F16" s="298" t="s">
        <v>115</v>
      </c>
      <c r="G16" s="298" t="s">
        <v>116</v>
      </c>
      <c r="H16" s="298" t="s">
        <v>117</v>
      </c>
      <c r="I16" s="298" t="s">
        <v>118</v>
      </c>
      <c r="J16" s="298" t="s">
        <v>119</v>
      </c>
      <c r="K16" s="298" t="s">
        <v>120</v>
      </c>
    </row>
    <row r="17" spans="1:11" ht="20" customHeight="1" x14ac:dyDescent="0.2">
      <c r="A17" s="302" t="s">
        <v>130</v>
      </c>
      <c r="B17" s="296">
        <v>1.83076640295024</v>
      </c>
      <c r="C17" s="296">
        <v>1.8633299999999999</v>
      </c>
      <c r="D17" s="296">
        <v>5.5711054641961102</v>
      </c>
      <c r="E17" s="296">
        <v>0.30087073019999999</v>
      </c>
      <c r="F17" s="296">
        <v>1.1745722054838901</v>
      </c>
      <c r="G17" s="296">
        <v>7.1685714669370704</v>
      </c>
      <c r="H17" s="297">
        <v>-1.25335E-2</v>
      </c>
      <c r="I17" s="297">
        <v>3.2137505203270003</v>
      </c>
      <c r="J17" s="297">
        <v>0.14265870259800001</v>
      </c>
      <c r="K17" s="297">
        <v>2.9689999999999998E-2</v>
      </c>
    </row>
    <row r="18" spans="1:11" ht="20" customHeight="1" x14ac:dyDescent="0.2">
      <c r="A18" s="299" t="s">
        <v>131</v>
      </c>
      <c r="B18" s="301">
        <f>AVERAGE('Ford v. industry'!C2:C9)</f>
        <v>1.9534929990001682</v>
      </c>
      <c r="C18" s="301">
        <f>AVERAGE('Ford v. industry'!D2:D9)</f>
        <v>13.029287296735019</v>
      </c>
      <c r="D18" s="301">
        <f>AVERAGE('Ford v. industry'!E2:E9)</f>
        <v>4.5220667723783876</v>
      </c>
      <c r="E18" s="301">
        <f>AVERAGE('Ford v. industry'!F2:F9)</f>
        <v>0.30542255154999998</v>
      </c>
      <c r="F18" s="301">
        <f>AVERAGE('Ford v. industry'!G2:G9)</f>
        <v>0.71179948132548909</v>
      </c>
      <c r="G18" s="301">
        <f>AVERAGE('Ford v. industry'!H2:H9)</f>
        <v>4.676902320930572</v>
      </c>
      <c r="H18" s="301">
        <f>AVERAGE('Ford v. industry'!I2:I9)</f>
        <v>4.2229174999999994E-2</v>
      </c>
      <c r="I18" s="301">
        <f>AVERAGE('Ford v. industry'!J2:J9)</f>
        <v>1.51728842893575</v>
      </c>
      <c r="J18" s="301">
        <f>AVERAGE('Ford v. industry'!K2:K9)</f>
        <v>0.13028126979000001</v>
      </c>
      <c r="K18" s="301">
        <f>AVERAGE('Ford v. industry'!L2:L9)</f>
        <v>3.2876250000000003E-2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44C41-72FC-7B44-88A3-316DA7F5D469}">
  <dimension ref="A1:L25"/>
  <sheetViews>
    <sheetView workbookViewId="0">
      <selection activeCell="O5" sqref="O5"/>
    </sheetView>
  </sheetViews>
  <sheetFormatPr baseColWidth="10" defaultColWidth="8.83203125" defaultRowHeight="15" x14ac:dyDescent="0.2"/>
  <cols>
    <col min="1" max="1" width="14.83203125" customWidth="1"/>
    <col min="2" max="2" width="15.33203125" customWidth="1"/>
    <col min="3" max="3" width="14.83203125" bestFit="1" customWidth="1"/>
    <col min="4" max="4" width="19.5" customWidth="1"/>
    <col min="5" max="5" width="12.6640625" customWidth="1"/>
    <col min="7" max="7" width="14.6640625" customWidth="1"/>
    <col min="8" max="8" width="8.1640625" customWidth="1"/>
    <col min="9" max="9" width="13.83203125" customWidth="1"/>
    <col min="10" max="10" width="16" customWidth="1"/>
    <col min="11" max="11" width="17.83203125" customWidth="1"/>
  </cols>
  <sheetData>
    <row r="1" spans="1:12" ht="20" customHeight="1" x14ac:dyDescent="0.2">
      <c r="A1" s="346" t="s">
        <v>132</v>
      </c>
      <c r="B1" s="346"/>
      <c r="C1" s="346"/>
      <c r="D1" s="346"/>
      <c r="E1" s="346"/>
      <c r="F1" s="346"/>
      <c r="G1" s="346"/>
      <c r="H1" s="346"/>
      <c r="I1" s="346"/>
      <c r="J1" s="346"/>
    </row>
    <row r="2" spans="1:12" ht="20" customHeight="1" x14ac:dyDescent="0.2">
      <c r="A2" t="s">
        <v>133</v>
      </c>
      <c r="B2" s="336">
        <v>10.050000000000001</v>
      </c>
    </row>
    <row r="3" spans="1:12" ht="20" customHeight="1" thickBot="1" x14ac:dyDescent="0.25">
      <c r="A3" s="268" t="s">
        <v>134</v>
      </c>
      <c r="B3" s="269">
        <v>4002954437</v>
      </c>
    </row>
    <row r="4" spans="1:12" ht="20" customHeight="1" x14ac:dyDescent="0.2">
      <c r="A4" s="268" t="s">
        <v>135</v>
      </c>
      <c r="B4" s="295">
        <v>-0.49</v>
      </c>
    </row>
    <row r="5" spans="1:12" ht="30" customHeight="1" x14ac:dyDescent="0.2">
      <c r="A5" s="268" t="s">
        <v>136</v>
      </c>
      <c r="B5" s="269">
        <v>6.95</v>
      </c>
    </row>
    <row r="6" spans="1:12" ht="20" customHeight="1" x14ac:dyDescent="0.2">
      <c r="A6" s="355" t="s">
        <v>137</v>
      </c>
      <c r="B6" s="355"/>
      <c r="C6" s="355"/>
      <c r="D6" s="355"/>
      <c r="F6" s="346" t="s">
        <v>138</v>
      </c>
      <c r="G6" s="346"/>
      <c r="H6" s="346"/>
      <c r="I6" s="346"/>
    </row>
    <row r="7" spans="1:12" ht="20" customHeight="1" x14ac:dyDescent="0.2">
      <c r="A7" s="268" t="s">
        <v>139</v>
      </c>
      <c r="B7" s="268" t="s">
        <v>140</v>
      </c>
      <c r="C7" s="268" t="s">
        <v>141</v>
      </c>
      <c r="D7" s="268" t="s">
        <v>142</v>
      </c>
      <c r="F7" s="268" t="s">
        <v>139</v>
      </c>
      <c r="G7" s="268" t="s">
        <v>140</v>
      </c>
      <c r="H7" s="268" t="s">
        <v>141</v>
      </c>
      <c r="I7" s="268" t="s">
        <v>142</v>
      </c>
      <c r="J7" s="268" t="s">
        <v>143</v>
      </c>
    </row>
    <row r="8" spans="1:12" ht="20" customHeight="1" x14ac:dyDescent="0.2">
      <c r="A8" s="269" t="s">
        <v>104</v>
      </c>
      <c r="B8" s="324">
        <v>153926</v>
      </c>
      <c r="C8" s="324">
        <v>145386</v>
      </c>
      <c r="D8" s="324">
        <v>130380</v>
      </c>
      <c r="F8" s="269" t="s">
        <v>104</v>
      </c>
      <c r="G8" s="324">
        <v>0.75</v>
      </c>
      <c r="H8" s="324">
        <v>1.07</v>
      </c>
      <c r="I8" s="324">
        <v>1.29</v>
      </c>
      <c r="J8">
        <f>_xlfn.RRI(2,G8,I8)</f>
        <v>0.31148770486040012</v>
      </c>
    </row>
    <row r="9" spans="1:12" ht="20" customHeight="1" x14ac:dyDescent="0.2">
      <c r="A9" t="s">
        <v>144</v>
      </c>
      <c r="B9" s="324">
        <v>162515.1</v>
      </c>
      <c r="C9" s="324">
        <v>171779.25</v>
      </c>
      <c r="D9" s="324">
        <v>173344.9</v>
      </c>
      <c r="F9" t="s">
        <v>144</v>
      </c>
      <c r="G9" s="324"/>
      <c r="H9" s="324"/>
      <c r="I9" s="324"/>
      <c r="J9">
        <f>_xlfn.RRI(2,G9,I9)</f>
        <v>0</v>
      </c>
    </row>
    <row r="10" spans="1:12" ht="20" customHeight="1" x14ac:dyDescent="0.2">
      <c r="A10" t="s">
        <v>145</v>
      </c>
      <c r="B10" s="324">
        <v>162487.04999999999</v>
      </c>
      <c r="C10" s="324">
        <v>171103.99600000001</v>
      </c>
      <c r="D10" s="324">
        <v>166099.41428999999</v>
      </c>
      <c r="F10" t="s">
        <v>145</v>
      </c>
      <c r="G10" s="324">
        <v>1.2470000000000001</v>
      </c>
      <c r="H10" s="324">
        <v>1.7470000000000001</v>
      </c>
      <c r="I10" s="324">
        <v>1.64588</v>
      </c>
      <c r="J10">
        <f>_xlfn.RRI(2,G10,I10)</f>
        <v>0.14885668908743632</v>
      </c>
    </row>
    <row r="11" spans="1:12" ht="20" customHeight="1" x14ac:dyDescent="0.2">
      <c r="A11" s="268" t="s">
        <v>106</v>
      </c>
      <c r="B11" s="324">
        <v>168195.7</v>
      </c>
      <c r="C11" s="324">
        <v>191300</v>
      </c>
      <c r="D11" s="324">
        <v>185871</v>
      </c>
      <c r="F11" s="268" t="s">
        <v>106</v>
      </c>
      <c r="G11" s="325">
        <v>1.47</v>
      </c>
      <c r="H11" s="324">
        <v>2.4</v>
      </c>
      <c r="I11" s="324">
        <v>1.86</v>
      </c>
      <c r="J11">
        <f>_xlfn.RRI(2,G11,I11)</f>
        <v>0.12485826771597308</v>
      </c>
    </row>
    <row r="12" spans="1:12" ht="20" customHeight="1" x14ac:dyDescent="0.2">
      <c r="A12" s="268"/>
      <c r="B12" s="269"/>
    </row>
    <row r="13" spans="1:12" ht="37" customHeight="1" x14ac:dyDescent="0.2">
      <c r="A13" s="347" t="s">
        <v>146</v>
      </c>
      <c r="B13" s="348"/>
      <c r="C13" s="348"/>
      <c r="D13" s="348"/>
      <c r="E13" s="349"/>
      <c r="F13" s="356"/>
      <c r="G13" s="350" t="s">
        <v>147</v>
      </c>
      <c r="H13" s="351"/>
      <c r="I13" s="351"/>
      <c r="J13" s="351"/>
      <c r="K13" s="352"/>
      <c r="L13" s="274"/>
    </row>
    <row r="14" spans="1:12" ht="20" customHeight="1" x14ac:dyDescent="0.2">
      <c r="A14" s="275" t="s">
        <v>148</v>
      </c>
      <c r="B14" s="326">
        <v>10.050000000000001</v>
      </c>
      <c r="C14" s="353" t="s">
        <v>149</v>
      </c>
      <c r="D14" s="353"/>
      <c r="E14" s="354"/>
      <c r="F14" s="356"/>
      <c r="G14" s="277" t="s">
        <v>148</v>
      </c>
      <c r="H14" s="327">
        <v>10.050000000000001</v>
      </c>
      <c r="I14" s="353" t="s">
        <v>149</v>
      </c>
      <c r="J14" s="353"/>
      <c r="K14" s="354"/>
    </row>
    <row r="15" spans="1:12" ht="20" customHeight="1" x14ac:dyDescent="0.2">
      <c r="A15" s="342"/>
      <c r="B15" s="343"/>
      <c r="C15" s="279" t="s">
        <v>104</v>
      </c>
      <c r="D15" s="280" t="s">
        <v>150</v>
      </c>
      <c r="E15" s="281" t="s">
        <v>106</v>
      </c>
      <c r="F15" s="356"/>
      <c r="G15" s="342"/>
      <c r="H15" s="343"/>
      <c r="I15" s="279" t="s">
        <v>104</v>
      </c>
      <c r="J15" s="280" t="s">
        <v>150</v>
      </c>
      <c r="K15" s="281" t="s">
        <v>106</v>
      </c>
    </row>
    <row r="16" spans="1:12" ht="20" customHeight="1" x14ac:dyDescent="0.2">
      <c r="A16" s="344" t="s">
        <v>151</v>
      </c>
      <c r="B16" s="345"/>
      <c r="C16" s="328">
        <v>1.07</v>
      </c>
      <c r="D16" s="329">
        <v>1.7470000000000001</v>
      </c>
      <c r="E16" s="330">
        <v>2.4</v>
      </c>
      <c r="F16" s="356"/>
      <c r="G16" s="344" t="s">
        <v>151</v>
      </c>
      <c r="H16" s="345"/>
      <c r="I16" s="328">
        <v>1.07</v>
      </c>
      <c r="J16" s="329">
        <v>1.7470000000000001</v>
      </c>
      <c r="K16" s="330">
        <v>2.4</v>
      </c>
    </row>
    <row r="17" spans="1:11" ht="20" customHeight="1" x14ac:dyDescent="0.2">
      <c r="A17" s="287" t="s">
        <v>152</v>
      </c>
      <c r="B17" s="331">
        <v>5.7</v>
      </c>
      <c r="C17" s="332">
        <f>$B$17*C16</f>
        <v>6.0990000000000002</v>
      </c>
      <c r="D17" s="332">
        <f t="shared" ref="D17:E17" si="0">$B$17*D16</f>
        <v>9.9579000000000004</v>
      </c>
      <c r="E17" s="332">
        <f t="shared" si="0"/>
        <v>13.68</v>
      </c>
      <c r="F17" s="356"/>
      <c r="G17" s="287" t="s">
        <v>152</v>
      </c>
      <c r="H17" s="331">
        <v>5.7</v>
      </c>
      <c r="I17" s="288">
        <f>(C17-$H$14)/$H$14</f>
        <v>-0.393134328358209</v>
      </c>
      <c r="J17" s="288">
        <f>(D17-$H$14)/$H$14</f>
        <v>-9.1641791044776398E-3</v>
      </c>
      <c r="K17" s="288">
        <f>(E17-$H$14)/$H$14</f>
        <v>0.36119402985074617</v>
      </c>
    </row>
    <row r="18" spans="1:11" ht="20" customHeight="1" x14ac:dyDescent="0.2">
      <c r="A18" s="290" t="s">
        <v>153</v>
      </c>
      <c r="B18" s="333">
        <v>6.95</v>
      </c>
      <c r="C18" s="332">
        <f>B18*$C$16</f>
        <v>7.4365000000000006</v>
      </c>
      <c r="D18" s="332">
        <f>B18*D16</f>
        <v>12.14165</v>
      </c>
      <c r="E18" s="332">
        <f>B18*E16</f>
        <v>16.68</v>
      </c>
      <c r="F18" s="356"/>
      <c r="G18" s="290" t="s">
        <v>153</v>
      </c>
      <c r="H18" s="333">
        <v>6.95</v>
      </c>
      <c r="I18" s="288">
        <f t="shared" ref="I18:K20" si="1">(C18-$H$14)/$H$14</f>
        <v>-0.2600497512437811</v>
      </c>
      <c r="J18" s="288">
        <f t="shared" si="1"/>
        <v>0.20812437810945267</v>
      </c>
      <c r="K18" s="288">
        <f t="shared" si="1"/>
        <v>0.65970149253731325</v>
      </c>
    </row>
    <row r="19" spans="1:11" ht="20" customHeight="1" x14ac:dyDescent="0.2">
      <c r="A19" s="292" t="s">
        <v>154</v>
      </c>
      <c r="B19" s="334">
        <f>B5*(1+J10)</f>
        <v>7.9845539891576829</v>
      </c>
      <c r="C19" s="332">
        <f>B19*$C$16</f>
        <v>8.5434727683987219</v>
      </c>
      <c r="D19" s="332">
        <f>B19*D16</f>
        <v>13.949015819058474</v>
      </c>
      <c r="E19" s="332">
        <f>B19*E16</f>
        <v>19.162929573978438</v>
      </c>
      <c r="F19" s="356"/>
      <c r="G19" s="292" t="s">
        <v>154</v>
      </c>
      <c r="H19" s="334">
        <v>7.9845539891576829</v>
      </c>
      <c r="I19" s="288">
        <f t="shared" si="1"/>
        <v>-0.14990320712450533</v>
      </c>
      <c r="J19" s="288">
        <f t="shared" si="1"/>
        <v>0.38796177304064405</v>
      </c>
      <c r="K19" s="288">
        <f t="shared" si="1"/>
        <v>0.90675916158989422</v>
      </c>
    </row>
    <row r="20" spans="1:11" ht="20" customHeight="1" x14ac:dyDescent="0.2">
      <c r="A20" s="294" t="s">
        <v>155</v>
      </c>
      <c r="B20" s="335">
        <v>8.1999999999999993</v>
      </c>
      <c r="C20" s="332">
        <f>$B$20*C16</f>
        <v>8.7739999999999991</v>
      </c>
      <c r="D20" s="332">
        <f t="shared" ref="D20:E20" si="2">$B$20*D16</f>
        <v>14.3254</v>
      </c>
      <c r="E20" s="332">
        <f t="shared" si="2"/>
        <v>19.679999999999996</v>
      </c>
      <c r="F20" s="356"/>
      <c r="G20" s="294" t="s">
        <v>155</v>
      </c>
      <c r="H20" s="335">
        <v>8.1999999999999993</v>
      </c>
      <c r="I20" s="288">
        <f t="shared" si="1"/>
        <v>-0.12696517412935338</v>
      </c>
      <c r="J20" s="288">
        <f t="shared" si="1"/>
        <v>0.42541293532338298</v>
      </c>
      <c r="K20" s="288">
        <f t="shared" si="1"/>
        <v>0.95820895522388005</v>
      </c>
    </row>
    <row r="21" spans="1:11" ht="20" customHeight="1" x14ac:dyDescent="0.2"/>
    <row r="23" spans="1:11" ht="16" thickBot="1" x14ac:dyDescent="0.25"/>
    <row r="24" spans="1:11" ht="16" thickBot="1" x14ac:dyDescent="0.25">
      <c r="B24" s="295">
        <v>0.31</v>
      </c>
    </row>
    <row r="25" spans="1:11" x14ac:dyDescent="0.2">
      <c r="A25" s="295">
        <v>2.94</v>
      </c>
      <c r="C25" s="295">
        <v>1.84</v>
      </c>
      <c r="D25" s="295">
        <v>1.1499999999999999</v>
      </c>
      <c r="E25" s="295">
        <v>1.8</v>
      </c>
      <c r="F25" s="295">
        <v>0.89</v>
      </c>
      <c r="G25" s="295">
        <v>0.04</v>
      </c>
      <c r="H25" s="295">
        <v>-0.32</v>
      </c>
      <c r="I25" s="295">
        <v>4.45</v>
      </c>
      <c r="J25" s="295">
        <v>-0.49</v>
      </c>
    </row>
  </sheetData>
  <mergeCells count="12">
    <mergeCell ref="A15:B15"/>
    <mergeCell ref="G15:H15"/>
    <mergeCell ref="A16:B16"/>
    <mergeCell ref="G16:H16"/>
    <mergeCell ref="A1:J1"/>
    <mergeCell ref="A13:E13"/>
    <mergeCell ref="G13:K13"/>
    <mergeCell ref="C14:E14"/>
    <mergeCell ref="I14:K14"/>
    <mergeCell ref="A6:D6"/>
    <mergeCell ref="F6:I6"/>
    <mergeCell ref="F13:F20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C888-7199-AC4B-A149-F1061F18EBE0}">
  <dimension ref="A1:L25"/>
  <sheetViews>
    <sheetView workbookViewId="0">
      <selection sqref="A1:J1"/>
    </sheetView>
  </sheetViews>
  <sheetFormatPr baseColWidth="10" defaultColWidth="8.83203125" defaultRowHeight="15" x14ac:dyDescent="0.2"/>
  <cols>
    <col min="1" max="1" width="14.83203125" customWidth="1"/>
    <col min="2" max="2" width="18.5" customWidth="1"/>
    <col min="3" max="3" width="14.83203125" bestFit="1" customWidth="1"/>
    <col min="4" max="4" width="19.33203125" customWidth="1"/>
    <col min="5" max="5" width="12.6640625" customWidth="1"/>
    <col min="7" max="7" width="14.6640625" customWidth="1"/>
    <col min="8" max="8" width="8.1640625" customWidth="1"/>
    <col min="9" max="9" width="15.6640625" customWidth="1"/>
    <col min="10" max="11" width="16.1640625" customWidth="1"/>
  </cols>
  <sheetData>
    <row r="1" spans="1:12" ht="20" customHeight="1" x14ac:dyDescent="0.25">
      <c r="A1" s="359" t="s">
        <v>132</v>
      </c>
      <c r="B1" s="359"/>
      <c r="C1" s="359"/>
      <c r="D1" s="359"/>
      <c r="E1" s="359"/>
      <c r="F1" s="359"/>
      <c r="G1" s="359"/>
      <c r="H1" s="359"/>
      <c r="I1" s="359"/>
      <c r="J1" s="359"/>
    </row>
    <row r="2" spans="1:12" ht="20" customHeight="1" x14ac:dyDescent="0.2">
      <c r="A2" s="300" t="s">
        <v>133</v>
      </c>
      <c r="B2" s="319">
        <v>10.050000000000001</v>
      </c>
      <c r="D2" s="322">
        <v>1000000</v>
      </c>
    </row>
    <row r="3" spans="1:12" ht="20" customHeight="1" thickBot="1" x14ac:dyDescent="0.25">
      <c r="A3" s="272" t="s">
        <v>134</v>
      </c>
      <c r="B3" s="303">
        <v>4002954437</v>
      </c>
      <c r="D3" s="323">
        <f>D11*D2</f>
        <v>185871000000</v>
      </c>
    </row>
    <row r="4" spans="1:12" ht="20" customHeight="1" x14ac:dyDescent="0.2">
      <c r="A4" s="272" t="s">
        <v>156</v>
      </c>
      <c r="B4" s="304">
        <v>158057000000</v>
      </c>
      <c r="C4" s="218"/>
      <c r="D4" s="322">
        <f>D9*1000000</f>
        <v>173344900000</v>
      </c>
    </row>
    <row r="5" spans="1:12" ht="20" customHeight="1" x14ac:dyDescent="0.2">
      <c r="A5" s="270" t="s">
        <v>157</v>
      </c>
      <c r="B5" s="271">
        <f>(B3*B2)/(B8*1000000)</f>
        <v>0.26135735413023142</v>
      </c>
    </row>
    <row r="6" spans="1:12" ht="20" customHeight="1" x14ac:dyDescent="0.25">
      <c r="A6" s="364" t="s">
        <v>158</v>
      </c>
      <c r="B6" s="365"/>
      <c r="C6" s="365"/>
      <c r="D6" s="365"/>
      <c r="E6" s="366"/>
      <c r="G6" s="360" t="s">
        <v>159</v>
      </c>
      <c r="H6" s="361"/>
      <c r="I6" s="361"/>
      <c r="J6" s="361"/>
      <c r="K6" s="362"/>
    </row>
    <row r="7" spans="1:12" ht="20" customHeight="1" x14ac:dyDescent="0.2">
      <c r="A7" s="305" t="s">
        <v>139</v>
      </c>
      <c r="B7" s="306" t="s">
        <v>140</v>
      </c>
      <c r="C7" s="306" t="s">
        <v>141</v>
      </c>
      <c r="D7" s="306" t="s">
        <v>142</v>
      </c>
      <c r="E7" s="305" t="s">
        <v>143</v>
      </c>
      <c r="G7" s="310" t="s">
        <v>139</v>
      </c>
      <c r="H7" s="311" t="s">
        <v>140</v>
      </c>
      <c r="I7" s="311" t="s">
        <v>141</v>
      </c>
      <c r="J7" s="311" t="s">
        <v>142</v>
      </c>
      <c r="K7" s="311" t="s">
        <v>143</v>
      </c>
    </row>
    <row r="8" spans="1:12" ht="20" customHeight="1" x14ac:dyDescent="0.2">
      <c r="A8" s="307" t="s">
        <v>104</v>
      </c>
      <c r="B8" s="309">
        <v>153926</v>
      </c>
      <c r="C8" s="309">
        <v>145386</v>
      </c>
      <c r="D8" s="309">
        <v>130380</v>
      </c>
      <c r="E8" s="308"/>
      <c r="G8" s="312" t="s">
        <v>104</v>
      </c>
      <c r="H8" s="313">
        <v>0.24</v>
      </c>
      <c r="I8" s="313">
        <v>0.24</v>
      </c>
      <c r="J8" s="313">
        <v>0.22</v>
      </c>
      <c r="K8" s="314">
        <f>_xlfn.RRI(2,H8,J8)</f>
        <v>-4.2572892243661897E-2</v>
      </c>
    </row>
    <row r="9" spans="1:12" ht="20" customHeight="1" x14ac:dyDescent="0.2">
      <c r="A9" s="302" t="s">
        <v>144</v>
      </c>
      <c r="B9" s="309">
        <v>162515.1</v>
      </c>
      <c r="C9" s="309">
        <v>171779.25</v>
      </c>
      <c r="D9" s="309">
        <v>173344.9</v>
      </c>
      <c r="E9" s="308">
        <f>_xlfn.RRI(3, B4,D4)</f>
        <v>3.1254313379674548E-2</v>
      </c>
      <c r="G9" s="315" t="s">
        <v>144</v>
      </c>
      <c r="H9" s="316">
        <v>0.27</v>
      </c>
      <c r="I9" s="316">
        <v>0.27</v>
      </c>
      <c r="J9" s="316">
        <v>0.26</v>
      </c>
      <c r="K9" s="314">
        <f>_xlfn.RRI(2,H9,J9)</f>
        <v>-1.8693237074683733E-2</v>
      </c>
    </row>
    <row r="10" spans="1:12" ht="20" customHeight="1" x14ac:dyDescent="0.2">
      <c r="A10" s="302" t="s">
        <v>145</v>
      </c>
      <c r="B10" s="309">
        <v>162487.04999999999</v>
      </c>
      <c r="C10" s="309">
        <v>171103.99600000001</v>
      </c>
      <c r="D10" s="309">
        <v>166099.41428999999</v>
      </c>
      <c r="E10" s="308"/>
      <c r="G10" s="315" t="s">
        <v>145</v>
      </c>
      <c r="H10" s="316">
        <v>0.27</v>
      </c>
      <c r="I10" s="316">
        <v>0.27</v>
      </c>
      <c r="J10" s="316">
        <v>0.26</v>
      </c>
      <c r="K10" s="314">
        <f>_xlfn.RRI(2,H10,J10)</f>
        <v>-1.8693237074683733E-2</v>
      </c>
    </row>
    <row r="11" spans="1:12" ht="20" customHeight="1" x14ac:dyDescent="0.2">
      <c r="A11" s="305" t="s">
        <v>106</v>
      </c>
      <c r="B11" s="309">
        <v>168195.7</v>
      </c>
      <c r="C11" s="309">
        <v>191300</v>
      </c>
      <c r="D11" s="309">
        <v>185871</v>
      </c>
      <c r="E11" s="308">
        <f>_xlfn.RRI(3,B4,D3)</f>
        <v>5.5518785368205981E-2</v>
      </c>
      <c r="G11" s="317" t="s">
        <v>106</v>
      </c>
      <c r="H11" s="318">
        <v>0.3</v>
      </c>
      <c r="I11" s="318">
        <v>0.3</v>
      </c>
      <c r="J11" s="316">
        <v>0.3</v>
      </c>
      <c r="K11" s="314">
        <f>_xlfn.RRI(2,H11,J11)</f>
        <v>0</v>
      </c>
    </row>
    <row r="12" spans="1:12" ht="20" customHeight="1" x14ac:dyDescent="0.2">
      <c r="A12" s="268"/>
      <c r="B12" s="269"/>
      <c r="G12" s="273"/>
    </row>
    <row r="13" spans="1:12" ht="35" customHeight="1" x14ac:dyDescent="0.2">
      <c r="A13" s="347" t="s">
        <v>146</v>
      </c>
      <c r="B13" s="348"/>
      <c r="C13" s="348"/>
      <c r="D13" s="348"/>
      <c r="E13" s="349"/>
      <c r="F13" s="320"/>
      <c r="G13" s="350" t="s">
        <v>147</v>
      </c>
      <c r="H13" s="351"/>
      <c r="I13" s="351"/>
      <c r="J13" s="351"/>
      <c r="K13" s="352"/>
      <c r="L13" s="274"/>
    </row>
    <row r="14" spans="1:12" ht="20" customHeight="1" x14ac:dyDescent="0.2">
      <c r="A14" s="275" t="s">
        <v>148</v>
      </c>
      <c r="B14" s="276">
        <v>10.050000000000001</v>
      </c>
      <c r="C14" s="363" t="s">
        <v>160</v>
      </c>
      <c r="D14" s="353"/>
      <c r="E14" s="354"/>
      <c r="F14" s="320"/>
      <c r="G14" s="277" t="s">
        <v>148</v>
      </c>
      <c r="H14" s="278">
        <v>10.050000000000001</v>
      </c>
      <c r="I14" s="353" t="s">
        <v>160</v>
      </c>
      <c r="J14" s="353"/>
      <c r="K14" s="353"/>
    </row>
    <row r="15" spans="1:12" ht="20" customHeight="1" x14ac:dyDescent="0.2">
      <c r="A15" s="357"/>
      <c r="B15" s="358"/>
      <c r="C15" s="279" t="s">
        <v>104</v>
      </c>
      <c r="D15" s="280" t="s">
        <v>150</v>
      </c>
      <c r="E15" s="281" t="s">
        <v>106</v>
      </c>
      <c r="F15" s="127"/>
      <c r="G15" s="357"/>
      <c r="H15" s="358"/>
      <c r="I15" s="279" t="s">
        <v>104</v>
      </c>
      <c r="J15" s="280" t="s">
        <v>150</v>
      </c>
      <c r="K15" s="281" t="s">
        <v>106</v>
      </c>
    </row>
    <row r="16" spans="1:12" ht="20" customHeight="1" x14ac:dyDescent="0.2">
      <c r="A16" s="344" t="s">
        <v>161</v>
      </c>
      <c r="B16" s="345"/>
      <c r="C16" s="282">
        <v>145386</v>
      </c>
      <c r="D16" s="283">
        <v>171103.99600000001</v>
      </c>
      <c r="E16" s="284">
        <v>191300</v>
      </c>
      <c r="F16" s="127"/>
      <c r="G16" s="344" t="s">
        <v>161</v>
      </c>
      <c r="H16" s="345"/>
      <c r="I16" s="282">
        <v>145386</v>
      </c>
      <c r="J16" s="283">
        <v>171103.99600000001</v>
      </c>
      <c r="K16" s="284">
        <v>191300</v>
      </c>
    </row>
    <row r="17" spans="1:11" ht="20" customHeight="1" x14ac:dyDescent="0.2">
      <c r="A17" s="287" t="s">
        <v>152</v>
      </c>
      <c r="B17" s="285">
        <v>0.24</v>
      </c>
      <c r="C17" s="286">
        <f>B17*$C$16/$B$3*$D$2</f>
        <v>8.7167217486867425</v>
      </c>
      <c r="D17" s="286">
        <f>B17*$D$16/$B$3*$D$2</f>
        <v>10.25866261689853</v>
      </c>
      <c r="E17" s="286">
        <f>B17*$E$16/$B$3*$D$2</f>
        <v>11.469528500156645</v>
      </c>
      <c r="F17" s="127"/>
      <c r="G17" s="287" t="s">
        <v>152</v>
      </c>
      <c r="H17" s="285">
        <v>0.24</v>
      </c>
      <c r="I17" s="288">
        <f>(C17-$H$14)/$H$14</f>
        <v>-0.13266450261823465</v>
      </c>
      <c r="J17" s="288">
        <f>(D17-$H$14)/$H$14</f>
        <v>2.0762449442639705E-2</v>
      </c>
      <c r="K17" s="288">
        <f>(E17-$H$14)/$H$14</f>
        <v>0.1412466169310094</v>
      </c>
    </row>
    <row r="18" spans="1:11" ht="20" customHeight="1" x14ac:dyDescent="0.2">
      <c r="A18" s="290" t="s">
        <v>153</v>
      </c>
      <c r="B18" s="289">
        <f>B5</f>
        <v>0.26135735413023142</v>
      </c>
      <c r="C18" s="286">
        <f>B18*$C$16/$B$3*$D$2</f>
        <v>9.4924138871925479</v>
      </c>
      <c r="D18" s="286">
        <f>B18*$D$16/$B$3*$D$2</f>
        <v>11.171570493613816</v>
      </c>
      <c r="E18" s="286">
        <f t="shared" ref="E18:E20" si="0">B18*$E$16/$B$3*$D$2</f>
        <v>12.490190091342596</v>
      </c>
      <c r="F18" s="127"/>
      <c r="G18" s="290" t="s">
        <v>153</v>
      </c>
      <c r="H18" s="289">
        <v>0.26135735413023142</v>
      </c>
      <c r="I18" s="288">
        <f t="shared" ref="I18:K20" si="1">(C18-$H$14)/$H$14</f>
        <v>-5.5481205254472914E-2</v>
      </c>
      <c r="J18" s="288">
        <f t="shared" si="1"/>
        <v>0.11159905409092685</v>
      </c>
      <c r="K18" s="288">
        <f t="shared" si="1"/>
        <v>0.24280498421319352</v>
      </c>
    </row>
    <row r="19" spans="1:11" ht="20" customHeight="1" x14ac:dyDescent="0.2">
      <c r="A19" s="292" t="s">
        <v>154</v>
      </c>
      <c r="B19" s="291">
        <f>B5*(1+E9)</f>
        <v>0.26952589878030025</v>
      </c>
      <c r="C19" s="286">
        <f t="shared" ref="C19:C20" si="2">B19*$C$16/$B$3*$D$2</f>
        <v>9.7890927655524376</v>
      </c>
      <c r="D19" s="286">
        <f t="shared" ref="D19:D20" si="3">B19*$D$16/$B$3*$D$2</f>
        <v>11.520730258764347</v>
      </c>
      <c r="E19" s="286">
        <f t="shared" si="0"/>
        <v>12.880562406629121</v>
      </c>
      <c r="F19" s="127"/>
      <c r="G19" s="292" t="s">
        <v>154</v>
      </c>
      <c r="H19" s="291">
        <v>0.26952589878030025</v>
      </c>
      <c r="I19" s="288">
        <f t="shared" si="1"/>
        <v>-2.5960918850503792E-2</v>
      </c>
      <c r="J19" s="288">
        <f t="shared" si="1"/>
        <v>0.14634131928003447</v>
      </c>
      <c r="K19" s="288">
        <f t="shared" si="1"/>
        <v>0.28164800065961393</v>
      </c>
    </row>
    <row r="20" spans="1:11" ht="20" customHeight="1" x14ac:dyDescent="0.2">
      <c r="A20" s="321" t="s">
        <v>155</v>
      </c>
      <c r="B20" s="293">
        <f>B5*(1+E11)</f>
        <v>0.27586759697858992</v>
      </c>
      <c r="C20" s="286">
        <f t="shared" si="2"/>
        <v>10.019421176421767</v>
      </c>
      <c r="D20" s="286">
        <f t="shared" si="3"/>
        <v>11.791802518074542</v>
      </c>
      <c r="E20" s="286">
        <f t="shared" si="0"/>
        <v>13.183630274231936</v>
      </c>
      <c r="F20" s="127"/>
      <c r="G20" s="294" t="s">
        <v>155</v>
      </c>
      <c r="H20" s="293">
        <v>0.27586759697858992</v>
      </c>
      <c r="I20" s="288">
        <f t="shared" si="1"/>
        <v>-3.0426690127595404E-3</v>
      </c>
      <c r="J20" s="288">
        <f t="shared" si="1"/>
        <v>0.17331368339050163</v>
      </c>
      <c r="K20" s="288">
        <f t="shared" si="1"/>
        <v>0.31180400738626218</v>
      </c>
    </row>
    <row r="21" spans="1:11" ht="20" customHeight="1" x14ac:dyDescent="0.2"/>
    <row r="22" spans="1:11" ht="20" customHeight="1" x14ac:dyDescent="0.2"/>
    <row r="23" spans="1:11" ht="16" thickBot="1" x14ac:dyDescent="0.25"/>
    <row r="24" spans="1:11" ht="16" thickBot="1" x14ac:dyDescent="0.25">
      <c r="B24" s="295">
        <v>0.31</v>
      </c>
    </row>
    <row r="25" spans="1:11" x14ac:dyDescent="0.2">
      <c r="A25" s="295">
        <v>2.94</v>
      </c>
      <c r="C25" s="295">
        <v>1.84</v>
      </c>
      <c r="D25" s="295">
        <v>1.1499999999999999</v>
      </c>
      <c r="E25" s="295">
        <v>1.8</v>
      </c>
      <c r="F25" s="295">
        <v>0.89</v>
      </c>
      <c r="G25" s="295">
        <v>0.04</v>
      </c>
      <c r="H25" s="295">
        <v>-0.32</v>
      </c>
      <c r="I25" s="295">
        <v>4.45</v>
      </c>
      <c r="J25" s="295">
        <v>-0.49</v>
      </c>
    </row>
  </sheetData>
  <mergeCells count="11">
    <mergeCell ref="A15:B15"/>
    <mergeCell ref="G15:H15"/>
    <mergeCell ref="A16:B16"/>
    <mergeCell ref="G16:H16"/>
    <mergeCell ref="A1:J1"/>
    <mergeCell ref="G6:K6"/>
    <mergeCell ref="A13:E13"/>
    <mergeCell ref="G13:K13"/>
    <mergeCell ref="C14:E14"/>
    <mergeCell ref="I14:K14"/>
    <mergeCell ref="A6:E6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3366E-D73C-4749-819A-CB46708319F2}">
  <dimension ref="A1:F75"/>
  <sheetViews>
    <sheetView showGridLines="0" workbookViewId="0">
      <selection activeCell="A27" sqref="A27"/>
    </sheetView>
  </sheetViews>
  <sheetFormatPr baseColWidth="10" defaultColWidth="8.83203125" defaultRowHeight="16" x14ac:dyDescent="0.2"/>
  <cols>
    <col min="1" max="1" width="29.5" style="207" bestFit="1" customWidth="1"/>
    <col min="2" max="6" width="21.5" style="207" bestFit="1" customWidth="1"/>
    <col min="7" max="16384" width="8.83203125" style="207"/>
  </cols>
  <sheetData>
    <row r="1" spans="1:6" x14ac:dyDescent="0.2">
      <c r="A1" s="206" t="s">
        <v>162</v>
      </c>
    </row>
    <row r="3" spans="1:6" x14ac:dyDescent="0.2">
      <c r="A3" s="208" t="s">
        <v>163</v>
      </c>
    </row>
    <row r="4" spans="1:6" ht="17" thickBot="1" x14ac:dyDescent="0.25">
      <c r="A4" s="208" t="s">
        <v>164</v>
      </c>
    </row>
    <row r="5" spans="1:6" ht="17" thickBot="1" x14ac:dyDescent="0.25">
      <c r="A5" s="209"/>
      <c r="B5" s="210">
        <v>2022</v>
      </c>
      <c r="C5" s="210">
        <v>2021</v>
      </c>
      <c r="D5" s="210">
        <v>2020</v>
      </c>
      <c r="E5" s="210">
        <v>2019</v>
      </c>
      <c r="F5" s="210">
        <v>2018</v>
      </c>
    </row>
    <row r="6" spans="1:6" ht="19" customHeight="1" thickBot="1" x14ac:dyDescent="0.3">
      <c r="A6" s="211" t="s">
        <v>165</v>
      </c>
      <c r="B6" s="212" t="s">
        <v>166</v>
      </c>
      <c r="C6" s="213" t="s">
        <v>167</v>
      </c>
      <c r="D6" s="212" t="s">
        <v>168</v>
      </c>
      <c r="E6" s="212" t="s">
        <v>169</v>
      </c>
      <c r="F6" s="213" t="s">
        <v>170</v>
      </c>
    </row>
    <row r="7" spans="1:6" ht="17" thickBot="1" x14ac:dyDescent="0.25">
      <c r="A7" s="214" t="s">
        <v>171</v>
      </c>
      <c r="B7" s="215" t="s">
        <v>172</v>
      </c>
      <c r="C7" s="215" t="s">
        <v>173</v>
      </c>
      <c r="D7" s="215" t="s">
        <v>174</v>
      </c>
      <c r="E7" s="215" t="s">
        <v>175</v>
      </c>
      <c r="F7" s="215" t="s">
        <v>176</v>
      </c>
    </row>
    <row r="8" spans="1:6" ht="17" thickBot="1" x14ac:dyDescent="0.25">
      <c r="A8" s="214" t="s">
        <v>177</v>
      </c>
      <c r="B8" s="215" t="s">
        <v>178</v>
      </c>
      <c r="C8" s="215" t="s">
        <v>178</v>
      </c>
      <c r="D8" s="215" t="s">
        <v>178</v>
      </c>
      <c r="E8" s="215" t="s">
        <v>178</v>
      </c>
      <c r="F8" s="215" t="s">
        <v>178</v>
      </c>
    </row>
    <row r="9" spans="1:6" ht="17" thickBot="1" x14ac:dyDescent="0.25">
      <c r="A9" s="214" t="s">
        <v>179</v>
      </c>
      <c r="B9" s="215" t="s">
        <v>180</v>
      </c>
      <c r="C9" s="215" t="s">
        <v>180</v>
      </c>
      <c r="D9" s="215" t="s">
        <v>180</v>
      </c>
      <c r="E9" s="215" t="s">
        <v>180</v>
      </c>
      <c r="F9" s="215" t="s">
        <v>180</v>
      </c>
    </row>
    <row r="10" spans="1:6" ht="17" thickBot="1" x14ac:dyDescent="0.25">
      <c r="A10" s="214" t="s">
        <v>181</v>
      </c>
      <c r="B10" s="215" t="s">
        <v>172</v>
      </c>
      <c r="C10" s="215" t="s">
        <v>173</v>
      </c>
      <c r="D10" s="215" t="s">
        <v>174</v>
      </c>
      <c r="E10" s="215" t="s">
        <v>175</v>
      </c>
      <c r="F10" s="215" t="s">
        <v>176</v>
      </c>
    </row>
    <row r="11" spans="1:6" ht="17" thickBot="1" x14ac:dyDescent="0.25">
      <c r="A11" s="214" t="s">
        <v>182</v>
      </c>
      <c r="B11" s="215" t="s">
        <v>183</v>
      </c>
      <c r="C11" s="215" t="s">
        <v>183</v>
      </c>
      <c r="D11" s="215" t="s">
        <v>183</v>
      </c>
      <c r="E11" s="215" t="s">
        <v>183</v>
      </c>
      <c r="F11" s="215" t="s">
        <v>183</v>
      </c>
    </row>
    <row r="12" spans="1:6" ht="17" thickBot="1" x14ac:dyDescent="0.25">
      <c r="A12" s="214" t="s">
        <v>184</v>
      </c>
      <c r="B12" s="215" t="s">
        <v>185</v>
      </c>
      <c r="C12" s="215" t="s">
        <v>186</v>
      </c>
      <c r="D12" s="215" t="s">
        <v>186</v>
      </c>
      <c r="E12" s="215" t="s">
        <v>186</v>
      </c>
      <c r="F12" s="215" t="s">
        <v>187</v>
      </c>
    </row>
    <row r="13" spans="1:6" ht="17" thickBot="1" x14ac:dyDescent="0.25">
      <c r="A13" s="214" t="s">
        <v>188</v>
      </c>
      <c r="B13" s="215" t="s">
        <v>189</v>
      </c>
      <c r="C13" s="215" t="s">
        <v>189</v>
      </c>
      <c r="D13" s="215" t="s">
        <v>189</v>
      </c>
      <c r="E13" s="215" t="s">
        <v>189</v>
      </c>
      <c r="F13" s="215" t="s">
        <v>189</v>
      </c>
    </row>
    <row r="14" spans="1:6" ht="17" thickBot="1" x14ac:dyDescent="0.25">
      <c r="A14" s="214" t="s">
        <v>190</v>
      </c>
      <c r="B14" s="215" t="s">
        <v>191</v>
      </c>
      <c r="C14" s="215" t="s">
        <v>191</v>
      </c>
      <c r="D14" s="215" t="s">
        <v>191</v>
      </c>
      <c r="E14" s="215" t="s">
        <v>191</v>
      </c>
      <c r="F14" s="215" t="s">
        <v>191</v>
      </c>
    </row>
    <row r="15" spans="1:6" ht="17" thickBot="1" x14ac:dyDescent="0.25">
      <c r="A15" s="214" t="s">
        <v>192</v>
      </c>
      <c r="B15" s="215" t="s">
        <v>193</v>
      </c>
      <c r="C15" s="215" t="s">
        <v>194</v>
      </c>
      <c r="D15" s="215" t="s">
        <v>195</v>
      </c>
      <c r="E15" s="215" t="s">
        <v>196</v>
      </c>
      <c r="F15" s="215" t="s">
        <v>197</v>
      </c>
    </row>
    <row r="16" spans="1:6" ht="17" thickBot="1" x14ac:dyDescent="0.25">
      <c r="A16" s="214" t="s">
        <v>198</v>
      </c>
      <c r="B16" s="215">
        <v>44959.883333333331</v>
      </c>
      <c r="C16" s="215">
        <v>44595.883333333331</v>
      </c>
      <c r="D16" s="215">
        <v>44231.892361111109</v>
      </c>
      <c r="E16" s="215">
        <v>43837.801388888889</v>
      </c>
      <c r="F16" s="215">
        <v>43488.902777777781</v>
      </c>
    </row>
    <row r="17" spans="1:6" ht="17" thickBot="1" x14ac:dyDescent="0.25">
      <c r="A17" s="214" t="s">
        <v>199</v>
      </c>
      <c r="B17" s="215" t="s">
        <v>200</v>
      </c>
      <c r="C17" s="215" t="s">
        <v>200</v>
      </c>
      <c r="D17" s="215" t="s">
        <v>200</v>
      </c>
      <c r="E17" s="215" t="s">
        <v>200</v>
      </c>
      <c r="F17" s="215" t="s">
        <v>200</v>
      </c>
    </row>
    <row r="18" spans="1:6" ht="17" thickBot="1" x14ac:dyDescent="0.25">
      <c r="A18" s="214" t="s">
        <v>201</v>
      </c>
      <c r="B18" s="215" t="s">
        <v>202</v>
      </c>
      <c r="C18" s="215" t="s">
        <v>202</v>
      </c>
      <c r="D18" s="215" t="s">
        <v>202</v>
      </c>
      <c r="E18" s="215" t="s">
        <v>202</v>
      </c>
      <c r="F18" s="215" t="s">
        <v>202</v>
      </c>
    </row>
    <row r="19" spans="1:6" ht="17" thickBot="1" x14ac:dyDescent="0.25">
      <c r="A19" s="214" t="s">
        <v>203</v>
      </c>
      <c r="B19" s="215" t="s">
        <v>204</v>
      </c>
      <c r="C19" s="215" t="s">
        <v>204</v>
      </c>
      <c r="D19" s="215" t="s">
        <v>204</v>
      </c>
      <c r="E19" s="215" t="s">
        <v>204</v>
      </c>
      <c r="F19" s="215" t="s">
        <v>204</v>
      </c>
    </row>
    <row r="20" spans="1:6" ht="17" thickBot="1" x14ac:dyDescent="0.25">
      <c r="A20" s="214" t="s">
        <v>205</v>
      </c>
      <c r="B20" s="215" t="s">
        <v>206</v>
      </c>
      <c r="C20" s="215" t="s">
        <v>206</v>
      </c>
      <c r="D20" s="215" t="s">
        <v>206</v>
      </c>
      <c r="E20" s="215" t="s">
        <v>206</v>
      </c>
      <c r="F20" s="215" t="s">
        <v>206</v>
      </c>
    </row>
    <row r="21" spans="1:6" ht="17" thickBot="1" x14ac:dyDescent="0.25">
      <c r="A21" s="214" t="s">
        <v>207</v>
      </c>
      <c r="B21" s="215" t="s">
        <v>208</v>
      </c>
      <c r="C21" s="215" t="s">
        <v>208</v>
      </c>
      <c r="D21" s="215" t="s">
        <v>208</v>
      </c>
      <c r="E21" s="215" t="s">
        <v>208</v>
      </c>
      <c r="F21" s="215" t="s">
        <v>208</v>
      </c>
    </row>
    <row r="22" spans="1:6" x14ac:dyDescent="0.2">
      <c r="A22" s="214" t="s">
        <v>209</v>
      </c>
      <c r="B22" s="215" t="s">
        <v>210</v>
      </c>
      <c r="C22" s="215" t="s">
        <v>210</v>
      </c>
      <c r="D22" s="215" t="s">
        <v>210</v>
      </c>
      <c r="E22" s="215" t="s">
        <v>210</v>
      </c>
      <c r="F22" s="215" t="s">
        <v>210</v>
      </c>
    </row>
    <row r="23" spans="1:6" ht="16" customHeight="1" thickBot="1" x14ac:dyDescent="0.25">
      <c r="A23" s="216" t="s">
        <v>211</v>
      </c>
      <c r="B23" s="216"/>
      <c r="C23" s="216"/>
      <c r="D23" s="216"/>
      <c r="E23" s="216"/>
      <c r="F23" s="216"/>
    </row>
    <row r="24" spans="1:6" ht="17" thickBot="1" x14ac:dyDescent="0.25">
      <c r="A24" s="217" t="s">
        <v>212</v>
      </c>
      <c r="B24" s="218">
        <v>-2152</v>
      </c>
      <c r="C24" s="218">
        <v>17910</v>
      </c>
      <c r="D24" s="218">
        <v>-1276</v>
      </c>
      <c r="E24" s="218">
        <v>84</v>
      </c>
      <c r="F24" s="218">
        <v>3695</v>
      </c>
    </row>
    <row r="25" spans="1:6" ht="17" thickBot="1" x14ac:dyDescent="0.25">
      <c r="A25" s="219" t="s">
        <v>213</v>
      </c>
      <c r="B25" s="220">
        <v>7642</v>
      </c>
      <c r="C25" s="220">
        <v>7318</v>
      </c>
      <c r="D25" s="220">
        <v>8751</v>
      </c>
      <c r="E25" s="220">
        <v>9689</v>
      </c>
      <c r="F25" s="220">
        <v>9280</v>
      </c>
    </row>
    <row r="26" spans="1:6" ht="17" thickBot="1" x14ac:dyDescent="0.25">
      <c r="A26" s="221" t="s">
        <v>214</v>
      </c>
      <c r="B26" s="222">
        <v>7642</v>
      </c>
      <c r="C26" s="222">
        <v>7318</v>
      </c>
      <c r="D26" s="222">
        <v>8751</v>
      </c>
      <c r="E26" s="222">
        <v>9689</v>
      </c>
      <c r="F26" s="222">
        <v>9280</v>
      </c>
    </row>
    <row r="27" spans="1:6" s="254" customFormat="1" ht="17" thickBot="1" x14ac:dyDescent="0.25">
      <c r="A27" s="252" t="s">
        <v>215</v>
      </c>
      <c r="B27" s="253">
        <v>-1910</v>
      </c>
      <c r="C27" s="253">
        <v>-563</v>
      </c>
      <c r="D27" s="253">
        <v>-269</v>
      </c>
      <c r="E27" s="253">
        <v>-1370</v>
      </c>
      <c r="F27" s="253">
        <v>-197</v>
      </c>
    </row>
    <row r="28" spans="1:6" ht="17" thickBot="1" x14ac:dyDescent="0.25">
      <c r="A28" s="219" t="s">
        <v>216</v>
      </c>
      <c r="B28" s="220">
        <v>9888</v>
      </c>
      <c r="C28" s="220">
        <v>-13345</v>
      </c>
      <c r="D28" s="220">
        <v>-1693</v>
      </c>
      <c r="E28" s="220">
        <v>2991</v>
      </c>
      <c r="F28" s="220">
        <v>-1487</v>
      </c>
    </row>
    <row r="29" spans="1:6" ht="17" thickBot="1" x14ac:dyDescent="0.25">
      <c r="A29" s="221" t="s">
        <v>217</v>
      </c>
      <c r="B29" s="222">
        <v>7358</v>
      </c>
      <c r="C29" s="222">
        <v>-12642</v>
      </c>
      <c r="D29" s="222">
        <v>-1237</v>
      </c>
      <c r="E29" s="222">
        <v>3400</v>
      </c>
      <c r="F29" s="222">
        <v>358</v>
      </c>
    </row>
    <row r="30" spans="1:6" ht="17" thickBot="1" x14ac:dyDescent="0.25">
      <c r="A30" s="221" t="s">
        <v>218</v>
      </c>
      <c r="B30" s="222">
        <v>3324</v>
      </c>
      <c r="C30" s="222">
        <v>116</v>
      </c>
      <c r="D30" s="222">
        <v>130</v>
      </c>
      <c r="E30" s="222">
        <v>203</v>
      </c>
      <c r="F30" s="222">
        <v>206</v>
      </c>
    </row>
    <row r="31" spans="1:6" ht="17" thickBot="1" x14ac:dyDescent="0.25">
      <c r="A31" s="221" t="s">
        <v>219</v>
      </c>
      <c r="B31" s="222">
        <v>-794</v>
      </c>
      <c r="C31" s="222">
        <v>-819</v>
      </c>
      <c r="D31" s="222">
        <v>-586</v>
      </c>
      <c r="E31" s="222">
        <v>-612</v>
      </c>
      <c r="F31" s="222">
        <v>-2051</v>
      </c>
    </row>
    <row r="32" spans="1:6" ht="17" thickBot="1" x14ac:dyDescent="0.25">
      <c r="A32" s="219" t="s">
        <v>220</v>
      </c>
      <c r="B32" s="260">
        <v>-6615</v>
      </c>
      <c r="C32" s="260">
        <v>4467</v>
      </c>
      <c r="D32" s="260">
        <v>18756</v>
      </c>
      <c r="E32" s="260">
        <v>6245</v>
      </c>
      <c r="F32" s="260">
        <v>3731</v>
      </c>
    </row>
    <row r="33" spans="1:6" ht="17" thickBot="1" x14ac:dyDescent="0.25">
      <c r="A33" s="255" t="s">
        <v>221</v>
      </c>
      <c r="B33" s="222">
        <v>-11743</v>
      </c>
      <c r="C33" s="222">
        <v>6515</v>
      </c>
      <c r="D33" s="222">
        <v>12041</v>
      </c>
      <c r="E33" s="222">
        <v>738</v>
      </c>
      <c r="F33" s="222">
        <v>-2239</v>
      </c>
    </row>
    <row r="34" spans="1:6" ht="17" thickBot="1" x14ac:dyDescent="0.25">
      <c r="A34" s="221" t="s">
        <v>222</v>
      </c>
      <c r="B34" s="222">
        <v>-2576</v>
      </c>
      <c r="C34" s="222">
        <v>-1778</v>
      </c>
      <c r="D34" s="222">
        <v>148</v>
      </c>
      <c r="E34" s="222">
        <v>206</v>
      </c>
      <c r="F34" s="222">
        <v>-828</v>
      </c>
    </row>
    <row r="35" spans="1:6" ht="17" thickBot="1" x14ac:dyDescent="0.25">
      <c r="A35" s="221" t="s">
        <v>223</v>
      </c>
      <c r="B35" s="222">
        <v>7268</v>
      </c>
      <c r="C35" s="222">
        <v>-36</v>
      </c>
      <c r="D35" s="222">
        <v>6809</v>
      </c>
      <c r="E35" s="222">
        <v>5260</v>
      </c>
      <c r="F35" s="222">
        <v>6781</v>
      </c>
    </row>
    <row r="36" spans="1:6" ht="17" thickBot="1" x14ac:dyDescent="0.25">
      <c r="A36" s="221" t="s">
        <v>224</v>
      </c>
      <c r="B36" s="222">
        <v>436</v>
      </c>
      <c r="C36" s="222">
        <v>-234</v>
      </c>
      <c r="D36" s="222">
        <v>-242</v>
      </c>
      <c r="E36" s="222">
        <v>41</v>
      </c>
      <c r="F36" s="222">
        <v>17</v>
      </c>
    </row>
    <row r="37" spans="1:6" ht="17" thickBot="1" x14ac:dyDescent="0.25">
      <c r="A37" s="217" t="s">
        <v>225</v>
      </c>
      <c r="B37" s="218">
        <v>6853</v>
      </c>
      <c r="C37" s="218">
        <v>15787</v>
      </c>
      <c r="D37" s="218">
        <v>24269</v>
      </c>
      <c r="E37" s="218">
        <v>17639</v>
      </c>
      <c r="F37" s="218">
        <v>15022</v>
      </c>
    </row>
    <row r="38" spans="1:6" x14ac:dyDescent="0.2">
      <c r="A38" s="223"/>
      <c r="B38" s="259">
        <f>SUM(B33:B36)</f>
        <v>-6615</v>
      </c>
      <c r="C38" s="223"/>
      <c r="D38" s="223"/>
      <c r="E38" s="223"/>
      <c r="F38" s="223"/>
    </row>
    <row r="39" spans="1:6" ht="16" customHeight="1" thickBot="1" x14ac:dyDescent="0.25">
      <c r="A39" s="216" t="s">
        <v>226</v>
      </c>
      <c r="B39" s="216"/>
      <c r="C39" s="216"/>
      <c r="D39" s="216"/>
      <c r="E39" s="216"/>
      <c r="F39" s="216"/>
    </row>
    <row r="40" spans="1:6" ht="17" thickBot="1" x14ac:dyDescent="0.25">
      <c r="A40" s="219" t="s">
        <v>227</v>
      </c>
      <c r="B40" s="220">
        <v>-6866</v>
      </c>
      <c r="C40" s="220">
        <v>-6227</v>
      </c>
      <c r="D40" s="220">
        <v>-5742</v>
      </c>
      <c r="E40" s="220">
        <v>-7632</v>
      </c>
      <c r="F40" s="220">
        <v>-7785</v>
      </c>
    </row>
    <row r="41" spans="1:6" ht="17" thickBot="1" x14ac:dyDescent="0.25">
      <c r="A41" s="221" t="s">
        <v>228</v>
      </c>
      <c r="B41" s="222">
        <v>-6866</v>
      </c>
      <c r="C41" s="222">
        <v>-6227</v>
      </c>
      <c r="D41" s="222">
        <v>-5742</v>
      </c>
      <c r="E41" s="222">
        <v>-7632</v>
      </c>
      <c r="F41" s="222">
        <v>-7785</v>
      </c>
    </row>
    <row r="42" spans="1:6" ht="17" thickBot="1" x14ac:dyDescent="0.25">
      <c r="A42" s="219" t="s">
        <v>229</v>
      </c>
      <c r="B42" s="220">
        <v>2519</v>
      </c>
      <c r="C42" s="220">
        <v>8972</v>
      </c>
      <c r="D42" s="220">
        <v>-12873</v>
      </c>
      <c r="E42" s="220">
        <v>-6089</v>
      </c>
      <c r="F42" s="220">
        <v>-8476</v>
      </c>
    </row>
    <row r="43" spans="1:6" ht="17" thickBot="1" x14ac:dyDescent="0.25">
      <c r="A43" s="221" t="s">
        <v>230</v>
      </c>
      <c r="B43" s="222">
        <v>449</v>
      </c>
      <c r="C43" s="222">
        <v>145</v>
      </c>
      <c r="D43" s="222">
        <v>1340</v>
      </c>
      <c r="E43" s="222" t="s">
        <v>231</v>
      </c>
      <c r="F43" s="222" t="s">
        <v>231</v>
      </c>
    </row>
    <row r="44" spans="1:6" ht="17" thickBot="1" x14ac:dyDescent="0.25">
      <c r="A44" s="221" t="s">
        <v>232</v>
      </c>
      <c r="B44" s="222">
        <v>19117</v>
      </c>
      <c r="C44" s="222">
        <v>33229</v>
      </c>
      <c r="D44" s="222">
        <v>32395</v>
      </c>
      <c r="E44" s="222">
        <v>16929</v>
      </c>
      <c r="F44" s="222">
        <v>20527</v>
      </c>
    </row>
    <row r="45" spans="1:6" ht="17" thickBot="1" x14ac:dyDescent="0.25">
      <c r="A45" s="221" t="s">
        <v>233</v>
      </c>
      <c r="B45" s="222">
        <v>94</v>
      </c>
      <c r="C45" s="222">
        <v>-272</v>
      </c>
      <c r="D45" s="222">
        <v>-323</v>
      </c>
      <c r="E45" s="222">
        <v>-114</v>
      </c>
      <c r="F45" s="222">
        <v>358</v>
      </c>
    </row>
    <row r="46" spans="1:6" ht="17" thickBot="1" x14ac:dyDescent="0.25">
      <c r="A46" s="221" t="s">
        <v>234</v>
      </c>
      <c r="B46" s="222">
        <v>-18196</v>
      </c>
      <c r="C46" s="222">
        <v>-27491</v>
      </c>
      <c r="D46" s="222">
        <v>-39624</v>
      </c>
      <c r="E46" s="222">
        <v>-17472</v>
      </c>
      <c r="F46" s="222">
        <v>-17140</v>
      </c>
    </row>
    <row r="47" spans="1:6" ht="17" thickBot="1" x14ac:dyDescent="0.25">
      <c r="A47" s="221" t="s">
        <v>235</v>
      </c>
      <c r="B47" s="222">
        <v>1055</v>
      </c>
      <c r="C47" s="222">
        <v>3361</v>
      </c>
      <c r="D47" s="222">
        <v>-6661</v>
      </c>
      <c r="E47" s="222">
        <v>-5432</v>
      </c>
      <c r="F47" s="222">
        <v>-12221</v>
      </c>
    </row>
    <row r="48" spans="1:6" ht="17" thickBot="1" x14ac:dyDescent="0.25">
      <c r="A48" s="217" t="s">
        <v>236</v>
      </c>
      <c r="B48" s="218">
        <v>-4347</v>
      </c>
      <c r="C48" s="218">
        <v>2745</v>
      </c>
      <c r="D48" s="218">
        <v>-18615</v>
      </c>
      <c r="E48" s="218">
        <v>-13721</v>
      </c>
      <c r="F48" s="218">
        <v>-16261</v>
      </c>
    </row>
    <row r="49" spans="1:6" x14ac:dyDescent="0.2">
      <c r="A49" s="223"/>
      <c r="B49" s="223"/>
      <c r="C49" s="223"/>
      <c r="D49" s="223"/>
      <c r="E49" s="223"/>
      <c r="F49" s="223"/>
    </row>
    <row r="50" spans="1:6" ht="16" customHeight="1" thickBot="1" x14ac:dyDescent="0.25">
      <c r="A50" s="216" t="s">
        <v>237</v>
      </c>
      <c r="B50" s="216"/>
      <c r="C50" s="216"/>
      <c r="D50" s="216"/>
      <c r="E50" s="216"/>
      <c r="F50" s="216"/>
    </row>
    <row r="51" spans="1:6" ht="17" thickBot="1" x14ac:dyDescent="0.25">
      <c r="A51" s="219" t="s">
        <v>238</v>
      </c>
      <c r="B51" s="220">
        <v>-271</v>
      </c>
      <c r="C51" s="220">
        <v>-105</v>
      </c>
      <c r="D51" s="220">
        <v>-184</v>
      </c>
      <c r="E51" s="220">
        <v>-226</v>
      </c>
      <c r="F51" s="220">
        <v>-192</v>
      </c>
    </row>
    <row r="52" spans="1:6" ht="17" thickBot="1" x14ac:dyDescent="0.25">
      <c r="A52" s="221" t="s">
        <v>239</v>
      </c>
      <c r="B52" s="222">
        <v>-271</v>
      </c>
      <c r="C52" s="222">
        <v>-105</v>
      </c>
      <c r="D52" s="222">
        <v>-184</v>
      </c>
      <c r="E52" s="222">
        <v>-226</v>
      </c>
      <c r="F52" s="222">
        <v>-192</v>
      </c>
    </row>
    <row r="53" spans="1:6" ht="17" thickBot="1" x14ac:dyDescent="0.25">
      <c r="A53" s="219" t="s">
        <v>240</v>
      </c>
      <c r="B53" s="220">
        <v>-2009</v>
      </c>
      <c r="C53" s="220">
        <v>-403</v>
      </c>
      <c r="D53" s="220">
        <v>-596</v>
      </c>
      <c r="E53" s="220">
        <v>-2389</v>
      </c>
      <c r="F53" s="220">
        <v>-2905</v>
      </c>
    </row>
    <row r="54" spans="1:6" ht="17" thickBot="1" x14ac:dyDescent="0.25">
      <c r="A54" s="221" t="s">
        <v>241</v>
      </c>
      <c r="B54" s="222">
        <v>-2009</v>
      </c>
      <c r="C54" s="222">
        <v>-403</v>
      </c>
      <c r="D54" s="222">
        <v>-596</v>
      </c>
      <c r="E54" s="222">
        <v>-2389</v>
      </c>
      <c r="F54" s="222">
        <v>-2905</v>
      </c>
    </row>
    <row r="55" spans="1:6" ht="17" thickBot="1" x14ac:dyDescent="0.25">
      <c r="A55" s="219" t="s">
        <v>242</v>
      </c>
      <c r="B55" s="220">
        <v>-484</v>
      </c>
      <c r="C55" s="220">
        <v>0</v>
      </c>
      <c r="D55" s="220">
        <v>0</v>
      </c>
      <c r="E55" s="220">
        <v>-237</v>
      </c>
      <c r="F55" s="220">
        <v>-164</v>
      </c>
    </row>
    <row r="56" spans="1:6" ht="17" thickBot="1" x14ac:dyDescent="0.25">
      <c r="A56" s="221" t="s">
        <v>243</v>
      </c>
      <c r="B56" s="222">
        <v>-484</v>
      </c>
      <c r="C56" s="222">
        <v>0</v>
      </c>
      <c r="D56" s="222">
        <v>0</v>
      </c>
      <c r="E56" s="222">
        <v>-237</v>
      </c>
      <c r="F56" s="222">
        <v>-164</v>
      </c>
    </row>
    <row r="57" spans="1:6" ht="17" thickBot="1" x14ac:dyDescent="0.25">
      <c r="A57" s="221" t="s">
        <v>244</v>
      </c>
      <c r="B57" s="222">
        <v>-484</v>
      </c>
      <c r="C57" s="222">
        <v>0</v>
      </c>
      <c r="D57" s="222">
        <v>0</v>
      </c>
      <c r="E57" s="222">
        <v>-237</v>
      </c>
      <c r="F57" s="222">
        <v>-164</v>
      </c>
    </row>
    <row r="58" spans="1:6" ht="17" thickBot="1" x14ac:dyDescent="0.25">
      <c r="A58" s="219" t="s">
        <v>245</v>
      </c>
      <c r="B58" s="220">
        <v>5275</v>
      </c>
      <c r="C58" s="220">
        <v>-22990</v>
      </c>
      <c r="D58" s="220">
        <v>3095</v>
      </c>
      <c r="E58" s="220">
        <v>-277</v>
      </c>
      <c r="F58" s="220">
        <v>3139</v>
      </c>
    </row>
    <row r="59" spans="1:6" ht="17" thickBot="1" x14ac:dyDescent="0.25">
      <c r="A59" s="221" t="s">
        <v>246</v>
      </c>
      <c r="B59" s="222">
        <v>5460</v>
      </c>
      <c r="C59" s="222">
        <v>3273</v>
      </c>
      <c r="D59" s="222">
        <v>-2291</v>
      </c>
      <c r="E59" s="222">
        <v>-1384</v>
      </c>
      <c r="F59" s="222">
        <v>-2819</v>
      </c>
    </row>
    <row r="60" spans="1:6" ht="17" thickBot="1" x14ac:dyDescent="0.25">
      <c r="A60" s="221" t="s">
        <v>247</v>
      </c>
      <c r="B60" s="222">
        <v>45470</v>
      </c>
      <c r="C60" s="222">
        <v>27901</v>
      </c>
      <c r="D60" s="222">
        <v>65900</v>
      </c>
      <c r="E60" s="222">
        <v>47604</v>
      </c>
      <c r="F60" s="222">
        <v>50130</v>
      </c>
    </row>
    <row r="61" spans="1:6" ht="17" thickBot="1" x14ac:dyDescent="0.25">
      <c r="A61" s="221" t="s">
        <v>248</v>
      </c>
      <c r="B61" s="222">
        <v>-45655</v>
      </c>
      <c r="C61" s="222">
        <v>-54164</v>
      </c>
      <c r="D61" s="222">
        <v>-60514</v>
      </c>
      <c r="E61" s="222">
        <v>-46497</v>
      </c>
      <c r="F61" s="222">
        <v>-44172</v>
      </c>
    </row>
    <row r="62" spans="1:6" ht="17" thickBot="1" x14ac:dyDescent="0.25">
      <c r="A62" s="221" t="s">
        <v>249</v>
      </c>
      <c r="B62" s="222">
        <v>-185</v>
      </c>
      <c r="C62" s="222">
        <v>-26263</v>
      </c>
      <c r="D62" s="222">
        <v>5386</v>
      </c>
      <c r="E62" s="222">
        <v>1107</v>
      </c>
      <c r="F62" s="222">
        <v>5958</v>
      </c>
    </row>
    <row r="63" spans="1:6" ht="17" thickBot="1" x14ac:dyDescent="0.25">
      <c r="A63" s="217" t="s">
        <v>250</v>
      </c>
      <c r="B63" s="218">
        <v>2511</v>
      </c>
      <c r="C63" s="218">
        <v>-23498</v>
      </c>
      <c r="D63" s="218">
        <v>2315</v>
      </c>
      <c r="E63" s="218">
        <v>-3129</v>
      </c>
      <c r="F63" s="218">
        <v>-122</v>
      </c>
    </row>
    <row r="64" spans="1:6" ht="17" thickBot="1" x14ac:dyDescent="0.25">
      <c r="A64" s="223"/>
      <c r="B64" s="223"/>
      <c r="C64" s="223"/>
      <c r="D64" s="223"/>
      <c r="E64" s="223"/>
      <c r="F64" s="223"/>
    </row>
    <row r="65" spans="1:6" ht="17" thickBot="1" x14ac:dyDescent="0.25">
      <c r="A65" s="217" t="s">
        <v>251</v>
      </c>
      <c r="B65" s="218">
        <v>-414</v>
      </c>
      <c r="C65" s="218">
        <v>-232</v>
      </c>
      <c r="D65" s="218">
        <v>225</v>
      </c>
      <c r="E65" s="218">
        <v>45</v>
      </c>
      <c r="F65" s="218">
        <v>-370</v>
      </c>
    </row>
    <row r="66" spans="1:6" ht="17" thickBot="1" x14ac:dyDescent="0.25">
      <c r="A66" s="217" t="s">
        <v>252</v>
      </c>
      <c r="B66" s="218">
        <v>4603</v>
      </c>
      <c r="C66" s="218">
        <v>-5198</v>
      </c>
      <c r="D66" s="218">
        <v>8194</v>
      </c>
      <c r="E66" s="218">
        <v>834</v>
      </c>
      <c r="F66" s="218">
        <v>-1731</v>
      </c>
    </row>
    <row r="67" spans="1:6" ht="17" thickBot="1" x14ac:dyDescent="0.25">
      <c r="A67" s="223"/>
      <c r="B67" s="223"/>
      <c r="C67" s="223"/>
      <c r="D67" s="223"/>
      <c r="E67" s="223"/>
      <c r="F67" s="223"/>
    </row>
    <row r="68" spans="1:6" ht="17" thickBot="1" x14ac:dyDescent="0.25">
      <c r="A68" s="217" t="s">
        <v>253</v>
      </c>
      <c r="B68" s="218">
        <v>20737</v>
      </c>
      <c r="C68" s="218">
        <v>25935</v>
      </c>
      <c r="D68" s="218">
        <v>17741</v>
      </c>
      <c r="E68" s="218">
        <v>16907</v>
      </c>
      <c r="F68" s="218">
        <v>18638</v>
      </c>
    </row>
    <row r="69" spans="1:6" ht="17" thickBot="1" x14ac:dyDescent="0.25">
      <c r="A69" s="217" t="s">
        <v>254</v>
      </c>
      <c r="B69" s="218">
        <v>25340</v>
      </c>
      <c r="C69" s="218">
        <v>20737</v>
      </c>
      <c r="D69" s="218">
        <v>25935</v>
      </c>
      <c r="E69" s="218">
        <v>17741</v>
      </c>
      <c r="F69" s="218">
        <v>16907</v>
      </c>
    </row>
    <row r="70" spans="1:6" ht="17" thickBot="1" x14ac:dyDescent="0.25">
      <c r="A70" s="217" t="s">
        <v>255</v>
      </c>
      <c r="B70" s="218">
        <v>4400</v>
      </c>
      <c r="C70" s="218">
        <v>4700</v>
      </c>
      <c r="D70" s="218">
        <v>4800</v>
      </c>
      <c r="E70" s="218">
        <v>5100</v>
      </c>
      <c r="F70" s="218" t="s">
        <v>231</v>
      </c>
    </row>
    <row r="71" spans="1:6" ht="17" thickBot="1" x14ac:dyDescent="0.25">
      <c r="A71" s="217" t="s">
        <v>256</v>
      </c>
      <c r="B71" s="218">
        <v>801</v>
      </c>
      <c r="C71" s="218">
        <v>568</v>
      </c>
      <c r="D71" s="218">
        <v>421</v>
      </c>
      <c r="E71" s="218">
        <v>599</v>
      </c>
      <c r="F71" s="218">
        <v>740</v>
      </c>
    </row>
    <row r="72" spans="1:6" x14ac:dyDescent="0.2">
      <c r="A72" s="217" t="s">
        <v>257</v>
      </c>
      <c r="B72" s="218">
        <v>-7051</v>
      </c>
      <c r="C72" s="218">
        <v>4701</v>
      </c>
      <c r="D72" s="218">
        <v>18998</v>
      </c>
      <c r="E72" s="218">
        <v>6204</v>
      </c>
      <c r="F72" s="218">
        <v>3714</v>
      </c>
    </row>
    <row r="73" spans="1:6" ht="17" thickBot="1" x14ac:dyDescent="0.25">
      <c r="A73" s="224"/>
    </row>
    <row r="74" spans="1:6" ht="17" thickBot="1" x14ac:dyDescent="0.25">
      <c r="A74" s="208" t="s">
        <v>258</v>
      </c>
      <c r="B74" s="218">
        <v>-13</v>
      </c>
      <c r="C74" s="218">
        <v>9560</v>
      </c>
      <c r="D74" s="218">
        <v>18527</v>
      </c>
      <c r="E74" s="218">
        <v>10007</v>
      </c>
      <c r="F74" s="218">
        <v>7237</v>
      </c>
    </row>
    <row r="75" spans="1:6" x14ac:dyDescent="0.2">
      <c r="A75" s="223"/>
      <c r="B75" s="223"/>
      <c r="C75" s="223"/>
      <c r="D75" s="223"/>
      <c r="E75" s="223"/>
      <c r="F75" s="223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F6A59-EFF9-EB48-A739-F3BEFAB8253D}">
  <dimension ref="A1:F205"/>
  <sheetViews>
    <sheetView showGridLines="0" topLeftCell="A12" workbookViewId="0">
      <selection activeCell="D25" sqref="D25"/>
    </sheetView>
  </sheetViews>
  <sheetFormatPr baseColWidth="10" defaultColWidth="8.83203125" defaultRowHeight="16" x14ac:dyDescent="0.2"/>
  <cols>
    <col min="1" max="1" width="33.33203125" style="207" bestFit="1" customWidth="1"/>
    <col min="2" max="6" width="21.5" style="207" bestFit="1" customWidth="1"/>
    <col min="7" max="16384" width="8.83203125" style="207"/>
  </cols>
  <sheetData>
    <row r="1" spans="1:6" x14ac:dyDescent="0.2">
      <c r="A1" s="206" t="s">
        <v>259</v>
      </c>
    </row>
    <row r="3" spans="1:6" x14ac:dyDescent="0.2">
      <c r="A3" s="208" t="s">
        <v>260</v>
      </c>
    </row>
    <row r="4" spans="1:6" ht="17" thickBot="1" x14ac:dyDescent="0.25">
      <c r="A4" s="208" t="s">
        <v>164</v>
      </c>
    </row>
    <row r="5" spans="1:6" ht="17" thickBot="1" x14ac:dyDescent="0.25">
      <c r="A5" s="209"/>
      <c r="B5" s="210">
        <v>2022</v>
      </c>
      <c r="C5" s="210">
        <v>2021</v>
      </c>
      <c r="D5" s="210">
        <v>2020</v>
      </c>
      <c r="E5" s="210">
        <v>2019</v>
      </c>
      <c r="F5" s="210">
        <v>2018</v>
      </c>
    </row>
    <row r="6" spans="1:6" ht="19" customHeight="1" thickBot="1" x14ac:dyDescent="0.3">
      <c r="A6" s="211" t="s">
        <v>165</v>
      </c>
      <c r="B6" s="212" t="s">
        <v>166</v>
      </c>
      <c r="C6" s="213" t="s">
        <v>167</v>
      </c>
      <c r="D6" s="212" t="s">
        <v>168</v>
      </c>
      <c r="E6" s="212" t="s">
        <v>169</v>
      </c>
      <c r="F6" s="213" t="s">
        <v>170</v>
      </c>
    </row>
    <row r="7" spans="1:6" ht="17" thickBot="1" x14ac:dyDescent="0.25">
      <c r="A7" s="214" t="s">
        <v>171</v>
      </c>
      <c r="B7" s="215" t="s">
        <v>172</v>
      </c>
      <c r="C7" s="215" t="s">
        <v>173</v>
      </c>
      <c r="D7" s="215" t="s">
        <v>174</v>
      </c>
      <c r="E7" s="215" t="s">
        <v>175</v>
      </c>
      <c r="F7" s="215" t="s">
        <v>176</v>
      </c>
    </row>
    <row r="8" spans="1:6" ht="17" thickBot="1" x14ac:dyDescent="0.25">
      <c r="A8" s="214" t="s">
        <v>179</v>
      </c>
      <c r="B8" s="215" t="s">
        <v>180</v>
      </c>
      <c r="C8" s="215" t="s">
        <v>180</v>
      </c>
      <c r="D8" s="215" t="s">
        <v>180</v>
      </c>
      <c r="E8" s="215" t="s">
        <v>180</v>
      </c>
      <c r="F8" s="215" t="s">
        <v>180</v>
      </c>
    </row>
    <row r="9" spans="1:6" ht="17" thickBot="1" x14ac:dyDescent="0.25">
      <c r="A9" s="214" t="s">
        <v>181</v>
      </c>
      <c r="B9" s="215" t="s">
        <v>172</v>
      </c>
      <c r="C9" s="215" t="s">
        <v>173</v>
      </c>
      <c r="D9" s="215" t="s">
        <v>174</v>
      </c>
      <c r="E9" s="215" t="s">
        <v>175</v>
      </c>
      <c r="F9" s="215" t="s">
        <v>176</v>
      </c>
    </row>
    <row r="10" spans="1:6" ht="17" thickBot="1" x14ac:dyDescent="0.25">
      <c r="A10" s="214" t="s">
        <v>182</v>
      </c>
      <c r="B10" s="215" t="s">
        <v>183</v>
      </c>
      <c r="C10" s="215" t="s">
        <v>183</v>
      </c>
      <c r="D10" s="215" t="s">
        <v>183</v>
      </c>
      <c r="E10" s="215" t="s">
        <v>183</v>
      </c>
      <c r="F10" s="215" t="s">
        <v>183</v>
      </c>
    </row>
    <row r="11" spans="1:6" ht="17" thickBot="1" x14ac:dyDescent="0.25">
      <c r="A11" s="214" t="s">
        <v>184</v>
      </c>
      <c r="B11" s="215" t="s">
        <v>261</v>
      </c>
      <c r="C11" s="215" t="s">
        <v>261</v>
      </c>
      <c r="D11" s="215" t="s">
        <v>261</v>
      </c>
      <c r="E11" s="215" t="s">
        <v>186</v>
      </c>
      <c r="F11" s="215" t="s">
        <v>262</v>
      </c>
    </row>
    <row r="12" spans="1:6" ht="17" thickBot="1" x14ac:dyDescent="0.25">
      <c r="A12" s="214" t="s">
        <v>188</v>
      </c>
      <c r="B12" s="215" t="s">
        <v>189</v>
      </c>
      <c r="C12" s="215" t="s">
        <v>189</v>
      </c>
      <c r="D12" s="215" t="s">
        <v>189</v>
      </c>
      <c r="E12" s="215" t="s">
        <v>189</v>
      </c>
      <c r="F12" s="215" t="s">
        <v>189</v>
      </c>
    </row>
    <row r="13" spans="1:6" ht="17" thickBot="1" x14ac:dyDescent="0.25">
      <c r="A13" s="214" t="s">
        <v>190</v>
      </c>
      <c r="B13" s="215" t="s">
        <v>191</v>
      </c>
      <c r="C13" s="215" t="s">
        <v>191</v>
      </c>
      <c r="D13" s="215" t="s">
        <v>191</v>
      </c>
      <c r="E13" s="215" t="s">
        <v>191</v>
      </c>
      <c r="F13" s="215" t="s">
        <v>191</v>
      </c>
    </row>
    <row r="14" spans="1:6" ht="17" thickBot="1" x14ac:dyDescent="0.25">
      <c r="A14" s="214" t="s">
        <v>192</v>
      </c>
      <c r="B14" s="215" t="s">
        <v>193</v>
      </c>
      <c r="C14" s="215" t="s">
        <v>194</v>
      </c>
      <c r="D14" s="215" t="s">
        <v>195</v>
      </c>
      <c r="E14" s="215" t="s">
        <v>196</v>
      </c>
      <c r="F14" s="215" t="s">
        <v>197</v>
      </c>
    </row>
    <row r="15" spans="1:6" ht="17" thickBot="1" x14ac:dyDescent="0.25">
      <c r="A15" s="214" t="s">
        <v>198</v>
      </c>
      <c r="B15" s="215">
        <v>44959.883333333331</v>
      </c>
      <c r="C15" s="215">
        <v>44595.883333333331</v>
      </c>
      <c r="D15" s="215">
        <v>44231.892361111109</v>
      </c>
      <c r="E15" s="215">
        <v>43837.801388888889</v>
      </c>
      <c r="F15" s="215">
        <v>43488.902777777781</v>
      </c>
    </row>
    <row r="16" spans="1:6" ht="17" thickBot="1" x14ac:dyDescent="0.25">
      <c r="A16" s="214" t="s">
        <v>199</v>
      </c>
      <c r="B16" s="215" t="s">
        <v>200</v>
      </c>
      <c r="C16" s="215" t="s">
        <v>200</v>
      </c>
      <c r="D16" s="215" t="s">
        <v>200</v>
      </c>
      <c r="E16" s="215" t="s">
        <v>200</v>
      </c>
      <c r="F16" s="215" t="s">
        <v>200</v>
      </c>
    </row>
    <row r="17" spans="1:6" ht="17" thickBot="1" x14ac:dyDescent="0.25">
      <c r="A17" s="214" t="s">
        <v>201</v>
      </c>
      <c r="B17" s="215" t="s">
        <v>202</v>
      </c>
      <c r="C17" s="215" t="s">
        <v>202</v>
      </c>
      <c r="D17" s="215" t="s">
        <v>202</v>
      </c>
      <c r="E17" s="215" t="s">
        <v>202</v>
      </c>
      <c r="F17" s="215" t="s">
        <v>202</v>
      </c>
    </row>
    <row r="18" spans="1:6" ht="17" thickBot="1" x14ac:dyDescent="0.25">
      <c r="A18" s="214" t="s">
        <v>203</v>
      </c>
      <c r="B18" s="215" t="s">
        <v>204</v>
      </c>
      <c r="C18" s="215" t="s">
        <v>204</v>
      </c>
      <c r="D18" s="215" t="s">
        <v>204</v>
      </c>
      <c r="E18" s="215" t="s">
        <v>204</v>
      </c>
      <c r="F18" s="215" t="s">
        <v>204</v>
      </c>
    </row>
    <row r="19" spans="1:6" ht="17" thickBot="1" x14ac:dyDescent="0.25">
      <c r="A19" s="214" t="s">
        <v>205</v>
      </c>
      <c r="B19" s="215" t="s">
        <v>206</v>
      </c>
      <c r="C19" s="215" t="s">
        <v>206</v>
      </c>
      <c r="D19" s="215" t="s">
        <v>206</v>
      </c>
      <c r="E19" s="215" t="s">
        <v>206</v>
      </c>
      <c r="F19" s="215" t="s">
        <v>206</v>
      </c>
    </row>
    <row r="20" spans="1:6" ht="17" thickBot="1" x14ac:dyDescent="0.25">
      <c r="A20" s="214" t="s">
        <v>207</v>
      </c>
      <c r="B20" s="215" t="s">
        <v>208</v>
      </c>
      <c r="C20" s="215" t="s">
        <v>208</v>
      </c>
      <c r="D20" s="215" t="s">
        <v>208</v>
      </c>
      <c r="E20" s="215" t="s">
        <v>208</v>
      </c>
      <c r="F20" s="215" t="s">
        <v>208</v>
      </c>
    </row>
    <row r="21" spans="1:6" x14ac:dyDescent="0.2">
      <c r="A21" s="214" t="s">
        <v>209</v>
      </c>
      <c r="B21" s="215" t="s">
        <v>210</v>
      </c>
      <c r="C21" s="215" t="s">
        <v>210</v>
      </c>
      <c r="D21" s="215" t="s">
        <v>210</v>
      </c>
      <c r="E21" s="215" t="s">
        <v>210</v>
      </c>
      <c r="F21" s="215" t="s">
        <v>210</v>
      </c>
    </row>
    <row r="22" spans="1:6" ht="16" customHeight="1" thickBot="1" x14ac:dyDescent="0.25">
      <c r="A22" s="216" t="s">
        <v>263</v>
      </c>
      <c r="B22" s="216"/>
      <c r="C22" s="216"/>
      <c r="D22" s="216"/>
      <c r="E22" s="216"/>
      <c r="F22" s="216"/>
    </row>
    <row r="23" spans="1:6" ht="17" thickBot="1" x14ac:dyDescent="0.25">
      <c r="A23" s="219" t="s">
        <v>264</v>
      </c>
      <c r="B23" s="220">
        <v>44070</v>
      </c>
      <c r="C23" s="220">
        <v>49593</v>
      </c>
      <c r="D23" s="220">
        <v>49961</v>
      </c>
      <c r="E23" s="220">
        <v>34651</v>
      </c>
      <c r="F23" s="220">
        <v>33951</v>
      </c>
    </row>
    <row r="24" spans="1:6" ht="17" thickBot="1" x14ac:dyDescent="0.25">
      <c r="A24" s="221" t="s">
        <v>265</v>
      </c>
      <c r="B24" s="222">
        <v>25134</v>
      </c>
      <c r="C24" s="222">
        <v>20540</v>
      </c>
      <c r="D24" s="222">
        <v>25243</v>
      </c>
      <c r="E24" s="222">
        <v>17504</v>
      </c>
      <c r="F24" s="222">
        <v>16718</v>
      </c>
    </row>
    <row r="25" spans="1:6" ht="17" thickBot="1" x14ac:dyDescent="0.25">
      <c r="A25" s="221" t="s">
        <v>266</v>
      </c>
      <c r="B25" s="222">
        <v>18936</v>
      </c>
      <c r="C25" s="222">
        <v>29053</v>
      </c>
      <c r="D25" s="222">
        <v>24718</v>
      </c>
      <c r="E25" s="222">
        <v>17147</v>
      </c>
      <c r="F25" s="222">
        <v>17233</v>
      </c>
    </row>
    <row r="26" spans="1:6" ht="17" thickBot="1" x14ac:dyDescent="0.25">
      <c r="A26" s="219" t="s">
        <v>267</v>
      </c>
      <c r="B26" s="220">
        <v>15916</v>
      </c>
      <c r="C26" s="220">
        <v>11495</v>
      </c>
      <c r="D26" s="220">
        <v>10174</v>
      </c>
      <c r="E26" s="220">
        <v>9237</v>
      </c>
      <c r="F26" s="220">
        <v>11195</v>
      </c>
    </row>
    <row r="27" spans="1:6" ht="17" thickBot="1" x14ac:dyDescent="0.25">
      <c r="A27" s="221" t="s">
        <v>268</v>
      </c>
      <c r="B27" s="222">
        <v>16021</v>
      </c>
      <c r="C27" s="222">
        <v>11543</v>
      </c>
      <c r="D27" s="222">
        <v>10258</v>
      </c>
      <c r="E27" s="222">
        <v>9331</v>
      </c>
      <c r="F27" s="222">
        <v>11289</v>
      </c>
    </row>
    <row r="28" spans="1:6" ht="17" thickBot="1" x14ac:dyDescent="0.25">
      <c r="A28" s="221" t="s">
        <v>269</v>
      </c>
      <c r="B28" s="222">
        <v>-105</v>
      </c>
      <c r="C28" s="222">
        <v>-48</v>
      </c>
      <c r="D28" s="222">
        <v>-84</v>
      </c>
      <c r="E28" s="222">
        <v>-94</v>
      </c>
      <c r="F28" s="222">
        <v>-94</v>
      </c>
    </row>
    <row r="29" spans="1:6" ht="17" thickBot="1" x14ac:dyDescent="0.25">
      <c r="A29" s="219" t="s">
        <v>270</v>
      </c>
      <c r="B29" s="220">
        <v>54636</v>
      </c>
      <c r="C29" s="220">
        <v>44038</v>
      </c>
      <c r="D29" s="220">
        <v>52575</v>
      </c>
      <c r="E29" s="220">
        <v>62888</v>
      </c>
      <c r="F29" s="220">
        <v>65548</v>
      </c>
    </row>
    <row r="30" spans="1:6" ht="17" thickBot="1" x14ac:dyDescent="0.25">
      <c r="A30" s="221" t="s">
        <v>271</v>
      </c>
      <c r="B30" s="222">
        <v>38720</v>
      </c>
      <c r="C30" s="222">
        <v>32543</v>
      </c>
      <c r="D30" s="222">
        <v>42401</v>
      </c>
      <c r="E30" s="222">
        <v>53651</v>
      </c>
      <c r="F30" s="222">
        <v>54353</v>
      </c>
    </row>
    <row r="31" spans="1:6" ht="17" thickBot="1" x14ac:dyDescent="0.25">
      <c r="A31" s="219" t="s">
        <v>272</v>
      </c>
      <c r="B31" s="220">
        <v>14080</v>
      </c>
      <c r="C31" s="220">
        <v>12065</v>
      </c>
      <c r="D31" s="220">
        <v>10808</v>
      </c>
      <c r="E31" s="220">
        <v>10786</v>
      </c>
      <c r="F31" s="220">
        <v>11220</v>
      </c>
    </row>
    <row r="32" spans="1:6" ht="17" thickBot="1" x14ac:dyDescent="0.25">
      <c r="A32" s="221" t="s">
        <v>273</v>
      </c>
      <c r="B32" s="222">
        <v>8083</v>
      </c>
      <c r="C32" s="222">
        <v>6280</v>
      </c>
      <c r="D32" s="222">
        <v>6132</v>
      </c>
      <c r="E32" s="222">
        <v>6384</v>
      </c>
      <c r="F32" s="222">
        <v>6684</v>
      </c>
    </row>
    <row r="33" spans="1:6" ht="17" thickBot="1" x14ac:dyDescent="0.25">
      <c r="A33" s="221" t="s">
        <v>274</v>
      </c>
      <c r="B33" s="222">
        <v>5997</v>
      </c>
      <c r="C33" s="222">
        <v>5785</v>
      </c>
      <c r="D33" s="222">
        <v>4676</v>
      </c>
      <c r="E33" s="222">
        <v>4402</v>
      </c>
      <c r="F33" s="222">
        <v>4536</v>
      </c>
    </row>
    <row r="34" spans="1:6" ht="17" thickBot="1" x14ac:dyDescent="0.25">
      <c r="A34" s="219" t="s">
        <v>275</v>
      </c>
      <c r="B34" s="220">
        <v>3690</v>
      </c>
      <c r="C34" s="220">
        <v>3300</v>
      </c>
      <c r="D34" s="220">
        <v>3400</v>
      </c>
      <c r="E34" s="220">
        <v>5722</v>
      </c>
      <c r="F34" s="220">
        <v>3930</v>
      </c>
    </row>
    <row r="35" spans="1:6" ht="17" thickBot="1" x14ac:dyDescent="0.25">
      <c r="A35" s="221" t="s">
        <v>276</v>
      </c>
      <c r="B35" s="222">
        <v>97</v>
      </c>
      <c r="C35" s="222" t="s">
        <v>231</v>
      </c>
      <c r="D35" s="222">
        <v>47</v>
      </c>
      <c r="E35" s="222">
        <v>2383</v>
      </c>
      <c r="F35" s="222" t="s">
        <v>231</v>
      </c>
    </row>
    <row r="36" spans="1:6" ht="17" thickBot="1" x14ac:dyDescent="0.25">
      <c r="A36" s="221" t="s">
        <v>277</v>
      </c>
      <c r="B36" s="222">
        <v>3593</v>
      </c>
      <c r="C36" s="222">
        <v>3300</v>
      </c>
      <c r="D36" s="222">
        <v>3353</v>
      </c>
      <c r="E36" s="222">
        <v>3339</v>
      </c>
      <c r="F36" s="222">
        <v>3930</v>
      </c>
    </row>
    <row r="37" spans="1:6" ht="17" thickBot="1" x14ac:dyDescent="0.25">
      <c r="A37" s="217" t="s">
        <v>278</v>
      </c>
      <c r="B37" s="218">
        <v>116476</v>
      </c>
      <c r="C37" s="218">
        <v>108996</v>
      </c>
      <c r="D37" s="218">
        <v>116744</v>
      </c>
      <c r="E37" s="218">
        <v>114047</v>
      </c>
      <c r="F37" s="218">
        <v>114649</v>
      </c>
    </row>
    <row r="38" spans="1:6" ht="17" thickBot="1" x14ac:dyDescent="0.25">
      <c r="A38" s="223"/>
      <c r="B38" s="223"/>
      <c r="C38" s="223"/>
      <c r="D38" s="223"/>
      <c r="E38" s="223"/>
      <c r="F38" s="223"/>
    </row>
    <row r="39" spans="1:6" ht="17" thickBot="1" x14ac:dyDescent="0.25">
      <c r="A39" s="219" t="s">
        <v>279</v>
      </c>
      <c r="B39" s="220">
        <v>96548</v>
      </c>
      <c r="C39" s="220">
        <v>100800</v>
      </c>
      <c r="D39" s="220">
        <v>103704</v>
      </c>
      <c r="E39" s="220">
        <v>102290</v>
      </c>
      <c r="F39" s="220">
        <v>66421</v>
      </c>
    </row>
    <row r="40" spans="1:6" ht="17" thickBot="1" x14ac:dyDescent="0.25">
      <c r="A40" s="221" t="s">
        <v>280</v>
      </c>
      <c r="B40" s="222">
        <v>11946</v>
      </c>
      <c r="C40" s="222">
        <v>12438</v>
      </c>
      <c r="D40" s="222">
        <v>12557</v>
      </c>
      <c r="E40" s="222">
        <v>11900</v>
      </c>
      <c r="F40" s="222">
        <v>11477</v>
      </c>
    </row>
    <row r="41" spans="1:6" ht="17" thickBot="1" x14ac:dyDescent="0.25">
      <c r="A41" s="221" t="s">
        <v>281</v>
      </c>
      <c r="B41" s="222">
        <v>371</v>
      </c>
      <c r="C41" s="222">
        <v>450</v>
      </c>
      <c r="D41" s="222">
        <v>451</v>
      </c>
      <c r="E41" s="222">
        <v>421</v>
      </c>
      <c r="F41" s="222">
        <v>445</v>
      </c>
    </row>
    <row r="42" spans="1:6" ht="17" thickBot="1" x14ac:dyDescent="0.25">
      <c r="A42" s="221" t="s">
        <v>282</v>
      </c>
      <c r="B42" s="222">
        <v>44006</v>
      </c>
      <c r="C42" s="222">
        <v>44234</v>
      </c>
      <c r="D42" s="222">
        <v>44363</v>
      </c>
      <c r="E42" s="222">
        <v>42630</v>
      </c>
      <c r="F42" s="222">
        <v>42069</v>
      </c>
    </row>
    <row r="43" spans="1:6" ht="17" thickBot="1" x14ac:dyDescent="0.25">
      <c r="A43" s="221" t="s">
        <v>283</v>
      </c>
      <c r="B43" s="222">
        <v>3203</v>
      </c>
      <c r="C43" s="222">
        <v>2152</v>
      </c>
      <c r="D43" s="222">
        <v>1718</v>
      </c>
      <c r="E43" s="222">
        <v>1710</v>
      </c>
      <c r="F43" s="222">
        <v>2066</v>
      </c>
    </row>
    <row r="44" spans="1:6" ht="17" thickBot="1" x14ac:dyDescent="0.25">
      <c r="A44" s="221" t="s">
        <v>284</v>
      </c>
      <c r="B44" s="222">
        <v>26055</v>
      </c>
      <c r="C44" s="222">
        <v>29982</v>
      </c>
      <c r="D44" s="222">
        <v>32486</v>
      </c>
      <c r="E44" s="222">
        <v>33386</v>
      </c>
      <c r="F44" s="222" t="s">
        <v>231</v>
      </c>
    </row>
    <row r="45" spans="1:6" ht="17" thickBot="1" x14ac:dyDescent="0.25">
      <c r="A45" s="221" t="s">
        <v>285</v>
      </c>
      <c r="B45" s="222">
        <v>10967</v>
      </c>
      <c r="C45" s="222">
        <v>11544</v>
      </c>
      <c r="D45" s="222">
        <v>12129</v>
      </c>
      <c r="E45" s="222">
        <v>12243</v>
      </c>
      <c r="F45" s="222">
        <v>10364</v>
      </c>
    </row>
    <row r="46" spans="1:6" ht="17" thickBot="1" x14ac:dyDescent="0.25">
      <c r="A46" s="219" t="s">
        <v>286</v>
      </c>
      <c r="B46" s="220">
        <v>61484</v>
      </c>
      <c r="C46" s="220">
        <v>64837</v>
      </c>
      <c r="D46" s="220">
        <v>66321</v>
      </c>
      <c r="E46" s="220">
        <v>67114</v>
      </c>
      <c r="F46" s="220">
        <v>65297</v>
      </c>
    </row>
    <row r="47" spans="1:6" ht="17" thickBot="1" x14ac:dyDescent="0.25">
      <c r="A47" s="221" t="s">
        <v>287</v>
      </c>
      <c r="B47" s="222">
        <v>-36015</v>
      </c>
      <c r="C47" s="222">
        <v>-37157</v>
      </c>
      <c r="D47" s="222">
        <v>-38687</v>
      </c>
      <c r="E47" s="222">
        <v>-36788</v>
      </c>
      <c r="F47" s="222">
        <v>-30243</v>
      </c>
    </row>
    <row r="48" spans="1:6" ht="17" thickBot="1" x14ac:dyDescent="0.25">
      <c r="A48" s="217" t="s">
        <v>288</v>
      </c>
      <c r="B48" s="218">
        <v>603</v>
      </c>
      <c r="C48" s="218">
        <v>619</v>
      </c>
      <c r="D48" s="218">
        <v>258</v>
      </c>
      <c r="E48" s="218">
        <v>278</v>
      </c>
      <c r="F48" s="218">
        <v>264</v>
      </c>
    </row>
    <row r="49" spans="1:6" ht="17" thickBot="1" x14ac:dyDescent="0.25">
      <c r="A49" s="217" t="s">
        <v>289</v>
      </c>
      <c r="B49" s="218">
        <v>86</v>
      </c>
      <c r="C49" s="218">
        <v>111</v>
      </c>
      <c r="D49" s="218">
        <v>144</v>
      </c>
      <c r="E49" s="218">
        <v>188</v>
      </c>
      <c r="F49" s="218">
        <v>178</v>
      </c>
    </row>
    <row r="50" spans="1:6" ht="17" thickBot="1" x14ac:dyDescent="0.25">
      <c r="A50" s="219" t="s">
        <v>290</v>
      </c>
      <c r="B50" s="220">
        <v>3198</v>
      </c>
      <c r="C50" s="220">
        <v>5445</v>
      </c>
      <c r="D50" s="220">
        <v>6601</v>
      </c>
      <c r="E50" s="220">
        <v>2519</v>
      </c>
      <c r="F50" s="220">
        <v>2709</v>
      </c>
    </row>
    <row r="51" spans="1:6" ht="17" thickBot="1" x14ac:dyDescent="0.25">
      <c r="A51" s="221" t="s">
        <v>291</v>
      </c>
      <c r="B51" s="222">
        <v>2798</v>
      </c>
      <c r="C51" s="222">
        <v>4545</v>
      </c>
      <c r="D51" s="222">
        <v>4901</v>
      </c>
      <c r="E51" s="222">
        <v>2519</v>
      </c>
      <c r="F51" s="222">
        <v>2709</v>
      </c>
    </row>
    <row r="52" spans="1:6" ht="17" thickBot="1" x14ac:dyDescent="0.25">
      <c r="A52" s="221" t="s">
        <v>292</v>
      </c>
      <c r="B52" s="222">
        <v>400</v>
      </c>
      <c r="C52" s="222">
        <v>900</v>
      </c>
      <c r="D52" s="222">
        <v>1700</v>
      </c>
      <c r="E52" s="222" t="s">
        <v>231</v>
      </c>
      <c r="F52" s="222" t="s">
        <v>231</v>
      </c>
    </row>
    <row r="53" spans="1:6" ht="17" thickBot="1" x14ac:dyDescent="0.25">
      <c r="A53" s="217" t="s">
        <v>293</v>
      </c>
      <c r="B53" s="218">
        <v>49903</v>
      </c>
      <c r="C53" s="218">
        <v>51256</v>
      </c>
      <c r="D53" s="218">
        <v>55277</v>
      </c>
      <c r="E53" s="218">
        <v>53703</v>
      </c>
      <c r="F53" s="218">
        <v>55544</v>
      </c>
    </row>
    <row r="54" spans="1:6" ht="17" thickBot="1" x14ac:dyDescent="0.25">
      <c r="A54" s="219" t="s">
        <v>294</v>
      </c>
      <c r="B54" s="220">
        <v>24134</v>
      </c>
      <c r="C54" s="220">
        <v>25771</v>
      </c>
      <c r="D54" s="220">
        <v>21916</v>
      </c>
      <c r="E54" s="220">
        <v>20688</v>
      </c>
      <c r="F54" s="220">
        <v>17899</v>
      </c>
    </row>
    <row r="55" spans="1:6" ht="17" thickBot="1" x14ac:dyDescent="0.25">
      <c r="A55" s="221" t="s">
        <v>295</v>
      </c>
      <c r="B55" s="222">
        <v>15552</v>
      </c>
      <c r="C55" s="222">
        <v>13796</v>
      </c>
      <c r="D55" s="222">
        <v>12423</v>
      </c>
      <c r="E55" s="222">
        <v>11863</v>
      </c>
      <c r="F55" s="222">
        <v>10412</v>
      </c>
    </row>
    <row r="56" spans="1:6" ht="17" thickBot="1" x14ac:dyDescent="0.25">
      <c r="A56" s="221" t="s">
        <v>296</v>
      </c>
      <c r="B56" s="222">
        <v>206</v>
      </c>
      <c r="C56" s="222">
        <v>197</v>
      </c>
      <c r="D56" s="222">
        <v>692</v>
      </c>
      <c r="E56" s="222">
        <v>175</v>
      </c>
      <c r="F56" s="222">
        <v>189</v>
      </c>
    </row>
    <row r="57" spans="1:6" ht="17" thickBot="1" x14ac:dyDescent="0.25">
      <c r="A57" s="221" t="s">
        <v>297</v>
      </c>
      <c r="B57" s="222">
        <v>8376</v>
      </c>
      <c r="C57" s="222">
        <v>11778</v>
      </c>
      <c r="D57" s="222">
        <v>8801</v>
      </c>
      <c r="E57" s="222">
        <v>8650</v>
      </c>
      <c r="F57" s="222">
        <v>7298</v>
      </c>
    </row>
    <row r="58" spans="1:6" ht="17" thickBot="1" x14ac:dyDescent="0.25">
      <c r="A58" s="217" t="s">
        <v>298</v>
      </c>
      <c r="B58" s="218">
        <v>255884</v>
      </c>
      <c r="C58" s="218">
        <v>257035</v>
      </c>
      <c r="D58" s="218">
        <v>267261</v>
      </c>
      <c r="E58" s="218">
        <v>258537</v>
      </c>
      <c r="F58" s="218">
        <v>256540</v>
      </c>
    </row>
    <row r="59" spans="1:6" x14ac:dyDescent="0.2">
      <c r="A59" s="223"/>
      <c r="B59" s="223"/>
      <c r="C59" s="223"/>
      <c r="D59" s="223"/>
      <c r="E59" s="223"/>
      <c r="F59" s="223"/>
    </row>
    <row r="60" spans="1:6" ht="16" customHeight="1" thickBot="1" x14ac:dyDescent="0.25">
      <c r="A60" s="216" t="s">
        <v>299</v>
      </c>
      <c r="B60" s="216"/>
      <c r="C60" s="216"/>
      <c r="D60" s="216"/>
      <c r="E60" s="216"/>
      <c r="F60" s="216"/>
    </row>
    <row r="61" spans="1:6" ht="17" thickBot="1" x14ac:dyDescent="0.25">
      <c r="A61" s="217" t="s">
        <v>300</v>
      </c>
      <c r="B61" s="218">
        <v>25605</v>
      </c>
      <c r="C61" s="218">
        <v>22349</v>
      </c>
      <c r="D61" s="218">
        <v>22204</v>
      </c>
      <c r="E61" s="218">
        <v>20673</v>
      </c>
      <c r="F61" s="218">
        <v>21520</v>
      </c>
    </row>
    <row r="62" spans="1:6" ht="17" thickBot="1" x14ac:dyDescent="0.25">
      <c r="A62" s="217" t="s">
        <v>301</v>
      </c>
      <c r="B62" s="218">
        <v>3884</v>
      </c>
      <c r="C62" s="218">
        <v>3454</v>
      </c>
      <c r="D62" s="218">
        <v>3822</v>
      </c>
      <c r="E62" s="218">
        <v>3869</v>
      </c>
      <c r="F62" s="218">
        <v>3286</v>
      </c>
    </row>
    <row r="63" spans="1:6" ht="17" thickBot="1" x14ac:dyDescent="0.25">
      <c r="A63" s="217" t="s">
        <v>302</v>
      </c>
      <c r="B63" s="218">
        <v>19983</v>
      </c>
      <c r="C63" s="218">
        <v>15096</v>
      </c>
      <c r="D63" s="218">
        <v>12042</v>
      </c>
      <c r="E63" s="218">
        <v>14032</v>
      </c>
      <c r="F63" s="218">
        <v>15319</v>
      </c>
    </row>
    <row r="64" spans="1:6" ht="17" thickBot="1" x14ac:dyDescent="0.25">
      <c r="A64" s="217" t="s">
        <v>303</v>
      </c>
      <c r="B64" s="218">
        <v>30181</v>
      </c>
      <c r="C64" s="218">
        <v>34596</v>
      </c>
      <c r="D64" s="218">
        <v>39301</v>
      </c>
      <c r="E64" s="218">
        <v>39914</v>
      </c>
      <c r="F64" s="218">
        <v>38174</v>
      </c>
    </row>
    <row r="65" spans="1:6" ht="17" thickBot="1" x14ac:dyDescent="0.25">
      <c r="A65" s="219" t="s">
        <v>304</v>
      </c>
      <c r="B65" s="220">
        <v>17213</v>
      </c>
      <c r="C65" s="220">
        <v>15232</v>
      </c>
      <c r="D65" s="220">
        <v>19823</v>
      </c>
      <c r="E65" s="220">
        <v>19644</v>
      </c>
      <c r="F65" s="220">
        <v>17270</v>
      </c>
    </row>
    <row r="66" spans="1:6" ht="17" thickBot="1" x14ac:dyDescent="0.25">
      <c r="A66" s="221" t="s">
        <v>305</v>
      </c>
      <c r="B66" s="222">
        <v>2404</v>
      </c>
      <c r="C66" s="222">
        <v>2349</v>
      </c>
      <c r="D66" s="222">
        <v>2161</v>
      </c>
      <c r="E66" s="222">
        <v>2091</v>
      </c>
      <c r="F66" s="222">
        <v>2095</v>
      </c>
    </row>
    <row r="67" spans="1:6" ht="17" thickBot="1" x14ac:dyDescent="0.25">
      <c r="A67" s="221" t="s">
        <v>306</v>
      </c>
      <c r="B67" s="222" t="s">
        <v>231</v>
      </c>
      <c r="C67" s="222" t="s">
        <v>231</v>
      </c>
      <c r="D67" s="222">
        <v>0</v>
      </c>
      <c r="E67" s="222">
        <v>526</v>
      </c>
      <c r="F67" s="222" t="s">
        <v>231</v>
      </c>
    </row>
    <row r="68" spans="1:6" ht="17" thickBot="1" x14ac:dyDescent="0.25">
      <c r="A68" s="221" t="s">
        <v>307</v>
      </c>
      <c r="B68" s="222">
        <v>14809</v>
      </c>
      <c r="C68" s="222">
        <v>12883</v>
      </c>
      <c r="D68" s="222">
        <v>17662</v>
      </c>
      <c r="E68" s="222">
        <v>17027</v>
      </c>
      <c r="F68" s="222">
        <v>15175</v>
      </c>
    </row>
    <row r="69" spans="1:6" ht="17" thickBot="1" x14ac:dyDescent="0.25">
      <c r="A69" s="217" t="s">
        <v>308</v>
      </c>
      <c r="B69" s="218">
        <v>96866</v>
      </c>
      <c r="C69" s="218">
        <v>90727</v>
      </c>
      <c r="D69" s="218">
        <v>97192</v>
      </c>
      <c r="E69" s="218">
        <v>98132</v>
      </c>
      <c r="F69" s="218">
        <v>95569</v>
      </c>
    </row>
    <row r="70" spans="1:6" ht="17" thickBot="1" x14ac:dyDescent="0.25">
      <c r="A70" s="223"/>
      <c r="B70" s="223"/>
      <c r="C70" s="223"/>
      <c r="D70" s="223"/>
      <c r="E70" s="223"/>
      <c r="F70" s="223"/>
    </row>
    <row r="71" spans="1:6" ht="17" thickBot="1" x14ac:dyDescent="0.25">
      <c r="A71" s="219" t="s">
        <v>309</v>
      </c>
      <c r="B71" s="220">
        <v>88805</v>
      </c>
      <c r="C71" s="220">
        <v>88400</v>
      </c>
      <c r="D71" s="220">
        <v>110341</v>
      </c>
      <c r="E71" s="220">
        <v>101361</v>
      </c>
      <c r="F71" s="220">
        <v>100720</v>
      </c>
    </row>
    <row r="72" spans="1:6" ht="17" thickBot="1" x14ac:dyDescent="0.25">
      <c r="A72" s="221" t="s">
        <v>310</v>
      </c>
      <c r="B72" s="222">
        <v>88317</v>
      </c>
      <c r="C72" s="222">
        <v>87911</v>
      </c>
      <c r="D72" s="222">
        <v>109973</v>
      </c>
      <c r="E72" s="222">
        <v>101276</v>
      </c>
      <c r="F72" s="222">
        <v>100720</v>
      </c>
    </row>
    <row r="73" spans="1:6" ht="17" thickBot="1" x14ac:dyDescent="0.25">
      <c r="A73" s="221" t="s">
        <v>311</v>
      </c>
      <c r="B73" s="222">
        <v>488</v>
      </c>
      <c r="C73" s="222">
        <v>489</v>
      </c>
      <c r="D73" s="222">
        <v>368</v>
      </c>
      <c r="E73" s="222">
        <v>85</v>
      </c>
      <c r="F73" s="222" t="s">
        <v>231</v>
      </c>
    </row>
    <row r="74" spans="1:6" ht="17" thickBot="1" x14ac:dyDescent="0.25">
      <c r="A74" s="217" t="s">
        <v>312</v>
      </c>
      <c r="B74" s="218">
        <v>138969</v>
      </c>
      <c r="C74" s="218">
        <v>138092</v>
      </c>
      <c r="D74" s="218">
        <v>161684</v>
      </c>
      <c r="E74" s="218">
        <v>155307</v>
      </c>
      <c r="F74" s="218">
        <v>154213</v>
      </c>
    </row>
    <row r="75" spans="1:6" ht="17" thickBot="1" x14ac:dyDescent="0.25">
      <c r="A75" s="219" t="s">
        <v>313</v>
      </c>
      <c r="B75" s="220">
        <v>1549</v>
      </c>
      <c r="C75" s="220">
        <v>1581</v>
      </c>
      <c r="D75" s="220">
        <v>538</v>
      </c>
      <c r="E75" s="220">
        <v>490</v>
      </c>
      <c r="F75" s="220">
        <v>597</v>
      </c>
    </row>
    <row r="76" spans="1:6" ht="17" thickBot="1" x14ac:dyDescent="0.25">
      <c r="A76" s="221" t="s">
        <v>314</v>
      </c>
      <c r="B76" s="222">
        <v>1549</v>
      </c>
      <c r="C76" s="222">
        <v>1581</v>
      </c>
      <c r="D76" s="222">
        <v>538</v>
      </c>
      <c r="E76" s="222">
        <v>490</v>
      </c>
      <c r="F76" s="222">
        <v>597</v>
      </c>
    </row>
    <row r="77" spans="1:6" ht="17" thickBot="1" x14ac:dyDescent="0.25">
      <c r="A77" s="217" t="s">
        <v>315</v>
      </c>
      <c r="B77" s="218">
        <v>-75</v>
      </c>
      <c r="C77" s="218">
        <v>103</v>
      </c>
      <c r="D77" s="218">
        <v>121</v>
      </c>
      <c r="E77" s="218">
        <v>45</v>
      </c>
      <c r="F77" s="218">
        <v>134</v>
      </c>
    </row>
    <row r="78" spans="1:6" ht="17" thickBot="1" x14ac:dyDescent="0.25">
      <c r="A78" s="219" t="s">
        <v>316</v>
      </c>
      <c r="B78" s="220">
        <v>25497</v>
      </c>
      <c r="C78" s="220">
        <v>27705</v>
      </c>
      <c r="D78" s="220">
        <v>28379</v>
      </c>
      <c r="E78" s="220">
        <v>25324</v>
      </c>
      <c r="F78" s="220">
        <v>23588</v>
      </c>
    </row>
    <row r="79" spans="1:6" ht="17" thickBot="1" x14ac:dyDescent="0.25">
      <c r="A79" s="221" t="s">
        <v>317</v>
      </c>
      <c r="B79" s="222">
        <v>10637</v>
      </c>
      <c r="C79" s="222">
        <v>15373</v>
      </c>
      <c r="D79" s="222">
        <v>18048</v>
      </c>
      <c r="E79" s="222">
        <v>16722</v>
      </c>
      <c r="F79" s="222">
        <v>15723</v>
      </c>
    </row>
    <row r="80" spans="1:6" ht="17" thickBot="1" x14ac:dyDescent="0.25">
      <c r="A80" s="221" t="s">
        <v>318</v>
      </c>
      <c r="B80" s="222">
        <v>14860</v>
      </c>
      <c r="C80" s="222">
        <v>12332</v>
      </c>
      <c r="D80" s="222">
        <v>10331</v>
      </c>
      <c r="E80" s="222">
        <v>8602</v>
      </c>
      <c r="F80" s="222">
        <v>7865</v>
      </c>
    </row>
    <row r="81" spans="1:6" ht="17" thickBot="1" x14ac:dyDescent="0.25">
      <c r="A81" s="217" t="s">
        <v>319</v>
      </c>
      <c r="B81" s="218">
        <v>212642</v>
      </c>
      <c r="C81" s="218">
        <v>208516</v>
      </c>
      <c r="D81" s="218">
        <v>236571</v>
      </c>
      <c r="E81" s="218">
        <v>225352</v>
      </c>
      <c r="F81" s="218">
        <v>220608</v>
      </c>
    </row>
    <row r="82" spans="1:6" x14ac:dyDescent="0.2">
      <c r="A82" s="223"/>
      <c r="B82" s="223"/>
      <c r="C82" s="223"/>
      <c r="D82" s="223"/>
      <c r="E82" s="223"/>
      <c r="F82" s="223"/>
    </row>
    <row r="83" spans="1:6" ht="16" customHeight="1" thickBot="1" x14ac:dyDescent="0.25">
      <c r="A83" s="216" t="s">
        <v>320</v>
      </c>
      <c r="B83" s="216"/>
      <c r="C83" s="216"/>
      <c r="D83" s="216"/>
      <c r="E83" s="216"/>
      <c r="F83" s="216"/>
    </row>
    <row r="84" spans="1:6" ht="17" thickBot="1" x14ac:dyDescent="0.25">
      <c r="A84" s="219" t="s">
        <v>321</v>
      </c>
      <c r="B84" s="220">
        <v>42</v>
      </c>
      <c r="C84" s="220">
        <v>41</v>
      </c>
      <c r="D84" s="220">
        <v>41</v>
      </c>
      <c r="E84" s="220">
        <v>41</v>
      </c>
      <c r="F84" s="220">
        <v>41</v>
      </c>
    </row>
    <row r="85" spans="1:6" ht="17" thickBot="1" x14ac:dyDescent="0.25">
      <c r="A85" s="221" t="s">
        <v>322</v>
      </c>
      <c r="B85" s="222">
        <v>42</v>
      </c>
      <c r="C85" s="222">
        <v>41</v>
      </c>
      <c r="D85" s="222">
        <v>41</v>
      </c>
      <c r="E85" s="222">
        <v>41</v>
      </c>
      <c r="F85" s="222">
        <v>41</v>
      </c>
    </row>
    <row r="86" spans="1:6" ht="17" thickBot="1" x14ac:dyDescent="0.25">
      <c r="A86" s="217" t="s">
        <v>323</v>
      </c>
      <c r="B86" s="218">
        <v>22832</v>
      </c>
      <c r="C86" s="218">
        <v>22611</v>
      </c>
      <c r="D86" s="218">
        <v>22290</v>
      </c>
      <c r="E86" s="218">
        <v>22165</v>
      </c>
      <c r="F86" s="218">
        <v>22006</v>
      </c>
    </row>
    <row r="87" spans="1:6" ht="17" thickBot="1" x14ac:dyDescent="0.25">
      <c r="A87" s="217" t="s">
        <v>324</v>
      </c>
      <c r="B87" s="218">
        <v>31754</v>
      </c>
      <c r="C87" s="218">
        <v>35769</v>
      </c>
      <c r="D87" s="218">
        <v>18243</v>
      </c>
      <c r="E87" s="218">
        <v>20320</v>
      </c>
      <c r="F87" s="218">
        <v>22668</v>
      </c>
    </row>
    <row r="88" spans="1:6" ht="17" thickBot="1" x14ac:dyDescent="0.25">
      <c r="A88" s="217" t="s">
        <v>325</v>
      </c>
      <c r="B88" s="218">
        <v>-2047</v>
      </c>
      <c r="C88" s="218">
        <v>-1563</v>
      </c>
      <c r="D88" s="218">
        <v>-1590</v>
      </c>
      <c r="E88" s="218">
        <v>-1613</v>
      </c>
      <c r="F88" s="218">
        <v>-1417</v>
      </c>
    </row>
    <row r="89" spans="1:6" ht="17" thickBot="1" x14ac:dyDescent="0.25">
      <c r="A89" s="217" t="s">
        <v>326</v>
      </c>
      <c r="B89" s="218">
        <v>-442</v>
      </c>
      <c r="C89" s="218">
        <v>-19</v>
      </c>
      <c r="D89" s="218">
        <v>156</v>
      </c>
      <c r="E89" s="218">
        <v>71</v>
      </c>
      <c r="F89" s="218">
        <v>-59</v>
      </c>
    </row>
    <row r="90" spans="1:6" ht="17" thickBot="1" x14ac:dyDescent="0.25">
      <c r="A90" s="219" t="s">
        <v>327</v>
      </c>
      <c r="B90" s="220">
        <v>-8897</v>
      </c>
      <c r="C90" s="220">
        <v>-8320</v>
      </c>
      <c r="D90" s="220">
        <v>-8450</v>
      </c>
      <c r="E90" s="220">
        <v>-7799</v>
      </c>
      <c r="F90" s="220">
        <v>-7307</v>
      </c>
    </row>
    <row r="91" spans="1:6" ht="17" thickBot="1" x14ac:dyDescent="0.25">
      <c r="A91" s="221" t="s">
        <v>328</v>
      </c>
      <c r="B91" s="222">
        <v>-6416</v>
      </c>
      <c r="C91" s="222">
        <v>-5487</v>
      </c>
      <c r="D91" s="222">
        <v>-5526</v>
      </c>
      <c r="E91" s="222">
        <v>-4626</v>
      </c>
      <c r="F91" s="222">
        <v>-4800</v>
      </c>
    </row>
    <row r="92" spans="1:6" ht="17" thickBot="1" x14ac:dyDescent="0.25">
      <c r="A92" s="221" t="s">
        <v>329</v>
      </c>
      <c r="B92" s="222">
        <v>-2610</v>
      </c>
      <c r="C92" s="222">
        <v>-2640</v>
      </c>
      <c r="D92" s="222">
        <v>-2658</v>
      </c>
      <c r="E92" s="222">
        <v>-2685</v>
      </c>
      <c r="F92" s="222">
        <v>-2708</v>
      </c>
    </row>
    <row r="93" spans="1:6" ht="17" thickBot="1" x14ac:dyDescent="0.25">
      <c r="A93" s="221" t="s">
        <v>330</v>
      </c>
      <c r="B93" s="222">
        <v>129</v>
      </c>
      <c r="C93" s="222">
        <v>-193</v>
      </c>
      <c r="D93" s="222">
        <v>-266</v>
      </c>
      <c r="E93" s="222">
        <v>-488</v>
      </c>
      <c r="F93" s="222">
        <v>201</v>
      </c>
    </row>
    <row r="94" spans="1:6" ht="17" thickBot="1" x14ac:dyDescent="0.25">
      <c r="A94" s="217" t="s">
        <v>331</v>
      </c>
      <c r="B94" s="218">
        <v>43242</v>
      </c>
      <c r="C94" s="218">
        <v>48519</v>
      </c>
      <c r="D94" s="218">
        <v>30690</v>
      </c>
      <c r="E94" s="218">
        <v>33185</v>
      </c>
      <c r="F94" s="218">
        <v>35932</v>
      </c>
    </row>
    <row r="95" spans="1:6" ht="17" thickBot="1" x14ac:dyDescent="0.25">
      <c r="A95" s="223"/>
      <c r="B95" s="223"/>
      <c r="C95" s="223"/>
      <c r="D95" s="223"/>
      <c r="E95" s="223"/>
      <c r="F95" s="223"/>
    </row>
    <row r="96" spans="1:6" ht="17" thickBot="1" x14ac:dyDescent="0.25">
      <c r="A96" s="217" t="s">
        <v>332</v>
      </c>
      <c r="B96" s="218">
        <v>255884</v>
      </c>
      <c r="C96" s="218">
        <v>257035</v>
      </c>
      <c r="D96" s="218">
        <v>267261</v>
      </c>
      <c r="E96" s="218">
        <v>258537</v>
      </c>
      <c r="F96" s="218">
        <v>256540</v>
      </c>
    </row>
    <row r="97" spans="1:6" x14ac:dyDescent="0.2">
      <c r="A97" s="223"/>
      <c r="B97" s="223"/>
      <c r="C97" s="223"/>
      <c r="D97" s="223"/>
      <c r="E97" s="223"/>
      <c r="F97" s="223"/>
    </row>
    <row r="98" spans="1:6" ht="16" customHeight="1" thickBot="1" x14ac:dyDescent="0.25">
      <c r="A98" s="216" t="s">
        <v>333</v>
      </c>
      <c r="B98" s="216"/>
      <c r="C98" s="216"/>
      <c r="D98" s="216"/>
      <c r="E98" s="216"/>
      <c r="F98" s="216"/>
    </row>
    <row r="99" spans="1:6" ht="17" thickBot="1" x14ac:dyDescent="0.25">
      <c r="A99" s="217" t="s">
        <v>334</v>
      </c>
      <c r="B99" s="218">
        <v>71</v>
      </c>
      <c r="C99" s="218">
        <v>71</v>
      </c>
      <c r="D99" s="218">
        <v>71</v>
      </c>
      <c r="E99" s="218">
        <v>71</v>
      </c>
      <c r="F99" s="218">
        <v>71</v>
      </c>
    </row>
    <row r="100" spans="1:6" ht="17" thickBot="1" x14ac:dyDescent="0.25">
      <c r="A100" s="219" t="s">
        <v>335</v>
      </c>
      <c r="B100" s="220">
        <v>4139</v>
      </c>
      <c r="C100" s="220">
        <v>4121</v>
      </c>
      <c r="D100" s="220">
        <v>4096</v>
      </c>
      <c r="E100" s="220">
        <v>4082</v>
      </c>
      <c r="F100" s="220">
        <v>4071</v>
      </c>
    </row>
    <row r="101" spans="1:6" ht="17" thickBot="1" x14ac:dyDescent="0.25">
      <c r="A101" s="221" t="s">
        <v>336</v>
      </c>
      <c r="B101" s="222">
        <v>4068</v>
      </c>
      <c r="C101" s="222">
        <v>4050</v>
      </c>
      <c r="D101" s="222">
        <v>4025</v>
      </c>
      <c r="E101" s="222">
        <v>4011</v>
      </c>
      <c r="F101" s="222">
        <v>4000</v>
      </c>
    </row>
    <row r="102" spans="1:6" ht="17" thickBot="1" x14ac:dyDescent="0.25">
      <c r="A102" s="217" t="s">
        <v>337</v>
      </c>
      <c r="B102" s="218">
        <v>0</v>
      </c>
      <c r="C102" s="218">
        <v>0</v>
      </c>
      <c r="D102" s="218">
        <v>0</v>
      </c>
      <c r="E102" s="218">
        <v>0</v>
      </c>
      <c r="F102" s="218">
        <v>0</v>
      </c>
    </row>
    <row r="103" spans="1:6" ht="17" thickBot="1" x14ac:dyDescent="0.25">
      <c r="A103" s="217" t="s">
        <v>338</v>
      </c>
      <c r="B103" s="218">
        <v>0</v>
      </c>
      <c r="C103" s="218">
        <v>0</v>
      </c>
      <c r="D103" s="218">
        <v>0</v>
      </c>
      <c r="E103" s="218">
        <v>0</v>
      </c>
      <c r="F103" s="218">
        <v>0</v>
      </c>
    </row>
    <row r="104" spans="1:6" ht="17" thickBot="1" x14ac:dyDescent="0.25">
      <c r="A104" s="217" t="s">
        <v>339</v>
      </c>
      <c r="B104" s="218" t="s">
        <v>231</v>
      </c>
      <c r="C104" s="218" t="s">
        <v>231</v>
      </c>
      <c r="D104" s="218" t="s">
        <v>231</v>
      </c>
      <c r="E104" s="218">
        <v>0</v>
      </c>
      <c r="F104" s="218">
        <v>100</v>
      </c>
    </row>
    <row r="105" spans="1:6" ht="17" thickBot="1" x14ac:dyDescent="0.25">
      <c r="A105" s="217" t="s">
        <v>340</v>
      </c>
      <c r="B105" s="218">
        <v>-75</v>
      </c>
      <c r="C105" s="218">
        <v>103</v>
      </c>
      <c r="D105" s="218">
        <v>121</v>
      </c>
      <c r="E105" s="218">
        <v>45</v>
      </c>
      <c r="F105" s="218">
        <v>34</v>
      </c>
    </row>
    <row r="106" spans="1:6" ht="17" thickBot="1" x14ac:dyDescent="0.25">
      <c r="A106" s="217" t="s">
        <v>341</v>
      </c>
      <c r="B106" s="218">
        <v>43167</v>
      </c>
      <c r="C106" s="218">
        <v>48622</v>
      </c>
      <c r="D106" s="218">
        <v>30811</v>
      </c>
      <c r="E106" s="218">
        <v>33230</v>
      </c>
      <c r="F106" s="218">
        <v>35966</v>
      </c>
    </row>
    <row r="107" spans="1:6" ht="17" thickBot="1" x14ac:dyDescent="0.25">
      <c r="A107" s="217" t="s">
        <v>342</v>
      </c>
      <c r="B107" s="218">
        <v>173000</v>
      </c>
      <c r="C107" s="218">
        <v>183000</v>
      </c>
      <c r="D107" s="218">
        <v>186000</v>
      </c>
      <c r="E107" s="218">
        <v>190000</v>
      </c>
      <c r="F107" s="218">
        <v>199000</v>
      </c>
    </row>
    <row r="108" spans="1:6" ht="17" thickBot="1" x14ac:dyDescent="0.25">
      <c r="A108" s="217" t="s">
        <v>343</v>
      </c>
      <c r="B108" s="218">
        <v>104342</v>
      </c>
      <c r="C108" s="218">
        <v>107225</v>
      </c>
      <c r="D108" s="218">
        <v>110705</v>
      </c>
      <c r="E108" s="218">
        <v>112621</v>
      </c>
      <c r="F108" s="218">
        <v>116764</v>
      </c>
    </row>
    <row r="109" spans="1:6" ht="17" thickBot="1" x14ac:dyDescent="0.25">
      <c r="A109" s="217" t="s">
        <v>344</v>
      </c>
      <c r="B109" s="218">
        <v>951</v>
      </c>
      <c r="C109" s="218">
        <v>1194</v>
      </c>
      <c r="D109" s="218">
        <v>1304</v>
      </c>
      <c r="E109" s="218">
        <v>1612</v>
      </c>
      <c r="F109" s="218">
        <v>29119</v>
      </c>
    </row>
    <row r="110" spans="1:6" ht="17" thickBot="1" x14ac:dyDescent="0.25">
      <c r="A110" s="217" t="s">
        <v>345</v>
      </c>
      <c r="B110" s="218">
        <v>86</v>
      </c>
      <c r="C110" s="218">
        <v>111</v>
      </c>
      <c r="D110" s="218">
        <v>144</v>
      </c>
      <c r="E110" s="218">
        <v>188</v>
      </c>
      <c r="F110" s="218">
        <v>178</v>
      </c>
    </row>
    <row r="111" spans="1:6" ht="17" thickBot="1" x14ac:dyDescent="0.25">
      <c r="A111" s="217" t="s">
        <v>346</v>
      </c>
      <c r="B111" s="218">
        <v>603</v>
      </c>
      <c r="C111" s="218">
        <v>619</v>
      </c>
      <c r="D111" s="218">
        <v>258</v>
      </c>
      <c r="E111" s="218">
        <v>278</v>
      </c>
      <c r="F111" s="218">
        <v>264</v>
      </c>
    </row>
    <row r="112" spans="1:6" ht="17" thickBot="1" x14ac:dyDescent="0.25">
      <c r="A112" s="217" t="s">
        <v>347</v>
      </c>
      <c r="B112" s="218">
        <v>6</v>
      </c>
      <c r="C112" s="218">
        <v>6</v>
      </c>
      <c r="D112" s="218">
        <v>6</v>
      </c>
      <c r="E112" s="218" t="s">
        <v>231</v>
      </c>
      <c r="F112" s="218" t="s">
        <v>231</v>
      </c>
    </row>
    <row r="113" spans="1:6" ht="17" thickBot="1" x14ac:dyDescent="0.25">
      <c r="A113" s="217" t="s">
        <v>348</v>
      </c>
      <c r="B113" s="218">
        <v>12</v>
      </c>
      <c r="C113" s="218">
        <v>12</v>
      </c>
      <c r="D113" s="218">
        <v>15</v>
      </c>
      <c r="E113" s="218" t="s">
        <v>231</v>
      </c>
      <c r="F113" s="218" t="s">
        <v>231</v>
      </c>
    </row>
    <row r="114" spans="1:6" ht="17" thickBot="1" x14ac:dyDescent="0.25">
      <c r="A114" s="217" t="s">
        <v>349</v>
      </c>
      <c r="B114" s="218">
        <v>4</v>
      </c>
      <c r="C114" s="218">
        <v>3</v>
      </c>
      <c r="D114" s="218">
        <v>4</v>
      </c>
      <c r="E114" s="218" t="s">
        <v>231</v>
      </c>
      <c r="F114" s="218" t="s">
        <v>231</v>
      </c>
    </row>
    <row r="115" spans="1:6" ht="17" thickBot="1" x14ac:dyDescent="0.25">
      <c r="A115" s="217" t="s">
        <v>350</v>
      </c>
      <c r="B115" s="218">
        <v>4</v>
      </c>
      <c r="C115" s="218">
        <v>3</v>
      </c>
      <c r="D115" s="218">
        <v>4</v>
      </c>
      <c r="E115" s="218" t="s">
        <v>231</v>
      </c>
      <c r="F115" s="218" t="s">
        <v>231</v>
      </c>
    </row>
    <row r="116" spans="1:6" ht="17" thickBot="1" x14ac:dyDescent="0.25">
      <c r="A116" s="217" t="s">
        <v>351</v>
      </c>
      <c r="B116" s="218">
        <v>682</v>
      </c>
      <c r="C116" s="218">
        <v>647</v>
      </c>
      <c r="D116" s="218">
        <v>490</v>
      </c>
      <c r="E116" s="218">
        <v>209</v>
      </c>
      <c r="F116" s="218" t="s">
        <v>231</v>
      </c>
    </row>
    <row r="117" spans="1:6" ht="17" thickBot="1" x14ac:dyDescent="0.25">
      <c r="A117" s="217" t="s">
        <v>352</v>
      </c>
      <c r="B117" s="218">
        <v>1473</v>
      </c>
      <c r="C117" s="218">
        <v>1362</v>
      </c>
      <c r="D117" s="218">
        <v>1030</v>
      </c>
      <c r="E117" s="218">
        <v>461</v>
      </c>
      <c r="F117" s="218" t="s">
        <v>231</v>
      </c>
    </row>
    <row r="118" spans="1:6" ht="17" thickBot="1" x14ac:dyDescent="0.25">
      <c r="A118" s="217" t="s">
        <v>353</v>
      </c>
      <c r="B118" s="218">
        <v>109</v>
      </c>
      <c r="C118" s="218">
        <v>68</v>
      </c>
      <c r="D118" s="218">
        <v>50</v>
      </c>
      <c r="E118" s="218">
        <v>43</v>
      </c>
      <c r="F118" s="218" t="s">
        <v>231</v>
      </c>
    </row>
    <row r="119" spans="1:6" ht="17" thickBot="1" x14ac:dyDescent="0.25">
      <c r="A119" s="217" t="s">
        <v>354</v>
      </c>
      <c r="B119" s="218">
        <v>1447</v>
      </c>
      <c r="C119" s="218">
        <v>1337</v>
      </c>
      <c r="D119" s="218">
        <v>1287</v>
      </c>
      <c r="E119" s="218">
        <v>1415</v>
      </c>
      <c r="F119" s="218" t="s">
        <v>231</v>
      </c>
    </row>
    <row r="120" spans="1:6" ht="17" thickBot="1" x14ac:dyDescent="0.25">
      <c r="A120" s="217" t="s">
        <v>355</v>
      </c>
      <c r="B120" s="218">
        <v>1447</v>
      </c>
      <c r="C120" s="218">
        <v>1337</v>
      </c>
      <c r="D120" s="218">
        <v>1287</v>
      </c>
      <c r="E120" s="218">
        <v>1415</v>
      </c>
      <c r="F120" s="218" t="s">
        <v>231</v>
      </c>
    </row>
    <row r="121" spans="1:6" ht="17" thickBot="1" x14ac:dyDescent="0.25">
      <c r="A121" s="217" t="s">
        <v>356</v>
      </c>
      <c r="B121" s="218">
        <v>2404</v>
      </c>
      <c r="C121" s="218">
        <v>2349</v>
      </c>
      <c r="D121" s="218">
        <v>2161</v>
      </c>
      <c r="E121" s="218">
        <v>2091</v>
      </c>
      <c r="F121" s="218">
        <v>2095</v>
      </c>
    </row>
    <row r="122" spans="1:6" ht="17" thickBot="1" x14ac:dyDescent="0.25">
      <c r="A122" s="217" t="s">
        <v>357</v>
      </c>
      <c r="B122" s="218">
        <v>4883</v>
      </c>
      <c r="C122" s="218">
        <v>4683</v>
      </c>
      <c r="D122" s="218">
        <v>4559</v>
      </c>
      <c r="E122" s="218">
        <v>4191</v>
      </c>
      <c r="F122" s="218">
        <v>3985</v>
      </c>
    </row>
    <row r="123" spans="1:6" ht="17" thickBot="1" x14ac:dyDescent="0.25">
      <c r="A123" s="217" t="s">
        <v>358</v>
      </c>
      <c r="B123" s="218">
        <v>29810</v>
      </c>
      <c r="C123" s="218">
        <v>31707</v>
      </c>
      <c r="D123" s="218">
        <v>38540</v>
      </c>
      <c r="E123" s="218">
        <v>38654</v>
      </c>
      <c r="F123" s="218">
        <v>36474</v>
      </c>
    </row>
    <row r="124" spans="1:6" ht="17" thickBot="1" x14ac:dyDescent="0.25">
      <c r="A124" s="217" t="s">
        <v>359</v>
      </c>
      <c r="B124" s="218">
        <v>69605</v>
      </c>
      <c r="C124" s="218">
        <v>71200</v>
      </c>
      <c r="D124" s="218">
        <v>87708</v>
      </c>
      <c r="E124" s="218">
        <v>87658</v>
      </c>
      <c r="F124" s="218">
        <v>88887</v>
      </c>
    </row>
    <row r="125" spans="1:6" ht="17" thickBot="1" x14ac:dyDescent="0.25">
      <c r="A125" s="217" t="s">
        <v>360</v>
      </c>
      <c r="B125" s="218">
        <v>86</v>
      </c>
      <c r="C125" s="218">
        <v>76</v>
      </c>
      <c r="D125" s="218">
        <v>46</v>
      </c>
      <c r="E125" s="218">
        <v>92</v>
      </c>
      <c r="F125" s="218" t="s">
        <v>231</v>
      </c>
    </row>
    <row r="126" spans="1:6" ht="17" thickBot="1" x14ac:dyDescent="0.25">
      <c r="A126" s="217" t="s">
        <v>361</v>
      </c>
      <c r="B126" s="218">
        <v>404</v>
      </c>
      <c r="C126" s="218">
        <v>345</v>
      </c>
      <c r="D126" s="218">
        <v>323</v>
      </c>
      <c r="E126" s="218">
        <v>367</v>
      </c>
      <c r="F126" s="218" t="s">
        <v>231</v>
      </c>
    </row>
    <row r="127" spans="1:6" ht="17" thickBot="1" x14ac:dyDescent="0.25">
      <c r="A127" s="217" t="s">
        <v>362</v>
      </c>
      <c r="B127" s="218">
        <v>1101</v>
      </c>
      <c r="C127" s="218">
        <v>1048</v>
      </c>
      <c r="D127" s="218">
        <v>991</v>
      </c>
      <c r="E127" s="218">
        <v>1047</v>
      </c>
      <c r="F127" s="218" t="s">
        <v>231</v>
      </c>
    </row>
    <row r="128" spans="1:6" ht="17" thickBot="1" x14ac:dyDescent="0.25">
      <c r="A128" s="217" t="s">
        <v>363</v>
      </c>
      <c r="B128" s="218">
        <v>1300</v>
      </c>
      <c r="C128" s="218" t="s">
        <v>231</v>
      </c>
      <c r="D128" s="218" t="s">
        <v>231</v>
      </c>
      <c r="E128" s="218">
        <v>772</v>
      </c>
      <c r="F128" s="218">
        <v>913</v>
      </c>
    </row>
    <row r="129" spans="1:6" ht="17" thickBot="1" x14ac:dyDescent="0.25">
      <c r="A129" s="217" t="s">
        <v>364</v>
      </c>
      <c r="B129" s="218">
        <v>1700</v>
      </c>
      <c r="C129" s="218" t="s">
        <v>231</v>
      </c>
      <c r="D129" s="218" t="s">
        <v>231</v>
      </c>
      <c r="E129" s="218">
        <v>306</v>
      </c>
      <c r="F129" s="218" t="s">
        <v>231</v>
      </c>
    </row>
    <row r="130" spans="1:6" ht="17" thickBot="1" x14ac:dyDescent="0.25">
      <c r="A130" s="217" t="s">
        <v>365</v>
      </c>
      <c r="B130" s="218">
        <v>102396</v>
      </c>
      <c r="C130" s="218">
        <v>96931</v>
      </c>
      <c r="D130" s="218">
        <v>105936</v>
      </c>
      <c r="E130" s="218">
        <v>103261</v>
      </c>
      <c r="F130" s="218">
        <v>103429</v>
      </c>
    </row>
    <row r="131" spans="1:6" ht="17" thickBot="1" x14ac:dyDescent="0.25">
      <c r="A131" s="217" t="s">
        <v>366</v>
      </c>
      <c r="B131" s="218">
        <v>19</v>
      </c>
      <c r="C131" s="218">
        <v>25</v>
      </c>
      <c r="D131" s="218">
        <v>27</v>
      </c>
      <c r="E131" s="218" t="s">
        <v>231</v>
      </c>
      <c r="F131" s="218" t="s">
        <v>231</v>
      </c>
    </row>
    <row r="132" spans="1:6" ht="17" thickBot="1" x14ac:dyDescent="0.25">
      <c r="A132" s="217" t="s">
        <v>367</v>
      </c>
      <c r="B132" s="218">
        <v>19300</v>
      </c>
      <c r="C132" s="218">
        <v>18300</v>
      </c>
      <c r="D132" s="218">
        <v>18600</v>
      </c>
      <c r="E132" s="218" t="s">
        <v>231</v>
      </c>
      <c r="F132" s="218" t="s">
        <v>231</v>
      </c>
    </row>
    <row r="133" spans="1:6" ht="17" thickBot="1" x14ac:dyDescent="0.25">
      <c r="A133" s="217" t="s">
        <v>368</v>
      </c>
      <c r="B133" s="218">
        <v>94824</v>
      </c>
      <c r="C133" s="218">
        <v>88602</v>
      </c>
      <c r="D133" s="218">
        <v>111844</v>
      </c>
      <c r="E133" s="218">
        <v>120701</v>
      </c>
      <c r="F133" s="218">
        <v>120396</v>
      </c>
    </row>
    <row r="134" spans="1:6" x14ac:dyDescent="0.2">
      <c r="A134" s="217" t="s">
        <v>369</v>
      </c>
      <c r="B134" s="218">
        <v>42553</v>
      </c>
      <c r="C134" s="218">
        <v>47789</v>
      </c>
      <c r="D134" s="218">
        <v>30288</v>
      </c>
      <c r="E134" s="218">
        <v>32719</v>
      </c>
      <c r="F134" s="218">
        <v>35490</v>
      </c>
    </row>
    <row r="135" spans="1:6" ht="16" customHeight="1" thickBot="1" x14ac:dyDescent="0.25">
      <c r="A135" s="216" t="s">
        <v>370</v>
      </c>
      <c r="B135" s="216"/>
      <c r="C135" s="216"/>
      <c r="D135" s="216"/>
      <c r="E135" s="216"/>
      <c r="F135" s="216"/>
    </row>
    <row r="136" spans="1:6" ht="17" thickBot="1" x14ac:dyDescent="0.25">
      <c r="A136" s="219" t="s">
        <v>371</v>
      </c>
      <c r="B136" s="220">
        <v>140759</v>
      </c>
      <c r="C136" s="220">
        <v>138237</v>
      </c>
      <c r="D136" s="220">
        <v>160870</v>
      </c>
      <c r="E136" s="220">
        <v>154992</v>
      </c>
      <c r="F136" s="220">
        <v>153613</v>
      </c>
    </row>
    <row r="137" spans="1:6" ht="17" thickBot="1" x14ac:dyDescent="0.25">
      <c r="A137" s="221" t="s">
        <v>372</v>
      </c>
      <c r="B137" s="222">
        <v>49728</v>
      </c>
      <c r="C137" s="222">
        <v>49692</v>
      </c>
      <c r="D137" s="222">
        <v>51334</v>
      </c>
      <c r="E137" s="222">
        <v>53649</v>
      </c>
      <c r="F137" s="222">
        <v>53538</v>
      </c>
    </row>
    <row r="138" spans="1:6" ht="17" thickBot="1" x14ac:dyDescent="0.25">
      <c r="A138" s="221" t="s">
        <v>373</v>
      </c>
      <c r="B138" s="222">
        <v>27253</v>
      </c>
      <c r="C138" s="222">
        <v>23305</v>
      </c>
      <c r="D138" s="222">
        <v>31197</v>
      </c>
      <c r="E138" s="222">
        <v>32163</v>
      </c>
      <c r="F138" s="222">
        <v>34929</v>
      </c>
    </row>
    <row r="139" spans="1:6" ht="17" thickBot="1" x14ac:dyDescent="0.25">
      <c r="A139" s="221" t="s">
        <v>374</v>
      </c>
      <c r="B139" s="222">
        <v>22780</v>
      </c>
      <c r="C139" s="222">
        <v>16007</v>
      </c>
      <c r="D139" s="222">
        <v>22360</v>
      </c>
      <c r="E139" s="222">
        <v>23727</v>
      </c>
      <c r="F139" s="222">
        <v>23962</v>
      </c>
    </row>
    <row r="140" spans="1:6" ht="17" thickBot="1" x14ac:dyDescent="0.25">
      <c r="A140" s="221" t="s">
        <v>375</v>
      </c>
      <c r="B140" s="222">
        <v>12730</v>
      </c>
      <c r="C140" s="222">
        <v>17754</v>
      </c>
      <c r="D140" s="222">
        <v>13519</v>
      </c>
      <c r="E140" s="222">
        <v>10681</v>
      </c>
      <c r="F140" s="222">
        <v>13385</v>
      </c>
    </row>
    <row r="141" spans="1:6" ht="17" thickBot="1" x14ac:dyDescent="0.25">
      <c r="A141" s="221" t="s">
        <v>376</v>
      </c>
      <c r="B141" s="222">
        <v>8236</v>
      </c>
      <c r="C141" s="222">
        <v>11394</v>
      </c>
      <c r="D141" s="222">
        <v>19866</v>
      </c>
      <c r="E141" s="222">
        <v>10636</v>
      </c>
      <c r="F141" s="222">
        <v>8695</v>
      </c>
    </row>
    <row r="142" spans="1:6" ht="17" thickBot="1" x14ac:dyDescent="0.25">
      <c r="A142" s="221" t="s">
        <v>377</v>
      </c>
      <c r="B142" s="222">
        <v>50033</v>
      </c>
      <c r="C142" s="222">
        <v>39312</v>
      </c>
      <c r="D142" s="222">
        <v>53557</v>
      </c>
      <c r="E142" s="222">
        <v>55890</v>
      </c>
      <c r="F142" s="222">
        <v>58891</v>
      </c>
    </row>
    <row r="143" spans="1:6" ht="17" thickBot="1" x14ac:dyDescent="0.25">
      <c r="A143" s="221" t="s">
        <v>378</v>
      </c>
      <c r="B143" s="222">
        <v>20966</v>
      </c>
      <c r="C143" s="222">
        <v>29148</v>
      </c>
      <c r="D143" s="222">
        <v>33385</v>
      </c>
      <c r="E143" s="222">
        <v>21317</v>
      </c>
      <c r="F143" s="222">
        <v>22080</v>
      </c>
    </row>
    <row r="144" spans="1:6" ht="17" thickBot="1" x14ac:dyDescent="0.25">
      <c r="A144" s="221" t="s">
        <v>379</v>
      </c>
      <c r="B144" s="222">
        <v>20032</v>
      </c>
      <c r="C144" s="222">
        <v>20085</v>
      </c>
      <c r="D144" s="222">
        <v>22594</v>
      </c>
      <c r="E144" s="222">
        <v>24136</v>
      </c>
      <c r="F144" s="222">
        <v>19104</v>
      </c>
    </row>
    <row r="145" spans="1:6" ht="17" thickBot="1" x14ac:dyDescent="0.25">
      <c r="A145" s="219" t="s">
        <v>380</v>
      </c>
      <c r="B145" s="220">
        <v>574</v>
      </c>
      <c r="C145" s="220">
        <v>565</v>
      </c>
      <c r="D145" s="220">
        <v>414</v>
      </c>
      <c r="E145" s="220">
        <v>177</v>
      </c>
      <c r="F145" s="220">
        <v>172</v>
      </c>
    </row>
    <row r="146" spans="1:6" ht="17" thickBot="1" x14ac:dyDescent="0.25">
      <c r="A146" s="221" t="s">
        <v>381</v>
      </c>
      <c r="B146" s="222">
        <v>-139</v>
      </c>
      <c r="C146" s="222">
        <v>-94</v>
      </c>
      <c r="D146" s="222">
        <v>-110</v>
      </c>
      <c r="E146" s="222">
        <v>-11</v>
      </c>
      <c r="F146" s="222" t="s">
        <v>231</v>
      </c>
    </row>
    <row r="147" spans="1:6" ht="17" thickBot="1" x14ac:dyDescent="0.25">
      <c r="A147" s="221" t="s">
        <v>382</v>
      </c>
      <c r="B147" s="222">
        <v>107</v>
      </c>
      <c r="C147" s="222">
        <v>94</v>
      </c>
      <c r="D147" s="222">
        <v>60</v>
      </c>
      <c r="E147" s="222">
        <v>96</v>
      </c>
      <c r="F147" s="222">
        <v>95</v>
      </c>
    </row>
    <row r="148" spans="1:6" ht="17" thickBot="1" x14ac:dyDescent="0.25">
      <c r="A148" s="221" t="s">
        <v>383</v>
      </c>
      <c r="B148" s="222">
        <v>91</v>
      </c>
      <c r="C148" s="222">
        <v>88</v>
      </c>
      <c r="D148" s="222">
        <v>54</v>
      </c>
      <c r="E148" s="222">
        <v>35</v>
      </c>
      <c r="F148" s="222">
        <v>24</v>
      </c>
    </row>
    <row r="149" spans="1:6" ht="17" thickBot="1" x14ac:dyDescent="0.25">
      <c r="A149" s="221" t="s">
        <v>384</v>
      </c>
      <c r="B149" s="222">
        <v>68</v>
      </c>
      <c r="C149" s="222">
        <v>70</v>
      </c>
      <c r="D149" s="222">
        <v>42</v>
      </c>
      <c r="E149" s="222">
        <v>21</v>
      </c>
      <c r="F149" s="222">
        <v>24</v>
      </c>
    </row>
    <row r="150" spans="1:6" ht="17" thickBot="1" x14ac:dyDescent="0.25">
      <c r="A150" s="221" t="s">
        <v>385</v>
      </c>
      <c r="B150" s="222">
        <v>62</v>
      </c>
      <c r="C150" s="222">
        <v>62</v>
      </c>
      <c r="D150" s="222">
        <v>35</v>
      </c>
      <c r="E150" s="222">
        <v>16</v>
      </c>
      <c r="F150" s="222">
        <v>11</v>
      </c>
    </row>
    <row r="151" spans="1:6" ht="17" thickBot="1" x14ac:dyDescent="0.25">
      <c r="A151" s="221" t="s">
        <v>386</v>
      </c>
      <c r="B151" s="222">
        <v>37</v>
      </c>
      <c r="C151" s="222">
        <v>57</v>
      </c>
      <c r="D151" s="222">
        <v>30</v>
      </c>
      <c r="E151" s="222">
        <v>10</v>
      </c>
      <c r="F151" s="222">
        <v>11</v>
      </c>
    </row>
    <row r="152" spans="1:6" ht="17" thickBot="1" x14ac:dyDescent="0.25">
      <c r="A152" s="221" t="s">
        <v>387</v>
      </c>
      <c r="B152" s="222">
        <v>159</v>
      </c>
      <c r="C152" s="222">
        <v>158</v>
      </c>
      <c r="D152" s="222">
        <v>96</v>
      </c>
      <c r="E152" s="222">
        <v>56</v>
      </c>
      <c r="F152" s="222">
        <v>48</v>
      </c>
    </row>
    <row r="153" spans="1:6" ht="17" thickBot="1" x14ac:dyDescent="0.25">
      <c r="A153" s="221" t="s">
        <v>388</v>
      </c>
      <c r="B153" s="222">
        <v>99</v>
      </c>
      <c r="C153" s="222">
        <v>119</v>
      </c>
      <c r="D153" s="222">
        <v>65</v>
      </c>
      <c r="E153" s="222">
        <v>26</v>
      </c>
      <c r="F153" s="222">
        <v>22</v>
      </c>
    </row>
    <row r="154" spans="1:6" ht="17" thickBot="1" x14ac:dyDescent="0.25">
      <c r="A154" s="221" t="s">
        <v>389</v>
      </c>
      <c r="B154" s="222">
        <v>348</v>
      </c>
      <c r="C154" s="222">
        <v>288</v>
      </c>
      <c r="D154" s="222">
        <v>303</v>
      </c>
      <c r="E154" s="222">
        <v>10</v>
      </c>
      <c r="F154" s="222">
        <v>7</v>
      </c>
    </row>
    <row r="155" spans="1:6" ht="17" thickBot="1" x14ac:dyDescent="0.25">
      <c r="A155" s="219" t="s">
        <v>390</v>
      </c>
      <c r="B155" s="220">
        <v>1505</v>
      </c>
      <c r="C155" s="220">
        <v>1393</v>
      </c>
      <c r="D155" s="220">
        <v>1314</v>
      </c>
      <c r="E155" s="220">
        <v>1414</v>
      </c>
      <c r="F155" s="220">
        <v>1511</v>
      </c>
    </row>
    <row r="156" spans="1:6" ht="17" thickBot="1" x14ac:dyDescent="0.25">
      <c r="A156" s="221" t="s">
        <v>391</v>
      </c>
      <c r="B156" s="222">
        <v>452</v>
      </c>
      <c r="C156" s="222">
        <v>385</v>
      </c>
      <c r="D156" s="222">
        <v>366</v>
      </c>
      <c r="E156" s="222">
        <v>406</v>
      </c>
      <c r="F156" s="222">
        <v>363</v>
      </c>
    </row>
    <row r="157" spans="1:6" ht="17" thickBot="1" x14ac:dyDescent="0.25">
      <c r="A157" s="221" t="s">
        <v>392</v>
      </c>
      <c r="B157" s="222">
        <v>350</v>
      </c>
      <c r="C157" s="222">
        <v>307</v>
      </c>
      <c r="D157" s="222">
        <v>279</v>
      </c>
      <c r="E157" s="222">
        <v>306</v>
      </c>
      <c r="F157" s="222">
        <v>271</v>
      </c>
    </row>
    <row r="158" spans="1:6" ht="17" thickBot="1" x14ac:dyDescent="0.25">
      <c r="A158" s="221" t="s">
        <v>393</v>
      </c>
      <c r="B158" s="222">
        <v>253</v>
      </c>
      <c r="C158" s="222">
        <v>223</v>
      </c>
      <c r="D158" s="222">
        <v>210</v>
      </c>
      <c r="E158" s="222">
        <v>219</v>
      </c>
      <c r="F158" s="222">
        <v>193</v>
      </c>
    </row>
    <row r="159" spans="1:6" ht="17" thickBot="1" x14ac:dyDescent="0.25">
      <c r="A159" s="221" t="s">
        <v>394</v>
      </c>
      <c r="B159" s="222">
        <v>176</v>
      </c>
      <c r="C159" s="222">
        <v>161</v>
      </c>
      <c r="D159" s="222">
        <v>156</v>
      </c>
      <c r="E159" s="222">
        <v>156</v>
      </c>
      <c r="F159" s="222">
        <v>141</v>
      </c>
    </row>
    <row r="160" spans="1:6" ht="17" thickBot="1" x14ac:dyDescent="0.25">
      <c r="A160" s="221" t="s">
        <v>395</v>
      </c>
      <c r="B160" s="222">
        <v>134</v>
      </c>
      <c r="C160" s="222">
        <v>128</v>
      </c>
      <c r="D160" s="222">
        <v>117</v>
      </c>
      <c r="E160" s="222">
        <v>114</v>
      </c>
      <c r="F160" s="222">
        <v>106</v>
      </c>
    </row>
    <row r="161" spans="1:6" ht="17" thickBot="1" x14ac:dyDescent="0.25">
      <c r="A161" s="221" t="s">
        <v>396</v>
      </c>
      <c r="B161" s="222">
        <v>603</v>
      </c>
      <c r="C161" s="222">
        <v>530</v>
      </c>
      <c r="D161" s="222">
        <v>489</v>
      </c>
      <c r="E161" s="222">
        <v>525</v>
      </c>
      <c r="F161" s="222">
        <v>464</v>
      </c>
    </row>
    <row r="162" spans="1:6" ht="17" thickBot="1" x14ac:dyDescent="0.25">
      <c r="A162" s="221" t="s">
        <v>397</v>
      </c>
      <c r="B162" s="222">
        <v>310</v>
      </c>
      <c r="C162" s="222">
        <v>289</v>
      </c>
      <c r="D162" s="222">
        <v>273</v>
      </c>
      <c r="E162" s="222">
        <v>270</v>
      </c>
      <c r="F162" s="222">
        <v>247</v>
      </c>
    </row>
    <row r="163" spans="1:6" ht="17" thickBot="1" x14ac:dyDescent="0.25">
      <c r="A163" s="221" t="s">
        <v>398</v>
      </c>
      <c r="B163" s="222">
        <v>140</v>
      </c>
      <c r="C163" s="222">
        <v>189</v>
      </c>
      <c r="D163" s="222">
        <v>186</v>
      </c>
      <c r="E163" s="222">
        <v>213</v>
      </c>
      <c r="F163" s="222">
        <v>437</v>
      </c>
    </row>
    <row r="164" spans="1:6" ht="17" thickBot="1" x14ac:dyDescent="0.25">
      <c r="A164" s="217" t="s">
        <v>399</v>
      </c>
      <c r="B164" s="218">
        <v>-169</v>
      </c>
      <c r="C164" s="218">
        <v>-146</v>
      </c>
      <c r="D164" s="218">
        <v>-166</v>
      </c>
      <c r="E164" s="218">
        <v>-174</v>
      </c>
      <c r="F164" s="218" t="s">
        <v>231</v>
      </c>
    </row>
    <row r="165" spans="1:6" ht="17" thickBot="1" x14ac:dyDescent="0.25">
      <c r="A165" s="219" t="s">
        <v>400</v>
      </c>
      <c r="B165" s="220">
        <v>-4665</v>
      </c>
      <c r="C165" s="220">
        <v>-6366</v>
      </c>
      <c r="D165" s="220">
        <v>-13255</v>
      </c>
      <c r="E165" s="220">
        <v>-12906</v>
      </c>
      <c r="F165" s="220">
        <v>-11860</v>
      </c>
    </row>
    <row r="166" spans="1:6" ht="17" thickBot="1" x14ac:dyDescent="0.25">
      <c r="A166" s="221" t="s">
        <v>401</v>
      </c>
      <c r="B166" s="222">
        <v>32867</v>
      </c>
      <c r="C166" s="222">
        <v>44888</v>
      </c>
      <c r="D166" s="222">
        <v>49020</v>
      </c>
      <c r="E166" s="222">
        <v>45672</v>
      </c>
      <c r="F166" s="222">
        <v>42269</v>
      </c>
    </row>
    <row r="167" spans="1:6" ht="17" thickBot="1" x14ac:dyDescent="0.25">
      <c r="A167" s="221" t="s">
        <v>402</v>
      </c>
      <c r="B167" s="222">
        <v>21605</v>
      </c>
      <c r="C167" s="222">
        <v>34432</v>
      </c>
      <c r="D167" s="222">
        <v>39835</v>
      </c>
      <c r="E167" s="222">
        <v>35373</v>
      </c>
      <c r="F167" s="222">
        <v>31079</v>
      </c>
    </row>
    <row r="168" spans="1:6" ht="17" thickBot="1" x14ac:dyDescent="0.25">
      <c r="A168" s="221" t="s">
        <v>403</v>
      </c>
      <c r="B168" s="222">
        <v>32922</v>
      </c>
      <c r="C168" s="222">
        <v>45909</v>
      </c>
      <c r="D168" s="222">
        <v>48355</v>
      </c>
      <c r="E168" s="222">
        <v>44253</v>
      </c>
      <c r="F168" s="222">
        <v>39774</v>
      </c>
    </row>
    <row r="169" spans="1:6" ht="17" thickBot="1" x14ac:dyDescent="0.25">
      <c r="A169" s="221" t="s">
        <v>404</v>
      </c>
      <c r="B169" s="222">
        <v>21344</v>
      </c>
      <c r="C169" s="222">
        <v>33085</v>
      </c>
      <c r="D169" s="222">
        <v>33820</v>
      </c>
      <c r="E169" s="222">
        <v>29958</v>
      </c>
      <c r="F169" s="222">
        <v>27273</v>
      </c>
    </row>
    <row r="170" spans="1:6" ht="17" thickBot="1" x14ac:dyDescent="0.25">
      <c r="A170" s="221" t="s">
        <v>405</v>
      </c>
      <c r="B170" s="222">
        <v>55</v>
      </c>
      <c r="C170" s="222">
        <v>1021</v>
      </c>
      <c r="D170" s="222">
        <v>-665</v>
      </c>
      <c r="E170" s="222">
        <v>-1419</v>
      </c>
      <c r="F170" s="222">
        <v>-2495</v>
      </c>
    </row>
    <row r="171" spans="1:6" ht="17" thickBot="1" x14ac:dyDescent="0.25">
      <c r="A171" s="221" t="s">
        <v>406</v>
      </c>
      <c r="B171" s="222">
        <v>-261</v>
      </c>
      <c r="C171" s="222">
        <v>-1347</v>
      </c>
      <c r="D171" s="222">
        <v>-6015</v>
      </c>
      <c r="E171" s="222">
        <v>-5415</v>
      </c>
      <c r="F171" s="222">
        <v>-3806</v>
      </c>
    </row>
    <row r="172" spans="1:6" ht="17" thickBot="1" x14ac:dyDescent="0.25">
      <c r="A172" s="221" t="s">
        <v>407</v>
      </c>
      <c r="B172" s="222">
        <v>32336</v>
      </c>
      <c r="C172" s="222">
        <v>43879</v>
      </c>
      <c r="D172" s="222">
        <v>47848</v>
      </c>
      <c r="E172" s="222">
        <v>44578</v>
      </c>
      <c r="F172" s="222">
        <v>1965</v>
      </c>
    </row>
    <row r="173" spans="1:6" ht="17" thickBot="1" x14ac:dyDescent="0.25">
      <c r="A173" s="221" t="s">
        <v>408</v>
      </c>
      <c r="B173" s="222">
        <v>20304</v>
      </c>
      <c r="C173" s="222">
        <v>31850</v>
      </c>
      <c r="D173" s="222">
        <v>36272</v>
      </c>
      <c r="E173" s="222">
        <v>32106</v>
      </c>
      <c r="F173" s="222">
        <v>10904</v>
      </c>
    </row>
    <row r="174" spans="1:6" ht="17" thickBot="1" x14ac:dyDescent="0.25">
      <c r="A174" s="221" t="s">
        <v>409</v>
      </c>
      <c r="B174" s="222" t="s">
        <v>231</v>
      </c>
      <c r="C174" s="222" t="s">
        <v>231</v>
      </c>
      <c r="D174" s="222" t="s">
        <v>231</v>
      </c>
      <c r="E174" s="222" t="s">
        <v>231</v>
      </c>
      <c r="F174" s="222">
        <v>5559</v>
      </c>
    </row>
    <row r="175" spans="1:6" ht="17" thickBot="1" x14ac:dyDescent="0.25">
      <c r="A175" s="221" t="s">
        <v>410</v>
      </c>
      <c r="B175" s="222">
        <v>4459</v>
      </c>
      <c r="C175" s="222">
        <v>6040</v>
      </c>
      <c r="D175" s="222">
        <v>6575</v>
      </c>
      <c r="E175" s="222">
        <v>6072</v>
      </c>
      <c r="F175" s="222">
        <v>5559</v>
      </c>
    </row>
    <row r="176" spans="1:6" ht="17" thickBot="1" x14ac:dyDescent="0.25">
      <c r="A176" s="219" t="s">
        <v>411</v>
      </c>
      <c r="B176" s="220" t="s">
        <v>231</v>
      </c>
      <c r="C176" s="220" t="s">
        <v>231</v>
      </c>
      <c r="D176" s="220" t="s">
        <v>231</v>
      </c>
      <c r="E176" s="220" t="s">
        <v>231</v>
      </c>
      <c r="F176" s="220" t="s">
        <v>231</v>
      </c>
    </row>
    <row r="177" spans="1:6" ht="17" thickBot="1" x14ac:dyDescent="0.25">
      <c r="A177" s="221" t="s">
        <v>412</v>
      </c>
      <c r="B177" s="225">
        <v>5.5100000000000003E-2</v>
      </c>
      <c r="C177" s="225">
        <v>2.9100000000000001E-2</v>
      </c>
      <c r="D177" s="225">
        <v>2.5600000000000001E-2</v>
      </c>
      <c r="E177" s="225">
        <v>3.32E-2</v>
      </c>
      <c r="F177" s="225">
        <v>4.2900000000000001E-2</v>
      </c>
    </row>
    <row r="178" spans="1:6" ht="17" thickBot="1" x14ac:dyDescent="0.25">
      <c r="A178" s="221" t="s">
        <v>413</v>
      </c>
      <c r="B178" s="225">
        <v>4.4200000000000003E-2</v>
      </c>
      <c r="C178" s="225">
        <v>1.7500000000000002E-2</v>
      </c>
      <c r="D178" s="225">
        <v>1.23E-2</v>
      </c>
      <c r="E178" s="225">
        <v>1.7399999999999999E-2</v>
      </c>
      <c r="F178" s="225">
        <v>2.4799999999999999E-2</v>
      </c>
    </row>
    <row r="179" spans="1:6" ht="17" thickBot="1" x14ac:dyDescent="0.25">
      <c r="A179" s="221" t="s">
        <v>414</v>
      </c>
      <c r="B179" s="225">
        <v>5.4800000000000001E-2</v>
      </c>
      <c r="C179" s="225">
        <v>2.9700000000000001E-2</v>
      </c>
      <c r="D179" s="225">
        <v>2.6200000000000001E-2</v>
      </c>
      <c r="E179" s="225">
        <v>3.3000000000000002E-2</v>
      </c>
      <c r="F179" s="225">
        <v>4.1700000000000001E-2</v>
      </c>
    </row>
    <row r="180" spans="1:6" ht="17" thickBot="1" x14ac:dyDescent="0.25">
      <c r="A180" s="221" t="s">
        <v>415</v>
      </c>
      <c r="B180" s="225">
        <v>3.6999999999999998E-2</v>
      </c>
      <c r="C180" s="225">
        <v>3.5000000000000003E-2</v>
      </c>
      <c r="D180" s="225">
        <v>3.5000000000000003E-2</v>
      </c>
      <c r="E180" s="225">
        <v>3.5000000000000003E-2</v>
      </c>
      <c r="F180" s="225">
        <v>3.5000000000000003E-2</v>
      </c>
    </row>
    <row r="181" spans="1:6" ht="17" thickBot="1" x14ac:dyDescent="0.25">
      <c r="A181" s="221" t="s">
        <v>416</v>
      </c>
      <c r="B181" s="225">
        <v>3.4200000000000001E-2</v>
      </c>
      <c r="C181" s="225">
        <v>3.1899999999999998E-2</v>
      </c>
      <c r="D181" s="225">
        <v>3.3399999999999999E-2</v>
      </c>
      <c r="E181" s="225">
        <v>3.3700000000000001E-2</v>
      </c>
      <c r="F181" s="225">
        <v>3.3700000000000001E-2</v>
      </c>
    </row>
    <row r="182" spans="1:6" ht="17" thickBot="1" x14ac:dyDescent="0.25">
      <c r="A182" s="221" t="s">
        <v>417</v>
      </c>
      <c r="B182" s="225">
        <v>3.6499999999999998E-2</v>
      </c>
      <c r="C182" s="225">
        <v>3.4599999999999999E-2</v>
      </c>
      <c r="D182" s="225">
        <v>3.44E-2</v>
      </c>
      <c r="E182" s="225">
        <v>3.44E-2</v>
      </c>
      <c r="F182" s="225">
        <v>3.44E-2</v>
      </c>
    </row>
    <row r="183" spans="1:6" ht="17" thickBot="1" x14ac:dyDescent="0.25">
      <c r="A183" s="219" t="s">
        <v>418</v>
      </c>
      <c r="B183" s="220">
        <v>-4665</v>
      </c>
      <c r="C183" s="220">
        <v>-6366</v>
      </c>
      <c r="D183" s="220">
        <v>-13255</v>
      </c>
      <c r="E183" s="220">
        <v>-12906</v>
      </c>
      <c r="F183" s="220">
        <v>-11383</v>
      </c>
    </row>
    <row r="184" spans="1:6" ht="17" thickBot="1" x14ac:dyDescent="0.25">
      <c r="A184" s="221" t="s">
        <v>419</v>
      </c>
      <c r="B184" s="222">
        <v>2064</v>
      </c>
      <c r="C184" s="222">
        <v>3130</v>
      </c>
      <c r="D184" s="222">
        <v>1578</v>
      </c>
      <c r="E184" s="222">
        <v>911</v>
      </c>
      <c r="F184" s="222">
        <v>165</v>
      </c>
    </row>
    <row r="185" spans="1:6" ht="17" thickBot="1" x14ac:dyDescent="0.25">
      <c r="A185" s="221" t="s">
        <v>420</v>
      </c>
      <c r="B185" s="222">
        <v>3599</v>
      </c>
      <c r="C185" s="222">
        <v>5404</v>
      </c>
      <c r="D185" s="222">
        <v>2673</v>
      </c>
      <c r="E185" s="222">
        <v>2318</v>
      </c>
      <c r="F185" s="222">
        <v>3161</v>
      </c>
    </row>
    <row r="186" spans="1:6" ht="17" thickBot="1" x14ac:dyDescent="0.25">
      <c r="A186" s="221" t="s">
        <v>421</v>
      </c>
      <c r="B186" s="222" t="s">
        <v>231</v>
      </c>
      <c r="C186" s="222" t="s">
        <v>231</v>
      </c>
      <c r="D186" s="222" t="s">
        <v>231</v>
      </c>
      <c r="E186" s="222">
        <v>0</v>
      </c>
      <c r="F186" s="222">
        <v>0</v>
      </c>
    </row>
    <row r="187" spans="1:6" ht="17" thickBot="1" x14ac:dyDescent="0.25">
      <c r="A187" s="221" t="s">
        <v>422</v>
      </c>
      <c r="B187" s="222">
        <v>-2009</v>
      </c>
      <c r="C187" s="222">
        <v>-2109</v>
      </c>
      <c r="D187" s="222">
        <v>-2243</v>
      </c>
      <c r="E187" s="222">
        <v>-2330</v>
      </c>
      <c r="F187" s="222">
        <v>-2660</v>
      </c>
    </row>
    <row r="188" spans="1:6" ht="17" thickBot="1" x14ac:dyDescent="0.25">
      <c r="A188" s="221" t="s">
        <v>423</v>
      </c>
      <c r="B188" s="222">
        <v>-3860</v>
      </c>
      <c r="C188" s="222">
        <v>-6751</v>
      </c>
      <c r="D188" s="222">
        <v>-8688</v>
      </c>
      <c r="E188" s="222">
        <v>-7733</v>
      </c>
      <c r="F188" s="222">
        <v>-6967</v>
      </c>
    </row>
    <row r="189" spans="1:6" ht="17" thickBot="1" x14ac:dyDescent="0.25">
      <c r="A189" s="221" t="s">
        <v>424</v>
      </c>
      <c r="B189" s="222">
        <v>-4459</v>
      </c>
      <c r="C189" s="222">
        <v>-6040</v>
      </c>
      <c r="D189" s="222">
        <v>-6575</v>
      </c>
      <c r="E189" s="222">
        <v>-6072</v>
      </c>
      <c r="F189" s="222">
        <v>-5559</v>
      </c>
    </row>
    <row r="190" spans="1:6" ht="17" thickBot="1" x14ac:dyDescent="0.25">
      <c r="A190" s="221" t="s">
        <v>425</v>
      </c>
      <c r="B190" s="222" t="s">
        <v>231</v>
      </c>
      <c r="C190" s="222" t="s">
        <v>231</v>
      </c>
      <c r="D190" s="222" t="s">
        <v>231</v>
      </c>
      <c r="E190" s="222" t="s">
        <v>231</v>
      </c>
      <c r="F190" s="222">
        <v>95</v>
      </c>
    </row>
    <row r="191" spans="1:6" ht="17" thickBot="1" x14ac:dyDescent="0.25">
      <c r="A191" s="221" t="s">
        <v>426</v>
      </c>
      <c r="B191" s="222" t="s">
        <v>231</v>
      </c>
      <c r="C191" s="222" t="s">
        <v>231</v>
      </c>
      <c r="D191" s="222" t="s">
        <v>231</v>
      </c>
      <c r="E191" s="222" t="s">
        <v>231</v>
      </c>
      <c r="F191" s="222">
        <v>285</v>
      </c>
    </row>
    <row r="192" spans="1:6" ht="17" thickBot="1" x14ac:dyDescent="0.25">
      <c r="A192" s="221" t="s">
        <v>427</v>
      </c>
      <c r="B192" s="222" t="s">
        <v>231</v>
      </c>
      <c r="C192" s="222" t="s">
        <v>231</v>
      </c>
      <c r="D192" s="222" t="s">
        <v>231</v>
      </c>
      <c r="E192" s="222" t="s">
        <v>231</v>
      </c>
      <c r="F192" s="222">
        <v>97</v>
      </c>
    </row>
    <row r="193" spans="1:6" ht="17" thickBot="1" x14ac:dyDescent="0.25">
      <c r="A193" s="219" t="s">
        <v>428</v>
      </c>
      <c r="B193" s="220" t="s">
        <v>231</v>
      </c>
      <c r="C193" s="220" t="s">
        <v>231</v>
      </c>
      <c r="D193" s="220" t="s">
        <v>231</v>
      </c>
      <c r="E193" s="220" t="s">
        <v>231</v>
      </c>
      <c r="F193" s="220" t="s">
        <v>231</v>
      </c>
    </row>
    <row r="194" spans="1:6" ht="17" thickBot="1" x14ac:dyDescent="0.25">
      <c r="A194" s="221" t="s">
        <v>429</v>
      </c>
      <c r="B194" s="225">
        <v>2.12E-2</v>
      </c>
      <c r="C194" s="225">
        <v>4.7300000000000002E-2</v>
      </c>
      <c r="D194" s="225">
        <v>7.3400000000000007E-2</v>
      </c>
      <c r="E194" s="225">
        <v>5.7500000000000002E-2</v>
      </c>
      <c r="F194" s="225">
        <v>5.1799999999999999E-2</v>
      </c>
    </row>
    <row r="195" spans="1:6" ht="17" thickBot="1" x14ac:dyDescent="0.25">
      <c r="A195" s="221" t="s">
        <v>430</v>
      </c>
      <c r="B195" s="225">
        <v>0.1153</v>
      </c>
      <c r="C195" s="225">
        <v>9.74E-2</v>
      </c>
      <c r="D195" s="225">
        <v>0.1079</v>
      </c>
      <c r="E195" s="225">
        <v>6.7199999999999996E-2</v>
      </c>
      <c r="F195" s="225">
        <v>8.3500000000000005E-2</v>
      </c>
    </row>
    <row r="196" spans="1:6" ht="17" thickBot="1" x14ac:dyDescent="0.25">
      <c r="A196" s="221" t="s">
        <v>431</v>
      </c>
      <c r="B196" s="225">
        <v>0.8458</v>
      </c>
      <c r="C196" s="225">
        <v>0.85040000000000004</v>
      </c>
      <c r="D196" s="225">
        <v>0.83189999999999997</v>
      </c>
      <c r="E196" s="225">
        <v>0.84519999999999995</v>
      </c>
      <c r="F196" s="225">
        <v>0.80030000000000001</v>
      </c>
    </row>
    <row r="197" spans="1:6" ht="17" thickBot="1" x14ac:dyDescent="0.25">
      <c r="A197" s="221" t="s">
        <v>432</v>
      </c>
      <c r="B197" s="225">
        <v>0.7117</v>
      </c>
      <c r="C197" s="225">
        <v>0.7278</v>
      </c>
      <c r="D197" s="225">
        <v>0.72509999999999997</v>
      </c>
      <c r="E197" s="225">
        <v>0.75860000000000005</v>
      </c>
      <c r="F197" s="225">
        <v>0.69040000000000001</v>
      </c>
    </row>
    <row r="198" spans="1:6" ht="17" thickBot="1" x14ac:dyDescent="0.25">
      <c r="A198" s="221" t="s">
        <v>433</v>
      </c>
      <c r="B198" s="225">
        <v>4.7199999999999999E-2</v>
      </c>
      <c r="C198" s="225">
        <v>2.8799999999999999E-2</v>
      </c>
      <c r="D198" s="225">
        <v>2.52E-2</v>
      </c>
      <c r="E198" s="225">
        <v>2.7E-2</v>
      </c>
      <c r="F198" s="225">
        <v>3.1199999999999999E-2</v>
      </c>
    </row>
    <row r="199" spans="1:6" ht="17" thickBot="1" x14ac:dyDescent="0.25">
      <c r="A199" s="221" t="s">
        <v>434</v>
      </c>
      <c r="B199" s="225">
        <v>1.9E-2</v>
      </c>
      <c r="C199" s="225">
        <v>1.17E-2</v>
      </c>
      <c r="D199" s="225">
        <v>9.5999999999999992E-3</v>
      </c>
      <c r="E199" s="225">
        <v>1.0800000000000001E-2</v>
      </c>
      <c r="F199" s="225">
        <v>1.5100000000000001E-2</v>
      </c>
    </row>
    <row r="200" spans="1:6" ht="17" thickBot="1" x14ac:dyDescent="0.25">
      <c r="A200" s="221" t="s">
        <v>435</v>
      </c>
      <c r="B200" s="225">
        <v>4.2900000000000001E-2</v>
      </c>
      <c r="C200" s="225">
        <v>7.3499999999999996E-2</v>
      </c>
      <c r="D200" s="225">
        <v>6.9500000000000006E-2</v>
      </c>
      <c r="E200" s="225">
        <v>7.0300000000000001E-2</v>
      </c>
      <c r="F200" s="225">
        <v>0.1323</v>
      </c>
    </row>
    <row r="201" spans="1:6" ht="17" thickBot="1" x14ac:dyDescent="0.25">
      <c r="A201" s="221" t="s">
        <v>436</v>
      </c>
      <c r="B201" s="225">
        <v>2.7400000000000001E-2</v>
      </c>
      <c r="C201" s="225">
        <v>5.9799999999999999E-2</v>
      </c>
      <c r="D201" s="225">
        <v>5.8799999999999998E-2</v>
      </c>
      <c r="E201" s="225">
        <v>6.3500000000000001E-2</v>
      </c>
      <c r="F201" s="225">
        <v>6.7100000000000007E-2</v>
      </c>
    </row>
    <row r="202" spans="1:6" ht="17" thickBot="1" x14ac:dyDescent="0.25">
      <c r="A202" s="221" t="s">
        <v>437</v>
      </c>
      <c r="B202" s="225">
        <v>4.2999999999999997E-2</v>
      </c>
      <c r="C202" s="225">
        <v>0</v>
      </c>
      <c r="D202" s="225" t="s">
        <v>231</v>
      </c>
      <c r="E202" s="225">
        <v>0</v>
      </c>
      <c r="F202" s="225">
        <v>0</v>
      </c>
    </row>
    <row r="203" spans="1:6" ht="17" thickBot="1" x14ac:dyDescent="0.25">
      <c r="A203" s="221" t="s">
        <v>438</v>
      </c>
      <c r="B203" s="225">
        <v>0.12659999999999999</v>
      </c>
      <c r="C203" s="225">
        <v>0.1033</v>
      </c>
      <c r="D203" s="225">
        <v>9.8599999999999993E-2</v>
      </c>
      <c r="E203" s="225">
        <v>9.9900000000000003E-2</v>
      </c>
      <c r="F203" s="225">
        <v>0.121</v>
      </c>
    </row>
    <row r="204" spans="1:6" ht="17" thickBot="1" x14ac:dyDescent="0.25">
      <c r="A204" s="217" t="s">
        <v>439</v>
      </c>
      <c r="B204" s="218">
        <v>58931</v>
      </c>
      <c r="C204" s="218">
        <v>85360</v>
      </c>
      <c r="D204" s="218">
        <v>95430</v>
      </c>
      <c r="E204" s="218">
        <v>87117</v>
      </c>
      <c r="F204" s="218">
        <v>78907</v>
      </c>
    </row>
    <row r="205" spans="1:6" x14ac:dyDescent="0.2">
      <c r="A205" s="217" t="s">
        <v>440</v>
      </c>
      <c r="B205" s="218">
        <v>54266</v>
      </c>
      <c r="C205" s="218">
        <v>78994</v>
      </c>
      <c r="D205" s="218">
        <v>82175</v>
      </c>
      <c r="E205" s="218">
        <v>74211</v>
      </c>
      <c r="F205" s="218">
        <v>67047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515BB-F828-F24B-A1A7-611F7B8181F1}">
  <dimension ref="A1:G185"/>
  <sheetViews>
    <sheetView showGridLines="0" workbookViewId="0">
      <pane xSplit="2" ySplit="6" topLeftCell="C41" activePane="bottomRight" state="frozen"/>
      <selection pane="topRight" activeCell="C1" sqref="C1"/>
      <selection pane="bottomLeft" activeCell="A7" sqref="A7"/>
      <selection pane="bottomRight" activeCell="A23" sqref="A23:B23"/>
    </sheetView>
  </sheetViews>
  <sheetFormatPr baseColWidth="10" defaultColWidth="8.83203125" defaultRowHeight="16" x14ac:dyDescent="0.2"/>
  <cols>
    <col min="1" max="1" width="7.5" style="207" customWidth="1"/>
    <col min="2" max="2" width="23.5" style="207" customWidth="1"/>
    <col min="3" max="7" width="21.5" style="207" bestFit="1" customWidth="1"/>
    <col min="8" max="16384" width="8.83203125" style="207"/>
  </cols>
  <sheetData>
    <row r="1" spans="1:7" x14ac:dyDescent="0.2">
      <c r="A1" s="206" t="s">
        <v>441</v>
      </c>
    </row>
    <row r="3" spans="1:7" x14ac:dyDescent="0.2">
      <c r="A3" s="208" t="s">
        <v>442</v>
      </c>
    </row>
    <row r="4" spans="1:7" ht="17" thickBot="1" x14ac:dyDescent="0.25">
      <c r="A4" s="208" t="s">
        <v>164</v>
      </c>
    </row>
    <row r="5" spans="1:7" ht="17" thickBot="1" x14ac:dyDescent="0.25">
      <c r="A5" s="393"/>
      <c r="B5" s="394"/>
      <c r="C5" s="210">
        <v>2022</v>
      </c>
      <c r="D5" s="210">
        <v>2021</v>
      </c>
      <c r="E5" s="210">
        <v>2020</v>
      </c>
      <c r="F5" s="210">
        <v>2019</v>
      </c>
      <c r="G5" s="210">
        <v>2018</v>
      </c>
    </row>
    <row r="6" spans="1:7" ht="19" customHeight="1" thickBot="1" x14ac:dyDescent="0.3">
      <c r="A6" s="395" t="s">
        <v>165</v>
      </c>
      <c r="B6" s="396"/>
      <c r="C6" s="212" t="s">
        <v>166</v>
      </c>
      <c r="D6" s="213" t="s">
        <v>167</v>
      </c>
      <c r="E6" s="212" t="s">
        <v>168</v>
      </c>
      <c r="F6" s="212" t="s">
        <v>169</v>
      </c>
      <c r="G6" s="213" t="s">
        <v>170</v>
      </c>
    </row>
    <row r="7" spans="1:7" ht="17" thickBot="1" x14ac:dyDescent="0.25">
      <c r="A7" s="397" t="s">
        <v>171</v>
      </c>
      <c r="B7" s="398"/>
      <c r="C7" s="215" t="s">
        <v>172</v>
      </c>
      <c r="D7" s="215" t="s">
        <v>173</v>
      </c>
      <c r="E7" s="215" t="s">
        <v>174</v>
      </c>
      <c r="F7" s="215" t="s">
        <v>175</v>
      </c>
      <c r="G7" s="215" t="s">
        <v>176</v>
      </c>
    </row>
    <row r="8" spans="1:7" ht="17" thickBot="1" x14ac:dyDescent="0.25">
      <c r="A8" s="391" t="s">
        <v>177</v>
      </c>
      <c r="B8" s="392"/>
      <c r="C8" s="215" t="s">
        <v>178</v>
      </c>
      <c r="D8" s="215" t="s">
        <v>178</v>
      </c>
      <c r="E8" s="215" t="s">
        <v>178</v>
      </c>
      <c r="F8" s="215" t="s">
        <v>178</v>
      </c>
      <c r="G8" s="215" t="s">
        <v>178</v>
      </c>
    </row>
    <row r="9" spans="1:7" ht="17" thickBot="1" x14ac:dyDescent="0.25">
      <c r="A9" s="391" t="s">
        <v>179</v>
      </c>
      <c r="B9" s="392"/>
      <c r="C9" s="215" t="s">
        <v>180</v>
      </c>
      <c r="D9" s="215" t="s">
        <v>180</v>
      </c>
      <c r="E9" s="215" t="s">
        <v>180</v>
      </c>
      <c r="F9" s="215" t="s">
        <v>180</v>
      </c>
      <c r="G9" s="215" t="s">
        <v>180</v>
      </c>
    </row>
    <row r="10" spans="1:7" ht="17" thickBot="1" x14ac:dyDescent="0.25">
      <c r="A10" s="391" t="s">
        <v>181</v>
      </c>
      <c r="B10" s="392"/>
      <c r="C10" s="215" t="s">
        <v>172</v>
      </c>
      <c r="D10" s="215" t="s">
        <v>173</v>
      </c>
      <c r="E10" s="215" t="s">
        <v>174</v>
      </c>
      <c r="F10" s="215" t="s">
        <v>175</v>
      </c>
      <c r="G10" s="215" t="s">
        <v>176</v>
      </c>
    </row>
    <row r="11" spans="1:7" ht="17" thickBot="1" x14ac:dyDescent="0.25">
      <c r="A11" s="391" t="s">
        <v>182</v>
      </c>
      <c r="B11" s="392"/>
      <c r="C11" s="215" t="s">
        <v>183</v>
      </c>
      <c r="D11" s="215" t="s">
        <v>183</v>
      </c>
      <c r="E11" s="215" t="s">
        <v>183</v>
      </c>
      <c r="F11" s="215" t="s">
        <v>183</v>
      </c>
      <c r="G11" s="215" t="s">
        <v>183</v>
      </c>
    </row>
    <row r="12" spans="1:7" ht="17" thickBot="1" x14ac:dyDescent="0.25">
      <c r="A12" s="391" t="s">
        <v>184</v>
      </c>
      <c r="B12" s="392"/>
      <c r="C12" s="215" t="s">
        <v>185</v>
      </c>
      <c r="D12" s="215" t="s">
        <v>185</v>
      </c>
      <c r="E12" s="215" t="s">
        <v>185</v>
      </c>
      <c r="F12" s="215" t="s">
        <v>185</v>
      </c>
      <c r="G12" s="215" t="s">
        <v>185</v>
      </c>
    </row>
    <row r="13" spans="1:7" ht="17" thickBot="1" x14ac:dyDescent="0.25">
      <c r="A13" s="391" t="s">
        <v>188</v>
      </c>
      <c r="B13" s="392"/>
      <c r="C13" s="215" t="s">
        <v>189</v>
      </c>
      <c r="D13" s="215" t="s">
        <v>189</v>
      </c>
      <c r="E13" s="215" t="s">
        <v>189</v>
      </c>
      <c r="F13" s="215" t="s">
        <v>189</v>
      </c>
      <c r="G13" s="215" t="s">
        <v>189</v>
      </c>
    </row>
    <row r="14" spans="1:7" ht="17" thickBot="1" x14ac:dyDescent="0.25">
      <c r="A14" s="391" t="s">
        <v>190</v>
      </c>
      <c r="B14" s="392"/>
      <c r="C14" s="215" t="s">
        <v>191</v>
      </c>
      <c r="D14" s="215" t="s">
        <v>191</v>
      </c>
      <c r="E14" s="215" t="s">
        <v>191</v>
      </c>
      <c r="F14" s="215" t="s">
        <v>191</v>
      </c>
      <c r="G14" s="215" t="s">
        <v>191</v>
      </c>
    </row>
    <row r="15" spans="1:7" ht="17" thickBot="1" x14ac:dyDescent="0.25">
      <c r="A15" s="391" t="s">
        <v>192</v>
      </c>
      <c r="B15" s="392"/>
      <c r="C15" s="215" t="s">
        <v>193</v>
      </c>
      <c r="D15" s="215" t="s">
        <v>194</v>
      </c>
      <c r="E15" s="215" t="s">
        <v>195</v>
      </c>
      <c r="F15" s="215" t="s">
        <v>196</v>
      </c>
      <c r="G15" s="215" t="s">
        <v>197</v>
      </c>
    </row>
    <row r="16" spans="1:7" ht="17" thickBot="1" x14ac:dyDescent="0.25">
      <c r="A16" s="391" t="s">
        <v>198</v>
      </c>
      <c r="B16" s="392"/>
      <c r="C16" s="215">
        <v>44959.883333333331</v>
      </c>
      <c r="D16" s="215">
        <v>44595.883333333331</v>
      </c>
      <c r="E16" s="215">
        <v>44231.892361111109</v>
      </c>
      <c r="F16" s="215">
        <v>43837.801388888889</v>
      </c>
      <c r="G16" s="215">
        <v>43488.902777777781</v>
      </c>
    </row>
    <row r="17" spans="1:7" ht="17" thickBot="1" x14ac:dyDescent="0.25">
      <c r="A17" s="391" t="s">
        <v>199</v>
      </c>
      <c r="B17" s="392"/>
      <c r="C17" s="215" t="s">
        <v>200</v>
      </c>
      <c r="D17" s="215" t="s">
        <v>200</v>
      </c>
      <c r="E17" s="215" t="s">
        <v>200</v>
      </c>
      <c r="F17" s="215" t="s">
        <v>200</v>
      </c>
      <c r="G17" s="215" t="s">
        <v>200</v>
      </c>
    </row>
    <row r="18" spans="1:7" ht="17" thickBot="1" x14ac:dyDescent="0.25">
      <c r="A18" s="391" t="s">
        <v>201</v>
      </c>
      <c r="B18" s="392"/>
      <c r="C18" s="215" t="s">
        <v>202</v>
      </c>
      <c r="D18" s="215" t="s">
        <v>202</v>
      </c>
      <c r="E18" s="215" t="s">
        <v>202</v>
      </c>
      <c r="F18" s="215" t="s">
        <v>202</v>
      </c>
      <c r="G18" s="215" t="s">
        <v>202</v>
      </c>
    </row>
    <row r="19" spans="1:7" ht="17" thickBot="1" x14ac:dyDescent="0.25">
      <c r="A19" s="391" t="s">
        <v>203</v>
      </c>
      <c r="B19" s="392"/>
      <c r="C19" s="215" t="s">
        <v>204</v>
      </c>
      <c r="D19" s="215" t="s">
        <v>204</v>
      </c>
      <c r="E19" s="215" t="s">
        <v>204</v>
      </c>
      <c r="F19" s="215" t="s">
        <v>204</v>
      </c>
      <c r="G19" s="215" t="s">
        <v>204</v>
      </c>
    </row>
    <row r="20" spans="1:7" ht="17" thickBot="1" x14ac:dyDescent="0.25">
      <c r="A20" s="391" t="s">
        <v>205</v>
      </c>
      <c r="B20" s="392"/>
      <c r="C20" s="215" t="s">
        <v>206</v>
      </c>
      <c r="D20" s="215" t="s">
        <v>206</v>
      </c>
      <c r="E20" s="215" t="s">
        <v>206</v>
      </c>
      <c r="F20" s="215" t="s">
        <v>206</v>
      </c>
      <c r="G20" s="215" t="s">
        <v>206</v>
      </c>
    </row>
    <row r="21" spans="1:7" ht="17" thickBot="1" x14ac:dyDescent="0.25">
      <c r="A21" s="391" t="s">
        <v>207</v>
      </c>
      <c r="B21" s="392"/>
      <c r="C21" s="215" t="s">
        <v>208</v>
      </c>
      <c r="D21" s="215" t="s">
        <v>208</v>
      </c>
      <c r="E21" s="215" t="s">
        <v>208</v>
      </c>
      <c r="F21" s="215" t="s">
        <v>208</v>
      </c>
      <c r="G21" s="215" t="s">
        <v>208</v>
      </c>
    </row>
    <row r="22" spans="1:7" ht="17" thickBot="1" x14ac:dyDescent="0.25">
      <c r="A22" s="391" t="s">
        <v>209</v>
      </c>
      <c r="B22" s="392"/>
      <c r="C22" s="215" t="s">
        <v>210</v>
      </c>
      <c r="D22" s="215" t="s">
        <v>210</v>
      </c>
      <c r="E22" s="215" t="s">
        <v>210</v>
      </c>
      <c r="F22" s="215" t="s">
        <v>210</v>
      </c>
      <c r="G22" s="215" t="s">
        <v>210</v>
      </c>
    </row>
    <row r="23" spans="1:7" ht="17" thickBot="1" x14ac:dyDescent="0.25">
      <c r="A23" s="387" t="s">
        <v>443</v>
      </c>
      <c r="B23" s="388"/>
      <c r="C23" s="220">
        <v>158057</v>
      </c>
      <c r="D23" s="220">
        <v>136341</v>
      </c>
      <c r="E23" s="220">
        <v>127144</v>
      </c>
      <c r="F23" s="220">
        <v>155900</v>
      </c>
      <c r="G23" s="220">
        <v>160338</v>
      </c>
    </row>
    <row r="24" spans="1:7" ht="17" thickBot="1" x14ac:dyDescent="0.25">
      <c r="A24" s="385" t="s">
        <v>444</v>
      </c>
      <c r="B24" s="386"/>
      <c r="C24" s="222">
        <v>158057</v>
      </c>
      <c r="D24" s="222">
        <v>136341</v>
      </c>
      <c r="E24" s="222">
        <v>127144</v>
      </c>
      <c r="F24" s="222">
        <v>155900</v>
      </c>
      <c r="G24" s="222">
        <v>160338</v>
      </c>
    </row>
    <row r="25" spans="1:7" ht="17" thickBot="1" x14ac:dyDescent="0.25">
      <c r="A25" s="379" t="s">
        <v>445</v>
      </c>
      <c r="B25" s="380"/>
      <c r="C25" s="218">
        <v>158057</v>
      </c>
      <c r="D25" s="218">
        <v>136341</v>
      </c>
      <c r="E25" s="218">
        <v>127144</v>
      </c>
      <c r="F25" s="218">
        <v>155900</v>
      </c>
      <c r="G25" s="218">
        <v>160338</v>
      </c>
    </row>
    <row r="26" spans="1:7" ht="17" thickBot="1" x14ac:dyDescent="0.25">
      <c r="A26" s="387" t="s">
        <v>446</v>
      </c>
      <c r="B26" s="388"/>
      <c r="C26" s="220">
        <v>140861</v>
      </c>
      <c r="D26" s="220">
        <v>119903</v>
      </c>
      <c r="E26" s="220">
        <v>121336</v>
      </c>
      <c r="F26" s="220">
        <v>143405</v>
      </c>
      <c r="G26" s="220">
        <v>145730</v>
      </c>
    </row>
    <row r="27" spans="1:7" ht="17" thickBot="1" x14ac:dyDescent="0.25">
      <c r="A27" s="385" t="s">
        <v>447</v>
      </c>
      <c r="B27" s="386"/>
      <c r="C27" s="222">
        <v>140861</v>
      </c>
      <c r="D27" s="222">
        <v>119903</v>
      </c>
      <c r="E27" s="222">
        <v>121336</v>
      </c>
      <c r="F27" s="222">
        <v>143405</v>
      </c>
      <c r="G27" s="222">
        <v>145730</v>
      </c>
    </row>
    <row r="28" spans="1:7" ht="17" thickBot="1" x14ac:dyDescent="0.25">
      <c r="A28" s="379" t="s">
        <v>448</v>
      </c>
      <c r="B28" s="380"/>
      <c r="C28" s="218">
        <v>17196</v>
      </c>
      <c r="D28" s="218">
        <v>16438</v>
      </c>
      <c r="E28" s="218">
        <v>5808</v>
      </c>
      <c r="F28" s="218">
        <v>12495</v>
      </c>
      <c r="G28" s="218">
        <v>14608</v>
      </c>
    </row>
    <row r="29" spans="1:7" ht="17" thickBot="1" x14ac:dyDescent="0.25">
      <c r="A29" s="390"/>
      <c r="B29" s="390"/>
      <c r="C29" s="223"/>
      <c r="D29" s="223"/>
      <c r="E29" s="223"/>
      <c r="F29" s="223"/>
      <c r="G29" s="223"/>
    </row>
    <row r="30" spans="1:7" ht="17" thickBot="1" x14ac:dyDescent="0.25">
      <c r="A30" s="387" t="s">
        <v>449</v>
      </c>
      <c r="B30" s="388"/>
      <c r="C30" s="220">
        <v>10888</v>
      </c>
      <c r="D30" s="220">
        <v>11915</v>
      </c>
      <c r="E30" s="220">
        <v>10193</v>
      </c>
      <c r="F30" s="220">
        <v>11161</v>
      </c>
      <c r="G30" s="220">
        <v>11403</v>
      </c>
    </row>
    <row r="31" spans="1:7" ht="17" thickBot="1" x14ac:dyDescent="0.25">
      <c r="A31" s="385" t="s">
        <v>450</v>
      </c>
      <c r="B31" s="386"/>
      <c r="C31" s="222">
        <v>8688</v>
      </c>
      <c r="D31" s="222">
        <v>8815</v>
      </c>
      <c r="E31" s="222">
        <v>7393</v>
      </c>
      <c r="F31" s="222">
        <v>7561</v>
      </c>
      <c r="G31" s="222">
        <v>7403</v>
      </c>
    </row>
    <row r="32" spans="1:7" ht="17" thickBot="1" x14ac:dyDescent="0.25">
      <c r="A32" s="385" t="s">
        <v>451</v>
      </c>
      <c r="B32" s="386"/>
      <c r="C32" s="222">
        <v>2200</v>
      </c>
      <c r="D32" s="222">
        <v>3100</v>
      </c>
      <c r="E32" s="222">
        <v>2800</v>
      </c>
      <c r="F32" s="222">
        <v>3600</v>
      </c>
      <c r="G32" s="222">
        <v>4000</v>
      </c>
    </row>
    <row r="33" spans="1:7" ht="17" thickBot="1" x14ac:dyDescent="0.25">
      <c r="A33" s="387" t="s">
        <v>452</v>
      </c>
      <c r="B33" s="388"/>
      <c r="C33" s="220" t="s">
        <v>231</v>
      </c>
      <c r="D33" s="220" t="s">
        <v>231</v>
      </c>
      <c r="E33" s="220" t="s">
        <v>231</v>
      </c>
      <c r="F33" s="220">
        <v>-44</v>
      </c>
      <c r="G33" s="220">
        <v>2</v>
      </c>
    </row>
    <row r="34" spans="1:7" ht="17" thickBot="1" x14ac:dyDescent="0.25">
      <c r="A34" s="385" t="s">
        <v>453</v>
      </c>
      <c r="B34" s="386"/>
      <c r="C34" s="222" t="s">
        <v>231</v>
      </c>
      <c r="D34" s="222" t="s">
        <v>231</v>
      </c>
      <c r="E34" s="222" t="s">
        <v>231</v>
      </c>
      <c r="F34" s="222">
        <v>-44</v>
      </c>
      <c r="G34" s="222">
        <v>2</v>
      </c>
    </row>
    <row r="35" spans="1:7" ht="17" thickBot="1" x14ac:dyDescent="0.25">
      <c r="A35" s="379" t="s">
        <v>454</v>
      </c>
      <c r="B35" s="380"/>
      <c r="C35" s="218" t="s">
        <v>231</v>
      </c>
      <c r="D35" s="218" t="s">
        <v>231</v>
      </c>
      <c r="E35" s="218" t="s">
        <v>231</v>
      </c>
      <c r="F35" s="218">
        <v>-44</v>
      </c>
      <c r="G35" s="218">
        <v>2</v>
      </c>
    </row>
    <row r="36" spans="1:7" ht="17" thickBot="1" x14ac:dyDescent="0.25">
      <c r="A36" s="387" t="s">
        <v>455</v>
      </c>
      <c r="B36" s="388"/>
      <c r="C36" s="220">
        <v>153</v>
      </c>
      <c r="D36" s="220">
        <v>1702</v>
      </c>
      <c r="E36" s="220">
        <v>24</v>
      </c>
      <c r="F36" s="220">
        <v>859</v>
      </c>
      <c r="G36" s="220" t="s">
        <v>231</v>
      </c>
    </row>
    <row r="37" spans="1:7" ht="17" thickBot="1" x14ac:dyDescent="0.25">
      <c r="A37" s="385" t="s">
        <v>456</v>
      </c>
      <c r="B37" s="386"/>
      <c r="C37" s="222">
        <v>32</v>
      </c>
      <c r="D37" s="222" t="s">
        <v>231</v>
      </c>
      <c r="E37" s="222">
        <v>23</v>
      </c>
      <c r="F37" s="222">
        <v>804</v>
      </c>
      <c r="G37" s="222" t="s">
        <v>231</v>
      </c>
    </row>
    <row r="38" spans="1:7" ht="17" thickBot="1" x14ac:dyDescent="0.25">
      <c r="A38" s="385" t="s">
        <v>457</v>
      </c>
      <c r="B38" s="386"/>
      <c r="C38" s="222">
        <v>121</v>
      </c>
      <c r="D38" s="222">
        <v>1702</v>
      </c>
      <c r="E38" s="222">
        <v>1</v>
      </c>
      <c r="F38" s="222">
        <v>55</v>
      </c>
      <c r="G38" s="222" t="s">
        <v>231</v>
      </c>
    </row>
    <row r="39" spans="1:7" ht="17" thickBot="1" x14ac:dyDescent="0.25">
      <c r="A39" s="379" t="s">
        <v>458</v>
      </c>
      <c r="B39" s="380"/>
      <c r="C39" s="218">
        <v>151902</v>
      </c>
      <c r="D39" s="218">
        <v>133520</v>
      </c>
      <c r="E39" s="218">
        <v>131553</v>
      </c>
      <c r="F39" s="218">
        <v>155381</v>
      </c>
      <c r="G39" s="218">
        <v>157135</v>
      </c>
    </row>
    <row r="40" spans="1:7" ht="17" thickBot="1" x14ac:dyDescent="0.25">
      <c r="A40" s="379" t="s">
        <v>459</v>
      </c>
      <c r="B40" s="380"/>
      <c r="C40" s="218">
        <v>6155</v>
      </c>
      <c r="D40" s="218">
        <v>2821</v>
      </c>
      <c r="E40" s="218">
        <v>-4409</v>
      </c>
      <c r="F40" s="218">
        <v>519</v>
      </c>
      <c r="G40" s="218">
        <v>3203</v>
      </c>
    </row>
    <row r="41" spans="1:7" ht="17" thickBot="1" x14ac:dyDescent="0.25">
      <c r="A41" s="387" t="s">
        <v>460</v>
      </c>
      <c r="B41" s="388"/>
      <c r="C41" s="220">
        <v>-1259</v>
      </c>
      <c r="D41" s="220">
        <v>-1803</v>
      </c>
      <c r="E41" s="220">
        <v>-1649</v>
      </c>
      <c r="F41" s="220">
        <v>-1020</v>
      </c>
      <c r="G41" s="220">
        <v>-1228</v>
      </c>
    </row>
    <row r="42" spans="1:7" ht="17" thickBot="1" x14ac:dyDescent="0.25">
      <c r="A42" s="385" t="s">
        <v>461</v>
      </c>
      <c r="B42" s="386"/>
      <c r="C42" s="222">
        <v>-1259</v>
      </c>
      <c r="D42" s="222">
        <v>-1803</v>
      </c>
      <c r="E42" s="222">
        <v>-1649</v>
      </c>
      <c r="F42" s="222">
        <v>-1020</v>
      </c>
      <c r="G42" s="222">
        <v>-1228</v>
      </c>
    </row>
    <row r="43" spans="1:7" ht="17" thickBot="1" x14ac:dyDescent="0.25">
      <c r="A43" s="387" t="s">
        <v>462</v>
      </c>
      <c r="B43" s="388"/>
      <c r="C43" s="220">
        <v>-9909</v>
      </c>
      <c r="D43" s="220">
        <v>10108</v>
      </c>
      <c r="E43" s="220">
        <v>4265</v>
      </c>
      <c r="F43" s="220">
        <v>1057</v>
      </c>
      <c r="G43" s="220">
        <v>947</v>
      </c>
    </row>
    <row r="44" spans="1:7" ht="17" thickBot="1" x14ac:dyDescent="0.25">
      <c r="A44" s="385" t="s">
        <v>463</v>
      </c>
      <c r="B44" s="386"/>
      <c r="C44" s="222">
        <v>639</v>
      </c>
      <c r="D44" s="222">
        <v>254</v>
      </c>
      <c r="E44" s="222">
        <v>452</v>
      </c>
      <c r="F44" s="222">
        <v>809</v>
      </c>
      <c r="G44" s="222">
        <v>667</v>
      </c>
    </row>
    <row r="45" spans="1:7" ht="17" thickBot="1" x14ac:dyDescent="0.25">
      <c r="A45" s="385" t="s">
        <v>464</v>
      </c>
      <c r="B45" s="386"/>
      <c r="C45" s="222">
        <v>-10548</v>
      </c>
      <c r="D45" s="222">
        <v>9854</v>
      </c>
      <c r="E45" s="222">
        <v>3813</v>
      </c>
      <c r="F45" s="222">
        <v>248</v>
      </c>
      <c r="G45" s="222">
        <v>280</v>
      </c>
    </row>
    <row r="46" spans="1:7" ht="17" thickBot="1" x14ac:dyDescent="0.25">
      <c r="A46" s="379" t="s">
        <v>465</v>
      </c>
      <c r="B46" s="380"/>
      <c r="C46" s="218">
        <v>-23</v>
      </c>
      <c r="D46" s="218">
        <v>7</v>
      </c>
      <c r="E46" s="218">
        <v>-2</v>
      </c>
      <c r="F46" s="218">
        <v>-29</v>
      </c>
      <c r="G46" s="218">
        <v>33</v>
      </c>
    </row>
    <row r="47" spans="1:7" ht="17" thickBot="1" x14ac:dyDescent="0.25">
      <c r="A47" s="379" t="s">
        <v>466</v>
      </c>
      <c r="B47" s="380"/>
      <c r="C47" s="218">
        <v>-11191</v>
      </c>
      <c r="D47" s="218">
        <v>8312</v>
      </c>
      <c r="E47" s="218">
        <v>2614</v>
      </c>
      <c r="F47" s="218">
        <v>8</v>
      </c>
      <c r="G47" s="218">
        <v>-248</v>
      </c>
    </row>
    <row r="48" spans="1:7" ht="17" thickBot="1" x14ac:dyDescent="0.25">
      <c r="A48" s="387" t="s">
        <v>467</v>
      </c>
      <c r="B48" s="388"/>
      <c r="C48" s="220">
        <v>2020</v>
      </c>
      <c r="D48" s="220">
        <v>6647</v>
      </c>
      <c r="E48" s="220">
        <v>679</v>
      </c>
      <c r="F48" s="220">
        <v>-1167</v>
      </c>
      <c r="G48" s="220">
        <v>1390</v>
      </c>
    </row>
    <row r="49" spans="1:7" ht="17" thickBot="1" x14ac:dyDescent="0.25">
      <c r="A49" s="385" t="s">
        <v>468</v>
      </c>
      <c r="B49" s="386"/>
      <c r="C49" s="222">
        <v>2020</v>
      </c>
      <c r="D49" s="222">
        <v>6647</v>
      </c>
      <c r="E49" s="222">
        <v>679</v>
      </c>
      <c r="F49" s="222">
        <v>-1167</v>
      </c>
      <c r="G49" s="222">
        <v>1390</v>
      </c>
    </row>
    <row r="50" spans="1:7" ht="17" thickBot="1" x14ac:dyDescent="0.25">
      <c r="A50" s="379" t="s">
        <v>469</v>
      </c>
      <c r="B50" s="380"/>
      <c r="C50" s="218">
        <v>-3016</v>
      </c>
      <c r="D50" s="218">
        <v>17780</v>
      </c>
      <c r="E50" s="218">
        <v>-1116</v>
      </c>
      <c r="F50" s="218">
        <v>-640</v>
      </c>
      <c r="G50" s="218">
        <v>4345</v>
      </c>
    </row>
    <row r="51" spans="1:7" ht="17" thickBot="1" x14ac:dyDescent="0.25">
      <c r="A51" s="379" t="s">
        <v>470</v>
      </c>
      <c r="B51" s="380"/>
      <c r="C51" s="218">
        <v>-864</v>
      </c>
      <c r="D51" s="218">
        <v>-130</v>
      </c>
      <c r="E51" s="218">
        <v>160</v>
      </c>
      <c r="F51" s="218">
        <v>-819</v>
      </c>
      <c r="G51" s="218">
        <v>773</v>
      </c>
    </row>
    <row r="52" spans="1:7" ht="17" thickBot="1" x14ac:dyDescent="0.25">
      <c r="A52" s="379" t="s">
        <v>471</v>
      </c>
      <c r="B52" s="380"/>
      <c r="C52" s="218">
        <v>-2152</v>
      </c>
      <c r="D52" s="218">
        <v>17910</v>
      </c>
      <c r="E52" s="218">
        <v>-1276</v>
      </c>
      <c r="F52" s="218">
        <v>179</v>
      </c>
      <c r="G52" s="218">
        <v>3572</v>
      </c>
    </row>
    <row r="53" spans="1:7" ht="17" thickBot="1" x14ac:dyDescent="0.25">
      <c r="A53" s="379" t="s">
        <v>315</v>
      </c>
      <c r="B53" s="380"/>
      <c r="C53" s="218">
        <v>171</v>
      </c>
      <c r="D53" s="218">
        <v>27</v>
      </c>
      <c r="E53" s="218">
        <v>-3</v>
      </c>
      <c r="F53" s="218">
        <v>-37</v>
      </c>
      <c r="G53" s="218">
        <v>-18</v>
      </c>
    </row>
    <row r="54" spans="1:7" ht="17" thickBot="1" x14ac:dyDescent="0.25">
      <c r="A54" s="379" t="s">
        <v>472</v>
      </c>
      <c r="B54" s="380"/>
      <c r="C54" s="218">
        <v>-1981</v>
      </c>
      <c r="D54" s="218">
        <v>17937</v>
      </c>
      <c r="E54" s="218">
        <v>-1279</v>
      </c>
      <c r="F54" s="218">
        <v>142</v>
      </c>
      <c r="G54" s="218">
        <v>3554</v>
      </c>
    </row>
    <row r="55" spans="1:7" ht="17" thickBot="1" x14ac:dyDescent="0.25">
      <c r="A55" s="390"/>
      <c r="B55" s="390"/>
      <c r="C55" s="223"/>
      <c r="D55" s="223"/>
      <c r="E55" s="223"/>
      <c r="F55" s="223"/>
      <c r="G55" s="223"/>
    </row>
    <row r="56" spans="1:7" ht="17" thickBot="1" x14ac:dyDescent="0.25">
      <c r="A56" s="379" t="s">
        <v>473</v>
      </c>
      <c r="B56" s="380"/>
      <c r="C56" s="218" t="s">
        <v>231</v>
      </c>
      <c r="D56" s="218" t="s">
        <v>231</v>
      </c>
      <c r="E56" s="218" t="s">
        <v>231</v>
      </c>
      <c r="F56" s="218">
        <v>-95</v>
      </c>
      <c r="G56" s="218">
        <v>123</v>
      </c>
    </row>
    <row r="57" spans="1:7" ht="17" thickBot="1" x14ac:dyDescent="0.25">
      <c r="A57" s="379" t="s">
        <v>474</v>
      </c>
      <c r="B57" s="380"/>
      <c r="C57" s="218" t="s">
        <v>231</v>
      </c>
      <c r="D57" s="218" t="s">
        <v>231</v>
      </c>
      <c r="E57" s="218" t="s">
        <v>231</v>
      </c>
      <c r="F57" s="218">
        <v>-95</v>
      </c>
      <c r="G57" s="218">
        <v>123</v>
      </c>
    </row>
    <row r="58" spans="1:7" ht="17" thickBot="1" x14ac:dyDescent="0.25">
      <c r="A58" s="379" t="s">
        <v>475</v>
      </c>
      <c r="B58" s="380"/>
      <c r="C58" s="218">
        <v>-1981</v>
      </c>
      <c r="D58" s="218">
        <v>17937</v>
      </c>
      <c r="E58" s="218">
        <v>-1279</v>
      </c>
      <c r="F58" s="218">
        <v>47</v>
      </c>
      <c r="G58" s="218">
        <v>3677</v>
      </c>
    </row>
    <row r="59" spans="1:7" ht="17" thickBot="1" x14ac:dyDescent="0.25">
      <c r="A59" s="390"/>
      <c r="B59" s="390"/>
      <c r="C59" s="223"/>
      <c r="D59" s="223"/>
      <c r="E59" s="223"/>
      <c r="F59" s="223"/>
      <c r="G59" s="223"/>
    </row>
    <row r="60" spans="1:7" ht="17" thickBot="1" x14ac:dyDescent="0.25">
      <c r="A60" s="379" t="s">
        <v>476</v>
      </c>
      <c r="B60" s="380"/>
      <c r="C60" s="218">
        <v>-1981</v>
      </c>
      <c r="D60" s="218">
        <v>17937</v>
      </c>
      <c r="E60" s="218">
        <v>-1279</v>
      </c>
      <c r="F60" s="218">
        <v>142</v>
      </c>
      <c r="G60" s="218">
        <v>3554</v>
      </c>
    </row>
    <row r="61" spans="1:7" ht="17" thickBot="1" x14ac:dyDescent="0.25">
      <c r="A61" s="379" t="s">
        <v>477</v>
      </c>
      <c r="B61" s="380"/>
      <c r="C61" s="218">
        <v>-1981</v>
      </c>
      <c r="D61" s="218">
        <v>17937</v>
      </c>
      <c r="E61" s="218">
        <v>-1279</v>
      </c>
      <c r="F61" s="218">
        <v>47</v>
      </c>
      <c r="G61" s="218">
        <v>3677</v>
      </c>
    </row>
    <row r="62" spans="1:7" ht="17" thickBot="1" x14ac:dyDescent="0.25">
      <c r="A62" s="379" t="s">
        <v>478</v>
      </c>
      <c r="B62" s="380"/>
      <c r="C62" s="218">
        <v>4014</v>
      </c>
      <c r="D62" s="218">
        <v>3991</v>
      </c>
      <c r="E62" s="218">
        <v>3973</v>
      </c>
      <c r="F62" s="218">
        <v>3972</v>
      </c>
      <c r="G62" s="218">
        <v>3974</v>
      </c>
    </row>
    <row r="63" spans="1:7" ht="17" thickBot="1" x14ac:dyDescent="0.25">
      <c r="A63" s="379" t="s">
        <v>479</v>
      </c>
      <c r="B63" s="380"/>
      <c r="C63" s="226">
        <v>-0.49</v>
      </c>
      <c r="D63" s="226">
        <v>4.49</v>
      </c>
      <c r="E63" s="226">
        <v>-0.32</v>
      </c>
      <c r="F63" s="226">
        <v>0.04</v>
      </c>
      <c r="G63" s="226">
        <v>0.89</v>
      </c>
    </row>
    <row r="64" spans="1:7" ht="17" thickBot="1" x14ac:dyDescent="0.25">
      <c r="A64" s="379" t="s">
        <v>480</v>
      </c>
      <c r="B64" s="380"/>
      <c r="C64" s="226">
        <v>-0.49</v>
      </c>
      <c r="D64" s="226">
        <v>4.49</v>
      </c>
      <c r="E64" s="226">
        <v>-0.32</v>
      </c>
      <c r="F64" s="226">
        <v>0.01</v>
      </c>
      <c r="G64" s="226">
        <v>0.93</v>
      </c>
    </row>
    <row r="65" spans="1:7" ht="17" thickBot="1" x14ac:dyDescent="0.25">
      <c r="A65" s="379" t="s">
        <v>481</v>
      </c>
      <c r="B65" s="380"/>
      <c r="C65" s="218">
        <v>-1981</v>
      </c>
      <c r="D65" s="218">
        <v>17937</v>
      </c>
      <c r="E65" s="218">
        <v>-1279</v>
      </c>
      <c r="F65" s="218">
        <v>47</v>
      </c>
      <c r="G65" s="218">
        <v>3677</v>
      </c>
    </row>
    <row r="66" spans="1:7" ht="17" thickBot="1" x14ac:dyDescent="0.25">
      <c r="A66" s="379" t="s">
        <v>482</v>
      </c>
      <c r="B66" s="380"/>
      <c r="C66" s="218">
        <v>4014</v>
      </c>
      <c r="D66" s="218">
        <v>4034</v>
      </c>
      <c r="E66" s="218">
        <v>3973</v>
      </c>
      <c r="F66" s="218">
        <v>4004</v>
      </c>
      <c r="G66" s="218">
        <v>3998</v>
      </c>
    </row>
    <row r="67" spans="1:7" ht="17" thickBot="1" x14ac:dyDescent="0.25">
      <c r="A67" s="379" t="s">
        <v>483</v>
      </c>
      <c r="B67" s="380"/>
      <c r="C67" s="226">
        <v>-0.49</v>
      </c>
      <c r="D67" s="226">
        <v>4.45</v>
      </c>
      <c r="E67" s="226">
        <v>-0.32</v>
      </c>
      <c r="F67" s="226">
        <v>0.04</v>
      </c>
      <c r="G67" s="226">
        <v>0.89</v>
      </c>
    </row>
    <row r="68" spans="1:7" x14ac:dyDescent="0.2">
      <c r="A68" s="381" t="s">
        <v>484</v>
      </c>
      <c r="B68" s="382"/>
      <c r="C68" s="226">
        <v>-0.49</v>
      </c>
      <c r="D68" s="226">
        <v>4.45</v>
      </c>
      <c r="E68" s="226">
        <v>-0.32</v>
      </c>
      <c r="F68" s="226">
        <v>0.01</v>
      </c>
      <c r="G68" s="226">
        <v>0.92</v>
      </c>
    </row>
    <row r="69" spans="1:7" ht="16" customHeight="1" thickBot="1" x14ac:dyDescent="0.25">
      <c r="A69" s="389" t="s">
        <v>333</v>
      </c>
      <c r="B69" s="389"/>
      <c r="C69" s="216"/>
      <c r="D69" s="216"/>
      <c r="E69" s="216"/>
      <c r="F69" s="216"/>
      <c r="G69" s="216"/>
    </row>
    <row r="70" spans="1:7" ht="17" thickBot="1" x14ac:dyDescent="0.25">
      <c r="A70" s="379" t="s">
        <v>485</v>
      </c>
      <c r="B70" s="380"/>
      <c r="C70" s="226">
        <v>0.5</v>
      </c>
      <c r="D70" s="226">
        <v>0.1</v>
      </c>
      <c r="E70" s="226">
        <v>0.15</v>
      </c>
      <c r="F70" s="226">
        <v>0.6</v>
      </c>
      <c r="G70" s="226">
        <v>0.6</v>
      </c>
    </row>
    <row r="71" spans="1:7" ht="17" thickBot="1" x14ac:dyDescent="0.25">
      <c r="A71" s="379" t="s">
        <v>486</v>
      </c>
      <c r="B71" s="380"/>
      <c r="C71" s="226" t="s">
        <v>231</v>
      </c>
      <c r="D71" s="226" t="s">
        <v>231</v>
      </c>
      <c r="E71" s="226">
        <v>0.15</v>
      </c>
      <c r="F71" s="226" t="s">
        <v>231</v>
      </c>
      <c r="G71" s="226" t="s">
        <v>231</v>
      </c>
    </row>
    <row r="72" spans="1:7" ht="17" thickBot="1" x14ac:dyDescent="0.25">
      <c r="A72" s="379" t="s">
        <v>487</v>
      </c>
      <c r="B72" s="380"/>
      <c r="C72" s="226" t="s">
        <v>231</v>
      </c>
      <c r="D72" s="226" t="s">
        <v>231</v>
      </c>
      <c r="E72" s="226" t="s">
        <v>231</v>
      </c>
      <c r="F72" s="226" t="s">
        <v>231</v>
      </c>
      <c r="G72" s="226">
        <v>0.13</v>
      </c>
    </row>
    <row r="73" spans="1:7" ht="17" thickBot="1" x14ac:dyDescent="0.25">
      <c r="A73" s="379" t="s">
        <v>488</v>
      </c>
      <c r="B73" s="380"/>
      <c r="C73" s="218">
        <v>2034</v>
      </c>
      <c r="D73" s="218">
        <v>411</v>
      </c>
      <c r="E73" s="218">
        <v>608</v>
      </c>
      <c r="F73" s="218">
        <v>2408</v>
      </c>
      <c r="G73" s="218">
        <v>2915</v>
      </c>
    </row>
    <row r="74" spans="1:7" ht="17" thickBot="1" x14ac:dyDescent="0.25">
      <c r="A74" s="379" t="s">
        <v>489</v>
      </c>
      <c r="B74" s="380"/>
      <c r="C74" s="218">
        <v>2812</v>
      </c>
      <c r="D74" s="218" t="s">
        <v>231</v>
      </c>
      <c r="E74" s="218" t="s">
        <v>231</v>
      </c>
      <c r="F74" s="218" t="s">
        <v>231</v>
      </c>
      <c r="G74" s="218" t="s">
        <v>231</v>
      </c>
    </row>
    <row r="75" spans="1:7" ht="17" thickBot="1" x14ac:dyDescent="0.25">
      <c r="A75" s="379" t="s">
        <v>490</v>
      </c>
      <c r="B75" s="380"/>
      <c r="C75" s="218">
        <v>155</v>
      </c>
      <c r="D75" s="218" t="s">
        <v>231</v>
      </c>
      <c r="E75" s="218" t="s">
        <v>231</v>
      </c>
      <c r="F75" s="218" t="s">
        <v>231</v>
      </c>
      <c r="G75" s="218" t="s">
        <v>231</v>
      </c>
    </row>
    <row r="76" spans="1:7" ht="17" thickBot="1" x14ac:dyDescent="0.25">
      <c r="A76" s="379" t="s">
        <v>491</v>
      </c>
      <c r="B76" s="380"/>
      <c r="C76" s="218">
        <v>1732</v>
      </c>
      <c r="D76" s="218">
        <v>-2397</v>
      </c>
      <c r="E76" s="218">
        <v>6528</v>
      </c>
      <c r="F76" s="218">
        <v>5195</v>
      </c>
      <c r="G76" s="218">
        <v>1429</v>
      </c>
    </row>
    <row r="77" spans="1:7" ht="17" thickBot="1" x14ac:dyDescent="0.25">
      <c r="A77" s="379" t="s">
        <v>492</v>
      </c>
      <c r="B77" s="380"/>
      <c r="C77" s="218">
        <v>4699</v>
      </c>
      <c r="D77" s="218">
        <v>-2397</v>
      </c>
      <c r="E77" s="218">
        <v>6528</v>
      </c>
      <c r="F77" s="218">
        <v>5195</v>
      </c>
      <c r="G77" s="218">
        <v>1429</v>
      </c>
    </row>
    <row r="78" spans="1:7" ht="17" thickBot="1" x14ac:dyDescent="0.25">
      <c r="A78" s="379" t="s">
        <v>493</v>
      </c>
      <c r="B78" s="380"/>
      <c r="C78" s="218">
        <v>4852</v>
      </c>
      <c r="D78" s="218">
        <v>-695</v>
      </c>
      <c r="E78" s="218">
        <v>6552</v>
      </c>
      <c r="F78" s="218">
        <v>6054</v>
      </c>
      <c r="G78" s="218">
        <v>1429</v>
      </c>
    </row>
    <row r="79" spans="1:7" ht="17" thickBot="1" x14ac:dyDescent="0.25">
      <c r="A79" s="379" t="s">
        <v>494</v>
      </c>
      <c r="B79" s="380"/>
      <c r="C79" s="218">
        <v>1836</v>
      </c>
      <c r="D79" s="218">
        <v>17085</v>
      </c>
      <c r="E79" s="218">
        <v>5436</v>
      </c>
      <c r="F79" s="218">
        <v>5414</v>
      </c>
      <c r="G79" s="218">
        <v>5774</v>
      </c>
    </row>
    <row r="80" spans="1:7" ht="17" thickBot="1" x14ac:dyDescent="0.25">
      <c r="A80" s="379" t="s">
        <v>495</v>
      </c>
      <c r="B80" s="380"/>
      <c r="C80" s="218">
        <v>-2573</v>
      </c>
      <c r="D80" s="218">
        <v>-1924</v>
      </c>
      <c r="E80" s="218">
        <v>670</v>
      </c>
      <c r="F80" s="218">
        <v>-1323</v>
      </c>
      <c r="G80" s="218">
        <v>-88</v>
      </c>
    </row>
    <row r="81" spans="1:7" ht="17" thickBot="1" x14ac:dyDescent="0.25">
      <c r="A81" s="379" t="s">
        <v>496</v>
      </c>
      <c r="B81" s="380"/>
      <c r="C81" s="218">
        <v>-3437</v>
      </c>
      <c r="D81" s="218">
        <v>-2054</v>
      </c>
      <c r="E81" s="218">
        <v>830</v>
      </c>
      <c r="F81" s="218">
        <v>-2142</v>
      </c>
      <c r="G81" s="218">
        <v>685</v>
      </c>
    </row>
    <row r="82" spans="1:7" ht="17" thickBot="1" x14ac:dyDescent="0.25">
      <c r="A82" s="379" t="s">
        <v>497</v>
      </c>
      <c r="B82" s="380"/>
      <c r="C82" s="218">
        <v>5273</v>
      </c>
      <c r="D82" s="218">
        <v>19139</v>
      </c>
      <c r="E82" s="218">
        <v>4606</v>
      </c>
      <c r="F82" s="218">
        <v>7556</v>
      </c>
      <c r="G82" s="218">
        <v>5089</v>
      </c>
    </row>
    <row r="83" spans="1:7" ht="17" thickBot="1" x14ac:dyDescent="0.25">
      <c r="A83" s="379" t="s">
        <v>498</v>
      </c>
      <c r="B83" s="380"/>
      <c r="C83" s="218">
        <v>5444</v>
      </c>
      <c r="D83" s="218">
        <v>19166</v>
      </c>
      <c r="E83" s="218">
        <v>4603</v>
      </c>
      <c r="F83" s="218">
        <v>7519</v>
      </c>
      <c r="G83" s="218">
        <v>5071</v>
      </c>
    </row>
    <row r="84" spans="1:7" ht="17" thickBot="1" x14ac:dyDescent="0.25">
      <c r="A84" s="379" t="s">
        <v>499</v>
      </c>
      <c r="B84" s="380"/>
      <c r="C84" s="226">
        <v>1.36</v>
      </c>
      <c r="D84" s="226">
        <v>4.8</v>
      </c>
      <c r="E84" s="226">
        <v>1.1599999999999999</v>
      </c>
      <c r="F84" s="226">
        <v>1.89</v>
      </c>
      <c r="G84" s="226">
        <v>1.28</v>
      </c>
    </row>
    <row r="85" spans="1:7" ht="17" thickBot="1" x14ac:dyDescent="0.25">
      <c r="A85" s="379" t="s">
        <v>500</v>
      </c>
      <c r="B85" s="380"/>
      <c r="C85" s="226">
        <v>1.36</v>
      </c>
      <c r="D85" s="226">
        <v>4.75</v>
      </c>
      <c r="E85" s="226">
        <v>1.1599999999999999</v>
      </c>
      <c r="F85" s="226">
        <v>1.88</v>
      </c>
      <c r="G85" s="226">
        <v>1.27</v>
      </c>
    </row>
    <row r="86" spans="1:7" ht="17" thickBot="1" x14ac:dyDescent="0.25">
      <c r="A86" s="379" t="s">
        <v>501</v>
      </c>
      <c r="B86" s="380"/>
      <c r="C86" s="218">
        <v>7642</v>
      </c>
      <c r="D86" s="218">
        <v>7318</v>
      </c>
      <c r="E86" s="218">
        <v>8751</v>
      </c>
      <c r="F86" s="218">
        <v>9689</v>
      </c>
      <c r="G86" s="218">
        <v>9280</v>
      </c>
    </row>
    <row r="87" spans="1:7" ht="17" thickBot="1" x14ac:dyDescent="0.25">
      <c r="A87" s="379" t="s">
        <v>502</v>
      </c>
      <c r="B87" s="380"/>
      <c r="C87" s="218">
        <v>60</v>
      </c>
      <c r="D87" s="218">
        <v>34</v>
      </c>
      <c r="E87" s="218">
        <v>27</v>
      </c>
      <c r="F87" s="218">
        <v>15</v>
      </c>
      <c r="G87" s="218" t="s">
        <v>231</v>
      </c>
    </row>
    <row r="88" spans="1:7" ht="17" thickBot="1" x14ac:dyDescent="0.25">
      <c r="A88" s="379" t="s">
        <v>503</v>
      </c>
      <c r="B88" s="380"/>
      <c r="C88" s="218">
        <v>7755</v>
      </c>
      <c r="D88" s="218">
        <v>7055</v>
      </c>
      <c r="E88" s="218">
        <v>10256</v>
      </c>
      <c r="F88" s="218">
        <v>10504</v>
      </c>
      <c r="G88" s="218">
        <v>10689</v>
      </c>
    </row>
    <row r="89" spans="1:7" ht="17" thickBot="1" x14ac:dyDescent="0.25">
      <c r="A89" s="379" t="s">
        <v>504</v>
      </c>
      <c r="B89" s="380"/>
      <c r="C89" s="218">
        <v>22</v>
      </c>
      <c r="D89" s="218">
        <v>14</v>
      </c>
      <c r="E89" s="218">
        <v>15</v>
      </c>
      <c r="F89" s="218">
        <v>6</v>
      </c>
      <c r="G89" s="218" t="s">
        <v>231</v>
      </c>
    </row>
    <row r="90" spans="1:7" ht="17" thickBot="1" x14ac:dyDescent="0.25">
      <c r="A90" s="379" t="s">
        <v>505</v>
      </c>
      <c r="B90" s="380"/>
      <c r="C90" s="218">
        <v>6496</v>
      </c>
      <c r="D90" s="218">
        <v>5252</v>
      </c>
      <c r="E90" s="218">
        <v>8607</v>
      </c>
      <c r="F90" s="218">
        <v>9484</v>
      </c>
      <c r="G90" s="218">
        <v>9461</v>
      </c>
    </row>
    <row r="91" spans="1:7" ht="17" thickBot="1" x14ac:dyDescent="0.25">
      <c r="A91" s="379" t="s">
        <v>506</v>
      </c>
      <c r="B91" s="380"/>
      <c r="C91" s="218">
        <v>463</v>
      </c>
      <c r="D91" s="218">
        <v>444</v>
      </c>
      <c r="E91" s="218">
        <v>463</v>
      </c>
      <c r="F91" s="218">
        <v>520</v>
      </c>
      <c r="G91" s="218">
        <v>552</v>
      </c>
    </row>
    <row r="92" spans="1:7" ht="17" thickBot="1" x14ac:dyDescent="0.25">
      <c r="A92" s="379" t="s">
        <v>507</v>
      </c>
      <c r="B92" s="380"/>
      <c r="C92" s="218">
        <v>336</v>
      </c>
      <c r="D92" s="218">
        <v>305</v>
      </c>
      <c r="E92" s="218">
        <v>199</v>
      </c>
      <c r="F92" s="218">
        <v>228</v>
      </c>
      <c r="G92" s="218">
        <v>191</v>
      </c>
    </row>
    <row r="93" spans="1:7" ht="17" thickBot="1" x14ac:dyDescent="0.25">
      <c r="A93" s="379" t="s">
        <v>508</v>
      </c>
      <c r="B93" s="380"/>
      <c r="C93" s="218">
        <v>62</v>
      </c>
      <c r="D93" s="218">
        <v>49</v>
      </c>
      <c r="E93" s="218">
        <v>57</v>
      </c>
      <c r="F93" s="218" t="s">
        <v>231</v>
      </c>
      <c r="G93" s="218" t="s">
        <v>231</v>
      </c>
    </row>
    <row r="94" spans="1:7" ht="17" thickBot="1" x14ac:dyDescent="0.25">
      <c r="A94" s="379" t="s">
        <v>509</v>
      </c>
      <c r="B94" s="380"/>
      <c r="C94" s="218">
        <v>-15</v>
      </c>
      <c r="D94" s="218">
        <v>-16</v>
      </c>
      <c r="E94" s="218">
        <v>-14</v>
      </c>
      <c r="F94" s="218" t="s">
        <v>231</v>
      </c>
      <c r="G94" s="218" t="s">
        <v>231</v>
      </c>
    </row>
    <row r="95" spans="1:7" ht="17" thickBot="1" x14ac:dyDescent="0.25">
      <c r="A95" s="379" t="s">
        <v>510</v>
      </c>
      <c r="B95" s="380"/>
      <c r="C95" s="218">
        <v>592</v>
      </c>
      <c r="D95" s="218">
        <v>525</v>
      </c>
      <c r="E95" s="218">
        <v>548</v>
      </c>
      <c r="F95" s="218" t="s">
        <v>231</v>
      </c>
      <c r="G95" s="218" t="s">
        <v>231</v>
      </c>
    </row>
    <row r="96" spans="1:7" ht="17" thickBot="1" x14ac:dyDescent="0.25">
      <c r="A96" s="379" t="s">
        <v>511</v>
      </c>
      <c r="B96" s="380"/>
      <c r="C96" s="218">
        <v>2200</v>
      </c>
      <c r="D96" s="218">
        <v>3100</v>
      </c>
      <c r="E96" s="218">
        <v>2800</v>
      </c>
      <c r="F96" s="218">
        <v>3600</v>
      </c>
      <c r="G96" s="218">
        <v>4000</v>
      </c>
    </row>
    <row r="97" spans="1:7" ht="17" thickBot="1" x14ac:dyDescent="0.25">
      <c r="A97" s="379" t="s">
        <v>512</v>
      </c>
      <c r="B97" s="380"/>
      <c r="C97" s="218">
        <v>-2883</v>
      </c>
      <c r="D97" s="218">
        <v>327</v>
      </c>
      <c r="E97" s="218">
        <v>42</v>
      </c>
      <c r="F97" s="218">
        <v>32</v>
      </c>
      <c r="G97" s="218">
        <v>123</v>
      </c>
    </row>
    <row r="98" spans="1:7" ht="17" thickBot="1" x14ac:dyDescent="0.25">
      <c r="A98" s="379" t="s">
        <v>513</v>
      </c>
      <c r="B98" s="380"/>
      <c r="C98" s="218">
        <v>171</v>
      </c>
      <c r="D98" s="218">
        <v>27</v>
      </c>
      <c r="E98" s="218">
        <v>-3</v>
      </c>
      <c r="F98" s="218">
        <v>-37</v>
      </c>
      <c r="G98" s="218">
        <v>-18</v>
      </c>
    </row>
    <row r="99" spans="1:7" ht="17" thickBot="1" x14ac:dyDescent="0.25">
      <c r="A99" s="379" t="s">
        <v>514</v>
      </c>
      <c r="B99" s="380"/>
      <c r="C99" s="218" t="s">
        <v>231</v>
      </c>
      <c r="D99" s="218" t="s">
        <v>231</v>
      </c>
      <c r="E99" s="218" t="s">
        <v>231</v>
      </c>
      <c r="F99" s="218">
        <v>95</v>
      </c>
      <c r="G99" s="218">
        <v>-123</v>
      </c>
    </row>
    <row r="100" spans="1:7" ht="17" thickBot="1" x14ac:dyDescent="0.25">
      <c r="A100" s="379" t="s">
        <v>515</v>
      </c>
      <c r="B100" s="380"/>
      <c r="C100" s="218">
        <v>7800</v>
      </c>
      <c r="D100" s="218">
        <v>7600</v>
      </c>
      <c r="E100" s="218">
        <v>7100</v>
      </c>
      <c r="F100" s="218">
        <v>7400</v>
      </c>
      <c r="G100" s="218">
        <v>8200</v>
      </c>
    </row>
    <row r="101" spans="1:7" ht="17" thickBot="1" x14ac:dyDescent="0.25">
      <c r="A101" s="379" t="s">
        <v>516</v>
      </c>
      <c r="B101" s="380"/>
      <c r="C101" s="218">
        <v>38</v>
      </c>
      <c r="D101" s="218">
        <v>37</v>
      </c>
      <c r="E101" s="218">
        <v>37</v>
      </c>
      <c r="F101" s="218">
        <v>39</v>
      </c>
      <c r="G101" s="218">
        <v>38</v>
      </c>
    </row>
    <row r="102" spans="1:7" ht="17" thickBot="1" x14ac:dyDescent="0.25">
      <c r="A102" s="379" t="s">
        <v>517</v>
      </c>
      <c r="B102" s="380"/>
      <c r="C102" s="218">
        <v>5</v>
      </c>
      <c r="D102" s="218">
        <v>4</v>
      </c>
      <c r="E102" s="218">
        <v>4</v>
      </c>
      <c r="F102" s="218">
        <v>4</v>
      </c>
      <c r="G102" s="218">
        <v>4</v>
      </c>
    </row>
    <row r="103" spans="1:7" ht="17" thickBot="1" x14ac:dyDescent="0.25">
      <c r="A103" s="379" t="s">
        <v>518</v>
      </c>
      <c r="B103" s="380"/>
      <c r="C103" s="218">
        <v>3</v>
      </c>
      <c r="D103" s="218">
        <v>4</v>
      </c>
      <c r="E103" s="218">
        <v>3</v>
      </c>
      <c r="F103" s="218">
        <v>3</v>
      </c>
      <c r="G103" s="218">
        <v>3</v>
      </c>
    </row>
    <row r="104" spans="1:7" ht="17" thickBot="1" x14ac:dyDescent="0.25">
      <c r="A104" s="379" t="s">
        <v>519</v>
      </c>
      <c r="B104" s="380"/>
      <c r="C104" s="218">
        <v>0</v>
      </c>
      <c r="D104" s="218">
        <v>0</v>
      </c>
      <c r="E104" s="218">
        <v>0</v>
      </c>
      <c r="F104" s="218">
        <v>2</v>
      </c>
      <c r="G104" s="218">
        <v>1</v>
      </c>
    </row>
    <row r="105" spans="1:7" ht="17" thickBot="1" x14ac:dyDescent="0.25">
      <c r="A105" s="379" t="s">
        <v>520</v>
      </c>
      <c r="B105" s="380"/>
      <c r="C105" s="218">
        <v>39</v>
      </c>
      <c r="D105" s="218">
        <v>-310</v>
      </c>
      <c r="E105" s="218">
        <v>828</v>
      </c>
      <c r="F105" s="218" t="s">
        <v>231</v>
      </c>
      <c r="G105" s="218" t="s">
        <v>231</v>
      </c>
    </row>
    <row r="106" spans="1:7" ht="17" thickBot="1" x14ac:dyDescent="0.25">
      <c r="A106" s="379" t="s">
        <v>521</v>
      </c>
      <c r="B106" s="380"/>
      <c r="C106" s="218">
        <v>11007</v>
      </c>
      <c r="D106" s="218">
        <v>2126</v>
      </c>
      <c r="E106" s="218">
        <v>2143</v>
      </c>
      <c r="F106" s="218">
        <v>6529</v>
      </c>
      <c r="G106" s="218">
        <v>4634</v>
      </c>
    </row>
    <row r="107" spans="1:7" x14ac:dyDescent="0.2">
      <c r="A107" s="381" t="s">
        <v>522</v>
      </c>
      <c r="B107" s="382"/>
      <c r="C107" s="218">
        <v>18649</v>
      </c>
      <c r="D107" s="218">
        <v>9444</v>
      </c>
      <c r="E107" s="218">
        <v>10894</v>
      </c>
      <c r="F107" s="218">
        <v>16218</v>
      </c>
      <c r="G107" s="218">
        <v>13914</v>
      </c>
    </row>
    <row r="108" spans="1:7" ht="16" customHeight="1" thickBot="1" x14ac:dyDescent="0.25">
      <c r="A108" s="389" t="s">
        <v>523</v>
      </c>
      <c r="B108" s="389"/>
      <c r="C108" s="216"/>
      <c r="D108" s="216"/>
      <c r="E108" s="216"/>
      <c r="F108" s="216"/>
      <c r="G108" s="216"/>
    </row>
    <row r="109" spans="1:7" ht="17" thickBot="1" x14ac:dyDescent="0.25">
      <c r="A109" s="387" t="s">
        <v>524</v>
      </c>
      <c r="B109" s="388"/>
      <c r="C109" s="220">
        <v>972</v>
      </c>
      <c r="D109" s="220">
        <v>726</v>
      </c>
      <c r="E109" s="220">
        <v>486</v>
      </c>
      <c r="F109" s="220">
        <v>670</v>
      </c>
      <c r="G109" s="220">
        <v>759</v>
      </c>
    </row>
    <row r="110" spans="1:7" ht="17" thickBot="1" x14ac:dyDescent="0.25">
      <c r="A110" s="385" t="s">
        <v>525</v>
      </c>
      <c r="B110" s="386"/>
      <c r="C110" s="222">
        <v>68</v>
      </c>
      <c r="D110" s="222">
        <v>102</v>
      </c>
      <c r="E110" s="222">
        <v>-23</v>
      </c>
      <c r="F110" s="222">
        <v>-101</v>
      </c>
      <c r="G110" s="222">
        <v>75</v>
      </c>
    </row>
    <row r="111" spans="1:7" ht="17" thickBot="1" x14ac:dyDescent="0.25">
      <c r="A111" s="385" t="s">
        <v>526</v>
      </c>
      <c r="B111" s="386"/>
      <c r="C111" s="222">
        <v>781</v>
      </c>
      <c r="D111" s="222">
        <v>598</v>
      </c>
      <c r="E111" s="222">
        <v>554</v>
      </c>
      <c r="F111" s="222">
        <v>738</v>
      </c>
      <c r="G111" s="222">
        <v>690</v>
      </c>
    </row>
    <row r="112" spans="1:7" ht="17" thickBot="1" x14ac:dyDescent="0.25">
      <c r="A112" s="385" t="s">
        <v>527</v>
      </c>
      <c r="B112" s="386"/>
      <c r="C112" s="222">
        <v>123</v>
      </c>
      <c r="D112" s="222">
        <v>26</v>
      </c>
      <c r="E112" s="222">
        <v>-45</v>
      </c>
      <c r="F112" s="222">
        <v>33</v>
      </c>
      <c r="G112" s="222">
        <v>-6</v>
      </c>
    </row>
    <row r="113" spans="1:7" ht="17" thickBot="1" x14ac:dyDescent="0.25">
      <c r="A113" s="387" t="s">
        <v>528</v>
      </c>
      <c r="B113" s="388"/>
      <c r="C113" s="220">
        <v>-1836</v>
      </c>
      <c r="D113" s="220">
        <v>-856</v>
      </c>
      <c r="E113" s="220">
        <v>-326</v>
      </c>
      <c r="F113" s="220">
        <v>-1489</v>
      </c>
      <c r="G113" s="220">
        <v>14</v>
      </c>
    </row>
    <row r="114" spans="1:7" ht="17" thickBot="1" x14ac:dyDescent="0.25">
      <c r="A114" s="385" t="s">
        <v>529</v>
      </c>
      <c r="B114" s="386"/>
      <c r="C114" s="222">
        <v>-2292</v>
      </c>
      <c r="D114" s="222">
        <v>2290</v>
      </c>
      <c r="E114" s="222">
        <v>-523</v>
      </c>
      <c r="F114" s="222">
        <v>-1285</v>
      </c>
      <c r="G114" s="222">
        <v>-237</v>
      </c>
    </row>
    <row r="115" spans="1:7" ht="17" thickBot="1" x14ac:dyDescent="0.25">
      <c r="A115" s="385" t="s">
        <v>530</v>
      </c>
      <c r="B115" s="386"/>
      <c r="C115" s="222">
        <v>688</v>
      </c>
      <c r="D115" s="222">
        <v>-3254</v>
      </c>
      <c r="E115" s="222">
        <v>168</v>
      </c>
      <c r="F115" s="222">
        <v>-70</v>
      </c>
      <c r="G115" s="222">
        <v>239</v>
      </c>
    </row>
    <row r="116" spans="1:7" ht="17" thickBot="1" x14ac:dyDescent="0.25">
      <c r="A116" s="385" t="s">
        <v>531</v>
      </c>
      <c r="B116" s="386"/>
      <c r="C116" s="222">
        <v>-232</v>
      </c>
      <c r="D116" s="222">
        <v>108</v>
      </c>
      <c r="E116" s="222">
        <v>29</v>
      </c>
      <c r="F116" s="222">
        <v>-134</v>
      </c>
      <c r="G116" s="222">
        <v>12</v>
      </c>
    </row>
    <row r="117" spans="1:7" ht="17" thickBot="1" x14ac:dyDescent="0.25">
      <c r="A117" s="379" t="s">
        <v>532</v>
      </c>
      <c r="B117" s="380"/>
      <c r="C117" s="218">
        <v>-864</v>
      </c>
      <c r="D117" s="218">
        <v>-130</v>
      </c>
      <c r="E117" s="218">
        <v>160</v>
      </c>
      <c r="F117" s="218">
        <v>-819</v>
      </c>
      <c r="G117" s="218">
        <v>773</v>
      </c>
    </row>
    <row r="118" spans="1:7" ht="17" thickBot="1" x14ac:dyDescent="0.25">
      <c r="A118" s="387" t="s">
        <v>533</v>
      </c>
      <c r="B118" s="388"/>
      <c r="C118" s="220">
        <v>1191</v>
      </c>
      <c r="D118" s="220">
        <v>-1437</v>
      </c>
      <c r="E118" s="220">
        <v>-563</v>
      </c>
      <c r="F118" s="220">
        <v>-706</v>
      </c>
      <c r="G118" s="220">
        <v>598</v>
      </c>
    </row>
    <row r="119" spans="1:7" ht="17" thickBot="1" x14ac:dyDescent="0.25">
      <c r="A119" s="385" t="s">
        <v>534</v>
      </c>
      <c r="B119" s="386"/>
      <c r="C119" s="222">
        <v>1054</v>
      </c>
      <c r="D119" s="222">
        <v>928</v>
      </c>
      <c r="E119" s="222">
        <v>1291</v>
      </c>
      <c r="F119" s="222">
        <v>1570</v>
      </c>
      <c r="G119" s="222">
        <v>1466</v>
      </c>
    </row>
    <row r="120" spans="1:7" ht="17" thickBot="1" x14ac:dyDescent="0.25">
      <c r="A120" s="385" t="s">
        <v>535</v>
      </c>
      <c r="B120" s="386"/>
      <c r="C120" s="222">
        <v>500</v>
      </c>
      <c r="D120" s="222">
        <v>526</v>
      </c>
      <c r="E120" s="222">
        <v>520</v>
      </c>
      <c r="F120" s="222">
        <v>474</v>
      </c>
      <c r="G120" s="222">
        <v>544</v>
      </c>
    </row>
    <row r="121" spans="1:7" ht="17" thickBot="1" x14ac:dyDescent="0.25">
      <c r="A121" s="385" t="s">
        <v>536</v>
      </c>
      <c r="B121" s="386"/>
      <c r="C121" s="222">
        <v>2</v>
      </c>
      <c r="D121" s="222">
        <v>2</v>
      </c>
      <c r="E121" s="222">
        <v>4</v>
      </c>
      <c r="F121" s="222">
        <v>87</v>
      </c>
      <c r="G121" s="222">
        <v>143</v>
      </c>
    </row>
    <row r="122" spans="1:7" ht="17" thickBot="1" x14ac:dyDescent="0.25">
      <c r="A122" s="385" t="s">
        <v>537</v>
      </c>
      <c r="B122" s="386"/>
      <c r="C122" s="222">
        <v>-2569</v>
      </c>
      <c r="D122" s="222">
        <v>-2728</v>
      </c>
      <c r="E122" s="222">
        <v>-2795</v>
      </c>
      <c r="F122" s="222">
        <v>-2657</v>
      </c>
      <c r="G122" s="222">
        <v>-2887</v>
      </c>
    </row>
    <row r="123" spans="1:7" ht="17" thickBot="1" x14ac:dyDescent="0.25">
      <c r="A123" s="385" t="s">
        <v>538</v>
      </c>
      <c r="B123" s="386"/>
      <c r="C123" s="222">
        <v>1720</v>
      </c>
      <c r="D123" s="222">
        <v>-254</v>
      </c>
      <c r="E123" s="222">
        <v>377</v>
      </c>
      <c r="F123" s="222">
        <v>-135</v>
      </c>
      <c r="G123" s="222" t="s">
        <v>231</v>
      </c>
    </row>
    <row r="124" spans="1:7" ht="17" thickBot="1" x14ac:dyDescent="0.25">
      <c r="A124" s="385" t="s">
        <v>539</v>
      </c>
      <c r="B124" s="386"/>
      <c r="C124" s="222">
        <v>438</v>
      </c>
      <c r="D124" s="222">
        <v>70</v>
      </c>
      <c r="E124" s="222">
        <v>5</v>
      </c>
      <c r="F124" s="222">
        <v>-67</v>
      </c>
      <c r="G124" s="222">
        <v>38</v>
      </c>
    </row>
    <row r="125" spans="1:7" ht="17" thickBot="1" x14ac:dyDescent="0.25">
      <c r="A125" s="385" t="s">
        <v>540</v>
      </c>
      <c r="B125" s="386"/>
      <c r="C125" s="222">
        <v>46</v>
      </c>
      <c r="D125" s="222">
        <v>19</v>
      </c>
      <c r="E125" s="222">
        <v>35</v>
      </c>
      <c r="F125" s="222">
        <v>22</v>
      </c>
      <c r="G125" s="222">
        <v>1294</v>
      </c>
    </row>
    <row r="126" spans="1:7" ht="17" thickBot="1" x14ac:dyDescent="0.25">
      <c r="A126" s="387" t="s">
        <v>541</v>
      </c>
      <c r="B126" s="388"/>
      <c r="C126" s="220">
        <v>-439</v>
      </c>
      <c r="D126" s="220">
        <v>-3216</v>
      </c>
      <c r="E126" s="220">
        <v>836</v>
      </c>
      <c r="F126" s="220">
        <v>2596</v>
      </c>
      <c r="G126" s="220">
        <v>27</v>
      </c>
    </row>
    <row r="127" spans="1:7" ht="17" thickBot="1" x14ac:dyDescent="0.25">
      <c r="A127" s="385" t="s">
        <v>542</v>
      </c>
      <c r="B127" s="386"/>
      <c r="C127" s="222">
        <v>504</v>
      </c>
      <c r="D127" s="222">
        <v>420</v>
      </c>
      <c r="E127" s="222">
        <v>514</v>
      </c>
      <c r="F127" s="222">
        <v>691</v>
      </c>
      <c r="G127" s="222">
        <v>684</v>
      </c>
    </row>
    <row r="128" spans="1:7" ht="17" thickBot="1" x14ac:dyDescent="0.25">
      <c r="A128" s="385" t="s">
        <v>543</v>
      </c>
      <c r="B128" s="386"/>
      <c r="C128" s="222">
        <v>416</v>
      </c>
      <c r="D128" s="222">
        <v>557</v>
      </c>
      <c r="E128" s="222">
        <v>529</v>
      </c>
      <c r="F128" s="222">
        <v>506</v>
      </c>
      <c r="G128" s="222">
        <v>588</v>
      </c>
    </row>
    <row r="129" spans="1:7" ht="17" thickBot="1" x14ac:dyDescent="0.25">
      <c r="A129" s="385" t="s">
        <v>544</v>
      </c>
      <c r="B129" s="386"/>
      <c r="C129" s="222">
        <v>22</v>
      </c>
      <c r="D129" s="222">
        <v>24</v>
      </c>
      <c r="E129" s="222">
        <v>32</v>
      </c>
      <c r="F129" s="222">
        <v>33</v>
      </c>
      <c r="G129" s="222">
        <v>25</v>
      </c>
    </row>
    <row r="130" spans="1:7" ht="17" thickBot="1" x14ac:dyDescent="0.25">
      <c r="A130" s="385" t="s">
        <v>545</v>
      </c>
      <c r="B130" s="386"/>
      <c r="C130" s="222">
        <v>-1006</v>
      </c>
      <c r="D130" s="222">
        <v>-1130</v>
      </c>
      <c r="E130" s="222">
        <v>-1067</v>
      </c>
      <c r="F130" s="222">
        <v>-1124</v>
      </c>
      <c r="G130" s="222">
        <v>-1295</v>
      </c>
    </row>
    <row r="131" spans="1:7" ht="17" thickBot="1" x14ac:dyDescent="0.25">
      <c r="A131" s="385" t="s">
        <v>546</v>
      </c>
      <c r="B131" s="386"/>
      <c r="C131" s="222">
        <v>-436</v>
      </c>
      <c r="D131" s="222">
        <v>-3241</v>
      </c>
      <c r="E131" s="222">
        <v>499</v>
      </c>
      <c r="F131" s="222">
        <v>2084</v>
      </c>
      <c r="G131" s="222" t="s">
        <v>231</v>
      </c>
    </row>
    <row r="132" spans="1:7" ht="17" thickBot="1" x14ac:dyDescent="0.25">
      <c r="A132" s="385" t="s">
        <v>547</v>
      </c>
      <c r="B132" s="386"/>
      <c r="C132" s="222">
        <v>-2</v>
      </c>
      <c r="D132" s="222">
        <v>-2</v>
      </c>
      <c r="E132" s="222">
        <v>103</v>
      </c>
      <c r="F132" s="222">
        <v>8</v>
      </c>
      <c r="G132" s="222">
        <v>101</v>
      </c>
    </row>
    <row r="133" spans="1:7" ht="17" thickBot="1" x14ac:dyDescent="0.25">
      <c r="A133" s="385" t="s">
        <v>548</v>
      </c>
      <c r="B133" s="386"/>
      <c r="C133" s="222">
        <v>63</v>
      </c>
      <c r="D133" s="222">
        <v>156</v>
      </c>
      <c r="E133" s="222">
        <v>226</v>
      </c>
      <c r="F133" s="222">
        <v>398</v>
      </c>
      <c r="G133" s="222">
        <v>-76</v>
      </c>
    </row>
    <row r="134" spans="1:7" ht="17" thickBot="1" x14ac:dyDescent="0.25">
      <c r="A134" s="387" t="s">
        <v>549</v>
      </c>
      <c r="B134" s="388"/>
      <c r="C134" s="220">
        <v>-1129</v>
      </c>
      <c r="D134" s="220">
        <v>-212</v>
      </c>
      <c r="E134" s="220">
        <v>754</v>
      </c>
      <c r="F134" s="220">
        <v>735</v>
      </c>
      <c r="G134" s="220">
        <v>-225</v>
      </c>
    </row>
    <row r="135" spans="1:7" ht="17" thickBot="1" x14ac:dyDescent="0.25">
      <c r="A135" s="385" t="s">
        <v>550</v>
      </c>
      <c r="B135" s="386"/>
      <c r="C135" s="222">
        <v>146</v>
      </c>
      <c r="D135" s="222">
        <v>127</v>
      </c>
      <c r="E135" s="222">
        <v>169</v>
      </c>
      <c r="F135" s="222">
        <v>211</v>
      </c>
      <c r="G135" s="222">
        <v>195</v>
      </c>
    </row>
    <row r="136" spans="1:7" ht="17" thickBot="1" x14ac:dyDescent="0.25">
      <c r="A136" s="385" t="s">
        <v>551</v>
      </c>
      <c r="B136" s="386"/>
      <c r="C136" s="222">
        <v>42</v>
      </c>
      <c r="D136" s="222">
        <v>49</v>
      </c>
      <c r="E136" s="222">
        <v>47</v>
      </c>
      <c r="F136" s="222">
        <v>43</v>
      </c>
      <c r="G136" s="222">
        <v>54</v>
      </c>
    </row>
    <row r="137" spans="1:7" ht="17" thickBot="1" x14ac:dyDescent="0.25">
      <c r="A137" s="385" t="s">
        <v>552</v>
      </c>
      <c r="B137" s="386"/>
      <c r="C137" s="222">
        <v>-3</v>
      </c>
      <c r="D137" s="222">
        <v>-12</v>
      </c>
      <c r="E137" s="222">
        <v>-16</v>
      </c>
      <c r="F137" s="222">
        <v>-70</v>
      </c>
      <c r="G137" s="222">
        <v>-109</v>
      </c>
    </row>
    <row r="138" spans="1:7" ht="17" thickBot="1" x14ac:dyDescent="0.25">
      <c r="A138" s="385" t="s">
        <v>553</v>
      </c>
      <c r="B138" s="386"/>
      <c r="C138" s="222">
        <v>0</v>
      </c>
      <c r="D138" s="222">
        <v>0</v>
      </c>
      <c r="E138" s="222">
        <v>0</v>
      </c>
      <c r="F138" s="222">
        <v>0</v>
      </c>
      <c r="G138" s="222">
        <v>0</v>
      </c>
    </row>
    <row r="139" spans="1:7" ht="17" thickBot="1" x14ac:dyDescent="0.25">
      <c r="A139" s="385" t="s">
        <v>554</v>
      </c>
      <c r="B139" s="386"/>
      <c r="C139" s="222">
        <v>0</v>
      </c>
      <c r="D139" s="222">
        <v>0</v>
      </c>
      <c r="E139" s="222">
        <v>-2</v>
      </c>
      <c r="F139" s="222">
        <v>0</v>
      </c>
      <c r="G139" s="222">
        <v>1</v>
      </c>
    </row>
    <row r="140" spans="1:7" ht="17" thickBot="1" x14ac:dyDescent="0.25">
      <c r="A140" s="385" t="s">
        <v>555</v>
      </c>
      <c r="B140" s="386"/>
      <c r="C140" s="222">
        <v>-1314</v>
      </c>
      <c r="D140" s="222">
        <v>-376</v>
      </c>
      <c r="E140" s="222">
        <v>556</v>
      </c>
      <c r="F140" s="222">
        <v>551</v>
      </c>
      <c r="G140" s="222">
        <v>-366</v>
      </c>
    </row>
    <row r="141" spans="1:7" ht="17" thickBot="1" x14ac:dyDescent="0.25">
      <c r="A141" s="387" t="s">
        <v>556</v>
      </c>
      <c r="B141" s="388"/>
      <c r="C141" s="220">
        <v>101</v>
      </c>
      <c r="D141" s="220">
        <v>-4281</v>
      </c>
      <c r="E141" s="220">
        <v>1425</v>
      </c>
      <c r="F141" s="220">
        <v>3069</v>
      </c>
      <c r="G141" s="220">
        <v>400</v>
      </c>
    </row>
    <row r="142" spans="1:7" ht="17" thickBot="1" x14ac:dyDescent="0.25">
      <c r="A142" s="385" t="s">
        <v>557</v>
      </c>
      <c r="B142" s="386"/>
      <c r="C142" s="222">
        <v>152</v>
      </c>
      <c r="D142" s="222">
        <v>584</v>
      </c>
      <c r="E142" s="222">
        <v>398</v>
      </c>
      <c r="F142" s="222">
        <v>444</v>
      </c>
      <c r="G142" s="222" t="s">
        <v>231</v>
      </c>
    </row>
    <row r="143" spans="1:7" ht="17" thickBot="1" x14ac:dyDescent="0.25">
      <c r="A143" s="385" t="s">
        <v>558</v>
      </c>
      <c r="B143" s="386"/>
      <c r="C143" s="222">
        <v>326</v>
      </c>
      <c r="D143" s="222" t="s">
        <v>231</v>
      </c>
      <c r="E143" s="222" t="s">
        <v>231</v>
      </c>
      <c r="F143" s="222" t="s">
        <v>231</v>
      </c>
      <c r="G143" s="222" t="s">
        <v>231</v>
      </c>
    </row>
    <row r="144" spans="1:7" ht="17" thickBot="1" x14ac:dyDescent="0.25">
      <c r="A144" s="387" t="s">
        <v>559</v>
      </c>
      <c r="B144" s="388"/>
      <c r="C144" s="220" t="s">
        <v>231</v>
      </c>
      <c r="D144" s="220" t="s">
        <v>231</v>
      </c>
      <c r="E144" s="220" t="s">
        <v>231</v>
      </c>
      <c r="F144" s="220" t="s">
        <v>231</v>
      </c>
      <c r="G144" s="220" t="s">
        <v>231</v>
      </c>
    </row>
    <row r="145" spans="1:7" ht="17" thickBot="1" x14ac:dyDescent="0.25">
      <c r="A145" s="385" t="s">
        <v>412</v>
      </c>
      <c r="B145" s="386"/>
      <c r="C145" s="225">
        <v>3.1199999999999999E-2</v>
      </c>
      <c r="D145" s="225">
        <v>3.0200000000000001E-2</v>
      </c>
      <c r="E145" s="225">
        <v>3.5499999999999997E-2</v>
      </c>
      <c r="F145" s="225">
        <v>4.1700000000000001E-2</v>
      </c>
      <c r="G145" s="225">
        <v>3.6700000000000003E-2</v>
      </c>
    </row>
    <row r="146" spans="1:7" ht="17" thickBot="1" x14ac:dyDescent="0.25">
      <c r="A146" s="385" t="s">
        <v>413</v>
      </c>
      <c r="B146" s="386"/>
      <c r="C146" s="225">
        <v>1.78E-2</v>
      </c>
      <c r="D146" s="225">
        <v>1.44E-2</v>
      </c>
      <c r="E146" s="225">
        <v>1.7500000000000002E-2</v>
      </c>
      <c r="F146" s="225">
        <v>2.52E-2</v>
      </c>
      <c r="G146" s="225">
        <v>2.3900000000000001E-2</v>
      </c>
    </row>
    <row r="147" spans="1:7" ht="17" thickBot="1" x14ac:dyDescent="0.25">
      <c r="A147" s="385" t="s">
        <v>414</v>
      </c>
      <c r="B147" s="386"/>
      <c r="C147" s="225">
        <v>3.27E-2</v>
      </c>
      <c r="D147" s="225">
        <v>3.1399999999999997E-2</v>
      </c>
      <c r="E147" s="225">
        <v>3.5700000000000003E-2</v>
      </c>
      <c r="F147" s="225">
        <v>4.3400000000000001E-2</v>
      </c>
      <c r="G147" s="225">
        <v>3.6999999999999998E-2</v>
      </c>
    </row>
    <row r="148" spans="1:7" ht="17" thickBot="1" x14ac:dyDescent="0.25">
      <c r="A148" s="385" t="s">
        <v>560</v>
      </c>
      <c r="B148" s="386"/>
      <c r="C148" s="225">
        <v>5.7500000000000002E-2</v>
      </c>
      <c r="D148" s="225">
        <v>0.06</v>
      </c>
      <c r="E148" s="225">
        <v>6.5000000000000002E-2</v>
      </c>
      <c r="F148" s="225">
        <v>6.7500000000000004E-2</v>
      </c>
      <c r="G148" s="225">
        <v>6.7500000000000004E-2</v>
      </c>
    </row>
    <row r="149" spans="1:7" ht="17" thickBot="1" x14ac:dyDescent="0.25">
      <c r="A149" s="385" t="s">
        <v>561</v>
      </c>
      <c r="B149" s="386"/>
      <c r="C149" s="225">
        <v>3.2899999999999999E-2</v>
      </c>
      <c r="D149" s="225">
        <v>3.4200000000000001E-2</v>
      </c>
      <c r="E149" s="225">
        <v>3.6700000000000003E-2</v>
      </c>
      <c r="F149" s="225">
        <v>4.1799999999999997E-2</v>
      </c>
      <c r="G149" s="225">
        <v>4.5100000000000001E-2</v>
      </c>
    </row>
    <row r="150" spans="1:7" ht="17" thickBot="1" x14ac:dyDescent="0.25">
      <c r="A150" s="385" t="s">
        <v>562</v>
      </c>
      <c r="B150" s="386"/>
      <c r="C150" s="225">
        <v>0</v>
      </c>
      <c r="D150" s="225">
        <v>0</v>
      </c>
      <c r="E150" s="225">
        <v>0</v>
      </c>
      <c r="F150" s="225">
        <v>0</v>
      </c>
      <c r="G150" s="225">
        <v>0</v>
      </c>
    </row>
    <row r="151" spans="1:7" ht="17" thickBot="1" x14ac:dyDescent="0.25">
      <c r="A151" s="385" t="s">
        <v>415</v>
      </c>
      <c r="B151" s="386"/>
      <c r="C151" s="225">
        <v>3.5000000000000003E-2</v>
      </c>
      <c r="D151" s="225">
        <v>3.5000000000000003E-2</v>
      </c>
      <c r="E151" s="225">
        <v>3.5000000000000003E-2</v>
      </c>
      <c r="F151" s="225">
        <v>3.5000000000000003E-2</v>
      </c>
      <c r="G151" s="225">
        <v>3.5000000000000003E-2</v>
      </c>
    </row>
    <row r="152" spans="1:7" ht="17" thickBot="1" x14ac:dyDescent="0.25">
      <c r="A152" s="385" t="s">
        <v>416</v>
      </c>
      <c r="B152" s="386"/>
      <c r="C152" s="225">
        <v>3.1899999999999998E-2</v>
      </c>
      <c r="D152" s="225">
        <v>3.3399999999999999E-2</v>
      </c>
      <c r="E152" s="225">
        <v>3.3700000000000001E-2</v>
      </c>
      <c r="F152" s="225">
        <v>3.3700000000000001E-2</v>
      </c>
      <c r="G152" s="225">
        <v>3.3700000000000001E-2</v>
      </c>
    </row>
    <row r="153" spans="1:7" ht="17" thickBot="1" x14ac:dyDescent="0.25">
      <c r="A153" s="385" t="s">
        <v>417</v>
      </c>
      <c r="B153" s="386"/>
      <c r="C153" s="225">
        <v>3.4599999999999999E-2</v>
      </c>
      <c r="D153" s="225">
        <v>3.44E-2</v>
      </c>
      <c r="E153" s="225">
        <v>3.44E-2</v>
      </c>
      <c r="F153" s="225">
        <v>3.44E-2</v>
      </c>
      <c r="G153" s="225">
        <v>3.44E-2</v>
      </c>
    </row>
    <row r="154" spans="1:7" ht="17" thickBot="1" x14ac:dyDescent="0.25">
      <c r="A154" s="379" t="s">
        <v>563</v>
      </c>
      <c r="B154" s="380"/>
      <c r="C154" s="218">
        <v>1704</v>
      </c>
      <c r="D154" s="218">
        <v>1475</v>
      </c>
      <c r="E154" s="218">
        <v>1974</v>
      </c>
      <c r="F154" s="218">
        <v>2472</v>
      </c>
      <c r="G154" s="218">
        <v>2345</v>
      </c>
    </row>
    <row r="155" spans="1:7" ht="17" thickBot="1" x14ac:dyDescent="0.25">
      <c r="A155" s="379" t="s">
        <v>564</v>
      </c>
      <c r="B155" s="380"/>
      <c r="C155" s="218">
        <v>958</v>
      </c>
      <c r="D155" s="218">
        <v>1132</v>
      </c>
      <c r="E155" s="218">
        <v>1096</v>
      </c>
      <c r="F155" s="218">
        <v>1023</v>
      </c>
      <c r="G155" s="218">
        <v>1186</v>
      </c>
    </row>
    <row r="156" spans="1:7" ht="17" thickBot="1" x14ac:dyDescent="0.25">
      <c r="A156" s="379" t="s">
        <v>565</v>
      </c>
      <c r="B156" s="380"/>
      <c r="C156" s="218">
        <v>-3575</v>
      </c>
      <c r="D156" s="218">
        <v>-3858</v>
      </c>
      <c r="E156" s="218">
        <v>-3862</v>
      </c>
      <c r="F156" s="218">
        <v>-3781</v>
      </c>
      <c r="G156" s="218">
        <v>-4182</v>
      </c>
    </row>
    <row r="157" spans="1:7" x14ac:dyDescent="0.2">
      <c r="A157" s="381" t="s">
        <v>566</v>
      </c>
      <c r="B157" s="382"/>
      <c r="C157" s="218">
        <v>-1205</v>
      </c>
      <c r="D157" s="218">
        <v>-201</v>
      </c>
      <c r="E157" s="218">
        <v>817</v>
      </c>
      <c r="F157" s="218">
        <v>971</v>
      </c>
      <c r="G157" s="218">
        <v>852</v>
      </c>
    </row>
    <row r="158" spans="1:7" ht="17" thickBot="1" x14ac:dyDescent="0.25">
      <c r="A158" s="367" t="s">
        <v>567</v>
      </c>
      <c r="B158" s="367"/>
      <c r="C158" s="227"/>
      <c r="D158" s="227"/>
      <c r="E158" s="227"/>
      <c r="F158" s="227"/>
      <c r="G158" s="227"/>
    </row>
    <row r="159" spans="1:7" ht="17" thickBot="1" x14ac:dyDescent="0.25">
      <c r="A159" s="368" t="s">
        <v>568</v>
      </c>
      <c r="B159" s="369"/>
      <c r="C159" s="228"/>
      <c r="D159" s="228"/>
      <c r="E159" s="228"/>
      <c r="F159" s="228"/>
      <c r="G159" s="228"/>
    </row>
    <row r="160" spans="1:7" x14ac:dyDescent="0.2">
      <c r="A160" s="372" t="s">
        <v>569</v>
      </c>
      <c r="B160" s="373"/>
      <c r="C160" s="222" t="s">
        <v>570</v>
      </c>
      <c r="D160" s="222" t="s">
        <v>571</v>
      </c>
      <c r="E160" s="222" t="s">
        <v>572</v>
      </c>
      <c r="F160" s="222" t="s">
        <v>570</v>
      </c>
      <c r="G160" s="222" t="s">
        <v>570</v>
      </c>
    </row>
    <row r="161" spans="1:7" ht="17" thickBot="1" x14ac:dyDescent="0.25">
      <c r="A161" s="374"/>
      <c r="B161" s="375"/>
      <c r="C161" s="230" t="s">
        <v>573</v>
      </c>
      <c r="D161" s="230" t="s">
        <v>573</v>
      </c>
      <c r="E161" s="230" t="s">
        <v>574</v>
      </c>
      <c r="F161" s="230" t="s">
        <v>575</v>
      </c>
      <c r="G161" s="230" t="s">
        <v>576</v>
      </c>
    </row>
    <row r="162" spans="1:7" x14ac:dyDescent="0.2">
      <c r="A162" s="374"/>
      <c r="B162" s="375"/>
      <c r="C162" s="222" t="s">
        <v>577</v>
      </c>
      <c r="D162" s="370" t="s">
        <v>231</v>
      </c>
      <c r="E162" s="222" t="s">
        <v>577</v>
      </c>
      <c r="F162" s="222" t="s">
        <v>577</v>
      </c>
      <c r="G162" s="222" t="s">
        <v>577</v>
      </c>
    </row>
    <row r="163" spans="1:7" ht="17" thickBot="1" x14ac:dyDescent="0.25">
      <c r="A163" s="374"/>
      <c r="B163" s="375"/>
      <c r="C163" s="230" t="s">
        <v>578</v>
      </c>
      <c r="D163" s="378"/>
      <c r="E163" s="230" t="s">
        <v>579</v>
      </c>
      <c r="F163" s="230" t="s">
        <v>580</v>
      </c>
      <c r="G163" s="230" t="s">
        <v>581</v>
      </c>
    </row>
    <row r="164" spans="1:7" x14ac:dyDescent="0.2">
      <c r="A164" s="374"/>
      <c r="B164" s="375"/>
      <c r="C164" s="222" t="s">
        <v>582</v>
      </c>
      <c r="D164" s="370" t="s">
        <v>231</v>
      </c>
      <c r="E164" s="370" t="s">
        <v>231</v>
      </c>
      <c r="F164" s="222" t="s">
        <v>577</v>
      </c>
      <c r="G164" s="222" t="s">
        <v>577</v>
      </c>
    </row>
    <row r="165" spans="1:7" ht="17" thickBot="1" x14ac:dyDescent="0.25">
      <c r="A165" s="374"/>
      <c r="B165" s="375"/>
      <c r="C165" s="230" t="s">
        <v>583</v>
      </c>
      <c r="D165" s="378"/>
      <c r="E165" s="378"/>
      <c r="F165" s="230" t="s">
        <v>584</v>
      </c>
      <c r="G165" s="230" t="s">
        <v>585</v>
      </c>
    </row>
    <row r="166" spans="1:7" x14ac:dyDescent="0.2">
      <c r="A166" s="374"/>
      <c r="B166" s="375"/>
      <c r="C166" s="222" t="s">
        <v>582</v>
      </c>
      <c r="D166" s="370" t="s">
        <v>231</v>
      </c>
      <c r="E166" s="370" t="s">
        <v>231</v>
      </c>
      <c r="F166" s="222" t="s">
        <v>577</v>
      </c>
      <c r="G166" s="222" t="s">
        <v>577</v>
      </c>
    </row>
    <row r="167" spans="1:7" ht="17" thickBot="1" x14ac:dyDescent="0.25">
      <c r="A167" s="374"/>
      <c r="B167" s="375"/>
      <c r="C167" s="230" t="s">
        <v>586</v>
      </c>
      <c r="D167" s="378"/>
      <c r="E167" s="378"/>
      <c r="F167" s="230" t="s">
        <v>587</v>
      </c>
      <c r="G167" s="230" t="s">
        <v>587</v>
      </c>
    </row>
    <row r="168" spans="1:7" x14ac:dyDescent="0.2">
      <c r="A168" s="374"/>
      <c r="B168" s="375"/>
      <c r="C168" s="376" t="s">
        <v>231</v>
      </c>
      <c r="D168" s="370" t="s">
        <v>231</v>
      </c>
      <c r="E168" s="370" t="s">
        <v>231</v>
      </c>
      <c r="F168" s="370" t="s">
        <v>231</v>
      </c>
      <c r="G168" s="222" t="s">
        <v>588</v>
      </c>
    </row>
    <row r="169" spans="1:7" ht="17" thickBot="1" x14ac:dyDescent="0.25">
      <c r="A169" s="383"/>
      <c r="B169" s="384"/>
      <c r="C169" s="377"/>
      <c r="D169" s="371"/>
      <c r="E169" s="371"/>
      <c r="F169" s="371"/>
      <c r="G169" s="230" t="s">
        <v>587</v>
      </c>
    </row>
    <row r="170" spans="1:7" x14ac:dyDescent="0.2">
      <c r="A170" s="372" t="s">
        <v>589</v>
      </c>
      <c r="B170" s="373"/>
      <c r="C170" s="376" t="s">
        <v>231</v>
      </c>
      <c r="D170" s="370" t="s">
        <v>231</v>
      </c>
      <c r="E170" s="370" t="s">
        <v>231</v>
      </c>
      <c r="F170" s="370" t="s">
        <v>231</v>
      </c>
      <c r="G170" s="222" t="s">
        <v>590</v>
      </c>
    </row>
    <row r="171" spans="1:7" x14ac:dyDescent="0.2">
      <c r="A171" s="374"/>
      <c r="B171" s="375"/>
      <c r="C171" s="377"/>
      <c r="D171" s="371"/>
      <c r="E171" s="371"/>
      <c r="F171" s="371"/>
      <c r="G171" s="230" t="s">
        <v>591</v>
      </c>
    </row>
    <row r="172" spans="1:7" ht="17" thickBot="1" x14ac:dyDescent="0.25">
      <c r="A172" s="367" t="s">
        <v>592</v>
      </c>
      <c r="B172" s="367"/>
      <c r="C172" s="231"/>
    </row>
    <row r="173" spans="1:7" ht="17" thickBot="1" x14ac:dyDescent="0.25">
      <c r="A173" s="368" t="s">
        <v>568</v>
      </c>
      <c r="B173" s="369"/>
      <c r="C173" s="228"/>
    </row>
    <row r="174" spans="1:7" ht="17" thickBot="1" x14ac:dyDescent="0.25">
      <c r="A174" s="232">
        <v>2023</v>
      </c>
      <c r="B174" s="229" t="s">
        <v>569</v>
      </c>
      <c r="C174" s="222" t="s">
        <v>570</v>
      </c>
    </row>
    <row r="175" spans="1:7" ht="17" thickBot="1" x14ac:dyDescent="0.25">
      <c r="A175" s="232"/>
      <c r="B175" s="229"/>
      <c r="C175" s="230" t="s">
        <v>593</v>
      </c>
    </row>
    <row r="176" spans="1:7" ht="17" thickBot="1" x14ac:dyDescent="0.25">
      <c r="A176" s="232"/>
      <c r="B176" s="229"/>
      <c r="C176" s="222" t="s">
        <v>577</v>
      </c>
    </row>
    <row r="177" spans="1:3" ht="17" thickBot="1" x14ac:dyDescent="0.25">
      <c r="A177" s="232"/>
      <c r="B177" s="229"/>
      <c r="C177" s="230" t="s">
        <v>594</v>
      </c>
    </row>
    <row r="178" spans="1:3" ht="17" thickBot="1" x14ac:dyDescent="0.25">
      <c r="A178" s="232"/>
      <c r="B178" s="229"/>
      <c r="C178" s="222" t="s">
        <v>577</v>
      </c>
    </row>
    <row r="179" spans="1:3" ht="17" thickBot="1" x14ac:dyDescent="0.25">
      <c r="A179" s="232"/>
      <c r="B179" s="229"/>
      <c r="C179" s="230" t="s">
        <v>595</v>
      </c>
    </row>
    <row r="180" spans="1:3" ht="17" thickBot="1" x14ac:dyDescent="0.25">
      <c r="A180" s="232"/>
      <c r="B180" s="229"/>
      <c r="C180" s="222" t="s">
        <v>577</v>
      </c>
    </row>
    <row r="181" spans="1:3" ht="17" thickBot="1" x14ac:dyDescent="0.25">
      <c r="A181" s="232"/>
      <c r="B181" s="229"/>
      <c r="C181" s="230" t="s">
        <v>596</v>
      </c>
    </row>
    <row r="182" spans="1:3" ht="17" thickBot="1" x14ac:dyDescent="0.25">
      <c r="A182" s="232"/>
      <c r="B182" s="229"/>
      <c r="C182" s="222" t="s">
        <v>597</v>
      </c>
    </row>
    <row r="183" spans="1:3" ht="17" thickBot="1" x14ac:dyDescent="0.25">
      <c r="A183" s="232"/>
      <c r="B183" s="229"/>
      <c r="C183" s="230" t="s">
        <v>596</v>
      </c>
    </row>
    <row r="184" spans="1:3" ht="17" thickBot="1" x14ac:dyDescent="0.25">
      <c r="A184" s="232"/>
      <c r="B184" s="229" t="s">
        <v>589</v>
      </c>
      <c r="C184" s="222" t="s">
        <v>598</v>
      </c>
    </row>
    <row r="185" spans="1:3" x14ac:dyDescent="0.2">
      <c r="A185" s="232"/>
      <c r="B185" s="229"/>
      <c r="C185" s="230" t="s">
        <v>591</v>
      </c>
    </row>
  </sheetData>
  <mergeCells count="172">
    <mergeCell ref="A11:B11"/>
    <mergeCell ref="A12:B12"/>
    <mergeCell ref="A13:B13"/>
    <mergeCell ref="A14:B14"/>
    <mergeCell ref="A15:B15"/>
    <mergeCell ref="A16:B16"/>
    <mergeCell ref="A5:B5"/>
    <mergeCell ref="A6:B6"/>
    <mergeCell ref="A7:B7"/>
    <mergeCell ref="A8:B8"/>
    <mergeCell ref="A9:B9"/>
    <mergeCell ref="A10:B10"/>
    <mergeCell ref="A23:B23"/>
    <mergeCell ref="A24:B24"/>
    <mergeCell ref="A25:B25"/>
    <mergeCell ref="A26:B26"/>
    <mergeCell ref="A27:B27"/>
    <mergeCell ref="A28:B28"/>
    <mergeCell ref="A17:B17"/>
    <mergeCell ref="A18:B18"/>
    <mergeCell ref="A19:B19"/>
    <mergeCell ref="A20:B20"/>
    <mergeCell ref="A21:B21"/>
    <mergeCell ref="A22:B22"/>
    <mergeCell ref="A35:B35"/>
    <mergeCell ref="A36:B36"/>
    <mergeCell ref="A37:B37"/>
    <mergeCell ref="A38:B38"/>
    <mergeCell ref="A39:B39"/>
    <mergeCell ref="A40:B40"/>
    <mergeCell ref="A29:B29"/>
    <mergeCell ref="A30:B30"/>
    <mergeCell ref="A31:B31"/>
    <mergeCell ref="A32:B32"/>
    <mergeCell ref="A33:B33"/>
    <mergeCell ref="A34:B34"/>
    <mergeCell ref="A47:B47"/>
    <mergeCell ref="A48:B48"/>
    <mergeCell ref="A49:B49"/>
    <mergeCell ref="A50:B50"/>
    <mergeCell ref="A51:B51"/>
    <mergeCell ref="A52:B52"/>
    <mergeCell ref="A41:B41"/>
    <mergeCell ref="A42:B42"/>
    <mergeCell ref="A43:B43"/>
    <mergeCell ref="A44:B44"/>
    <mergeCell ref="A45:B45"/>
    <mergeCell ref="A46:B46"/>
    <mergeCell ref="A59:B59"/>
    <mergeCell ref="A60:B60"/>
    <mergeCell ref="A61:B61"/>
    <mergeCell ref="A62:B62"/>
    <mergeCell ref="A63:B63"/>
    <mergeCell ref="A64:B64"/>
    <mergeCell ref="A53:B53"/>
    <mergeCell ref="A54:B54"/>
    <mergeCell ref="A55:B55"/>
    <mergeCell ref="A56:B56"/>
    <mergeCell ref="A57:B57"/>
    <mergeCell ref="A58:B58"/>
    <mergeCell ref="A71:B71"/>
    <mergeCell ref="A72:B72"/>
    <mergeCell ref="A73:B73"/>
    <mergeCell ref="A74:B74"/>
    <mergeCell ref="A75:B75"/>
    <mergeCell ref="A76:B76"/>
    <mergeCell ref="A65:B65"/>
    <mergeCell ref="A66:B66"/>
    <mergeCell ref="A67:B67"/>
    <mergeCell ref="A68:B68"/>
    <mergeCell ref="A69:B69"/>
    <mergeCell ref="A70:B70"/>
    <mergeCell ref="A83:B83"/>
    <mergeCell ref="A84:B84"/>
    <mergeCell ref="A85:B85"/>
    <mergeCell ref="A86:B86"/>
    <mergeCell ref="A87:B87"/>
    <mergeCell ref="A88:B88"/>
    <mergeCell ref="A77:B77"/>
    <mergeCell ref="A78:B78"/>
    <mergeCell ref="A79:B79"/>
    <mergeCell ref="A80:B80"/>
    <mergeCell ref="A81:B81"/>
    <mergeCell ref="A82:B82"/>
    <mergeCell ref="A95:B95"/>
    <mergeCell ref="A96:B96"/>
    <mergeCell ref="A97:B97"/>
    <mergeCell ref="A98:B98"/>
    <mergeCell ref="A99:B99"/>
    <mergeCell ref="A100:B100"/>
    <mergeCell ref="A89:B89"/>
    <mergeCell ref="A90:B90"/>
    <mergeCell ref="A91:B91"/>
    <mergeCell ref="A92:B92"/>
    <mergeCell ref="A93:B93"/>
    <mergeCell ref="A94:B94"/>
    <mergeCell ref="A107:B107"/>
    <mergeCell ref="A108:B108"/>
    <mergeCell ref="A109:B109"/>
    <mergeCell ref="A110:B110"/>
    <mergeCell ref="A111:B111"/>
    <mergeCell ref="A112:B112"/>
    <mergeCell ref="A101:B101"/>
    <mergeCell ref="A102:B102"/>
    <mergeCell ref="A103:B103"/>
    <mergeCell ref="A104:B104"/>
    <mergeCell ref="A105:B105"/>
    <mergeCell ref="A106:B106"/>
    <mergeCell ref="A119:B119"/>
    <mergeCell ref="A120:B120"/>
    <mergeCell ref="A121:B121"/>
    <mergeCell ref="A122:B122"/>
    <mergeCell ref="A123:B123"/>
    <mergeCell ref="A124:B124"/>
    <mergeCell ref="A113:B113"/>
    <mergeCell ref="A114:B114"/>
    <mergeCell ref="A115:B115"/>
    <mergeCell ref="A116:B116"/>
    <mergeCell ref="A117:B117"/>
    <mergeCell ref="A118:B118"/>
    <mergeCell ref="A131:B131"/>
    <mergeCell ref="A132:B132"/>
    <mergeCell ref="A133:B133"/>
    <mergeCell ref="A134:B134"/>
    <mergeCell ref="A135:B135"/>
    <mergeCell ref="A136:B136"/>
    <mergeCell ref="A125:B125"/>
    <mergeCell ref="A126:B126"/>
    <mergeCell ref="A127:B127"/>
    <mergeCell ref="A128:B128"/>
    <mergeCell ref="A129:B129"/>
    <mergeCell ref="A130:B130"/>
    <mergeCell ref="A143:B143"/>
    <mergeCell ref="A144:B144"/>
    <mergeCell ref="A145:B145"/>
    <mergeCell ref="A146:B146"/>
    <mergeCell ref="A147:B147"/>
    <mergeCell ref="A148:B148"/>
    <mergeCell ref="A137:B137"/>
    <mergeCell ref="A138:B138"/>
    <mergeCell ref="A139:B139"/>
    <mergeCell ref="A140:B140"/>
    <mergeCell ref="A141:B141"/>
    <mergeCell ref="A142:B142"/>
    <mergeCell ref="A155:B155"/>
    <mergeCell ref="A156:B156"/>
    <mergeCell ref="A157:B157"/>
    <mergeCell ref="A158:B158"/>
    <mergeCell ref="A159:B159"/>
    <mergeCell ref="A160:B169"/>
    <mergeCell ref="A149:B149"/>
    <mergeCell ref="A150:B150"/>
    <mergeCell ref="A151:B151"/>
    <mergeCell ref="A152:B152"/>
    <mergeCell ref="A153:B153"/>
    <mergeCell ref="A154:B154"/>
    <mergeCell ref="A172:B172"/>
    <mergeCell ref="A173:B173"/>
    <mergeCell ref="F168:F169"/>
    <mergeCell ref="A170:B171"/>
    <mergeCell ref="C170:C171"/>
    <mergeCell ref="D170:D171"/>
    <mergeCell ref="E170:E171"/>
    <mergeCell ref="F170:F171"/>
    <mergeCell ref="D162:D163"/>
    <mergeCell ref="D164:D165"/>
    <mergeCell ref="E164:E165"/>
    <mergeCell ref="D166:D167"/>
    <mergeCell ref="E166:E167"/>
    <mergeCell ref="C168:C169"/>
    <mergeCell ref="D168:D169"/>
    <mergeCell ref="E168:E169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741ED-1F46-7D4D-BC3A-929ED365B309}">
  <dimension ref="C18:N45"/>
  <sheetViews>
    <sheetView workbookViewId="0">
      <selection activeCell="A5" sqref="A5"/>
    </sheetView>
  </sheetViews>
  <sheetFormatPr baseColWidth="10" defaultColWidth="11.5" defaultRowHeight="15" x14ac:dyDescent="0.2"/>
  <sheetData>
    <row r="18" spans="3:14" x14ac:dyDescent="0.2">
      <c r="C18" s="63" t="s">
        <v>599</v>
      </c>
      <c r="N18" s="63" t="s">
        <v>600</v>
      </c>
    </row>
    <row r="41" spans="3:14" x14ac:dyDescent="0.2">
      <c r="N41" s="63" t="s">
        <v>600</v>
      </c>
    </row>
    <row r="45" spans="3:14" x14ac:dyDescent="0.2">
      <c r="C45" s="63" t="s">
        <v>599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F957E-7515-3943-8B11-4C9AACECC7FA}">
  <dimension ref="B25:L63"/>
  <sheetViews>
    <sheetView topLeftCell="A17" workbookViewId="0">
      <selection activeCell="N68" sqref="N68"/>
    </sheetView>
  </sheetViews>
  <sheetFormatPr baseColWidth="10" defaultColWidth="11.5" defaultRowHeight="15" x14ac:dyDescent="0.2"/>
  <sheetData>
    <row r="25" spans="2:12" x14ac:dyDescent="0.2">
      <c r="B25" s="63" t="s">
        <v>601</v>
      </c>
    </row>
    <row r="30" spans="2:12" x14ac:dyDescent="0.2">
      <c r="L30" s="63" t="s">
        <v>600</v>
      </c>
    </row>
    <row r="61" spans="2:12" x14ac:dyDescent="0.2">
      <c r="B61" s="63" t="s">
        <v>602</v>
      </c>
    </row>
    <row r="63" spans="2:12" x14ac:dyDescent="0.2">
      <c r="L63" s="63" t="s">
        <v>600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17802-EB45-504D-B654-D31F8A5F8549}">
  <dimension ref="A149"/>
  <sheetViews>
    <sheetView workbookViewId="0">
      <selection activeCell="A149" sqref="A149"/>
    </sheetView>
  </sheetViews>
  <sheetFormatPr baseColWidth="10" defaultColWidth="11.5" defaultRowHeight="15" x14ac:dyDescent="0.2"/>
  <sheetData>
    <row r="149" spans="1:1" x14ac:dyDescent="0.2">
      <c r="A149" s="63" t="s">
        <v>600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07741-6E5C-F14A-8577-1E9D51BF26D2}">
  <dimension ref="A1:G44"/>
  <sheetViews>
    <sheetView showGridLines="0" workbookViewId="0">
      <selection activeCell="H20" sqref="H20"/>
    </sheetView>
  </sheetViews>
  <sheetFormatPr baseColWidth="10" defaultColWidth="8.83203125" defaultRowHeight="16" x14ac:dyDescent="0.2"/>
  <cols>
    <col min="1" max="1" width="23.6640625" style="207" bestFit="1" customWidth="1"/>
    <col min="2" max="2" width="12.33203125" style="207" bestFit="1" customWidth="1"/>
    <col min="3" max="7" width="8.6640625" style="207" bestFit="1" customWidth="1"/>
    <col min="8" max="16384" width="8.83203125" style="207"/>
  </cols>
  <sheetData>
    <row r="1" spans="1:7" x14ac:dyDescent="0.2">
      <c r="A1" s="206" t="s">
        <v>603</v>
      </c>
    </row>
    <row r="3" spans="1:7" x14ac:dyDescent="0.2">
      <c r="A3" s="208" t="s">
        <v>604</v>
      </c>
    </row>
    <row r="4" spans="1:7" ht="17" thickBot="1" x14ac:dyDescent="0.25">
      <c r="A4" s="208" t="s">
        <v>164</v>
      </c>
    </row>
    <row r="5" spans="1:7" ht="17" thickBot="1" x14ac:dyDescent="0.25">
      <c r="A5" s="233"/>
      <c r="B5" s="233" t="s">
        <v>605</v>
      </c>
      <c r="C5" s="210">
        <v>2022</v>
      </c>
      <c r="D5" s="210">
        <v>2021</v>
      </c>
      <c r="E5" s="210">
        <v>2020</v>
      </c>
      <c r="F5" s="210">
        <v>2019</v>
      </c>
      <c r="G5" s="210">
        <v>2018</v>
      </c>
    </row>
    <row r="6" spans="1:7" ht="19" customHeight="1" thickBot="1" x14ac:dyDescent="0.3">
      <c r="A6" s="211" t="s">
        <v>165</v>
      </c>
      <c r="B6" s="213">
        <v>26</v>
      </c>
      <c r="C6" s="212">
        <v>51</v>
      </c>
      <c r="D6" s="213">
        <v>30</v>
      </c>
      <c r="E6" s="212">
        <v>38</v>
      </c>
      <c r="F6" s="212">
        <v>31</v>
      </c>
      <c r="G6" s="213">
        <v>14</v>
      </c>
    </row>
    <row r="7" spans="1:7" ht="17" thickBot="1" x14ac:dyDescent="0.25">
      <c r="A7" s="234" t="s">
        <v>606</v>
      </c>
      <c r="B7" s="216"/>
      <c r="C7" s="235"/>
      <c r="D7" s="235"/>
      <c r="E7" s="235"/>
      <c r="F7" s="235"/>
      <c r="G7" s="235"/>
    </row>
    <row r="8" spans="1:7" ht="17" thickBot="1" x14ac:dyDescent="0.25">
      <c r="A8" s="236" t="s">
        <v>607</v>
      </c>
      <c r="B8" s="237" t="s">
        <v>608</v>
      </c>
      <c r="C8" s="238">
        <v>0.109</v>
      </c>
      <c r="D8" s="238">
        <v>0.121</v>
      </c>
      <c r="E8" s="238">
        <v>4.5999999999999999E-2</v>
      </c>
      <c r="F8" s="238">
        <v>0.08</v>
      </c>
      <c r="G8" s="238">
        <v>9.0999999999999998E-2</v>
      </c>
    </row>
    <row r="9" spans="1:7" ht="17" thickBot="1" x14ac:dyDescent="0.25">
      <c r="A9" s="236" t="s">
        <v>609</v>
      </c>
      <c r="B9" s="239" t="s">
        <v>610</v>
      </c>
      <c r="C9" s="238">
        <v>0.11799999999999999</v>
      </c>
      <c r="D9" s="238">
        <v>6.9000000000000006E-2</v>
      </c>
      <c r="E9" s="238">
        <v>8.5999999999999993E-2</v>
      </c>
      <c r="F9" s="238">
        <v>0.104</v>
      </c>
      <c r="G9" s="238">
        <v>8.6999999999999994E-2</v>
      </c>
    </row>
    <row r="10" spans="1:7" ht="17" thickBot="1" x14ac:dyDescent="0.25">
      <c r="A10" s="236" t="s">
        <v>611</v>
      </c>
      <c r="B10" s="239" t="s">
        <v>612</v>
      </c>
      <c r="C10" s="238">
        <v>3.9E-2</v>
      </c>
      <c r="D10" s="238">
        <v>2.1000000000000001E-2</v>
      </c>
      <c r="E10" s="238">
        <v>-3.5000000000000003E-2</v>
      </c>
      <c r="F10" s="238">
        <v>3.0000000000000001E-3</v>
      </c>
      <c r="G10" s="238">
        <v>0.02</v>
      </c>
    </row>
    <row r="11" spans="1:7" ht="17" thickBot="1" x14ac:dyDescent="0.25">
      <c r="A11" s="236" t="s">
        <v>613</v>
      </c>
      <c r="B11" s="239" t="s">
        <v>614</v>
      </c>
      <c r="C11" s="238">
        <v>-1.9E-2</v>
      </c>
      <c r="D11" s="238">
        <v>0.13</v>
      </c>
      <c r="E11" s="238">
        <v>-8.9999999999999993E-3</v>
      </c>
      <c r="F11" s="238">
        <v>-4.0000000000000001E-3</v>
      </c>
      <c r="G11" s="238">
        <v>2.7E-2</v>
      </c>
    </row>
    <row r="12" spans="1:7" ht="17" thickBot="1" x14ac:dyDescent="0.25">
      <c r="A12" s="236" t="s">
        <v>615</v>
      </c>
      <c r="B12" s="237" t="s">
        <v>616</v>
      </c>
      <c r="C12" s="238" t="s">
        <v>617</v>
      </c>
      <c r="D12" s="238">
        <v>-7.0000000000000001E-3</v>
      </c>
      <c r="E12" s="238" t="s">
        <v>617</v>
      </c>
      <c r="F12" s="238" t="s">
        <v>617</v>
      </c>
      <c r="G12" s="238">
        <v>0.17799999999999999</v>
      </c>
    </row>
    <row r="13" spans="1:7" ht="17" thickBot="1" x14ac:dyDescent="0.25">
      <c r="A13" s="236" t="s">
        <v>618</v>
      </c>
      <c r="B13" s="239" t="s">
        <v>619</v>
      </c>
      <c r="C13" s="238">
        <v>-1.4E-2</v>
      </c>
      <c r="D13" s="238">
        <v>0.13100000000000001</v>
      </c>
      <c r="E13" s="238">
        <v>-0.01</v>
      </c>
      <c r="F13" s="238">
        <v>1E-3</v>
      </c>
      <c r="G13" s="238">
        <v>2.1999999999999999E-2</v>
      </c>
    </row>
    <row r="14" spans="1:7" ht="17" thickBot="1" x14ac:dyDescent="0.25">
      <c r="A14" s="234" t="s">
        <v>620</v>
      </c>
      <c r="B14" s="216"/>
      <c r="C14" s="235"/>
      <c r="D14" s="235"/>
      <c r="E14" s="235"/>
      <c r="F14" s="235"/>
      <c r="G14" s="235"/>
    </row>
    <row r="15" spans="1:7" ht="17" thickBot="1" x14ac:dyDescent="0.25">
      <c r="A15" s="236" t="s">
        <v>621</v>
      </c>
      <c r="B15" s="237" t="s">
        <v>622</v>
      </c>
      <c r="C15" s="240">
        <v>0.62</v>
      </c>
      <c r="D15" s="240">
        <v>0.52</v>
      </c>
      <c r="E15" s="240">
        <v>0.48</v>
      </c>
      <c r="F15" s="240">
        <v>0.61</v>
      </c>
      <c r="G15" s="240">
        <v>0.62</v>
      </c>
    </row>
    <row r="16" spans="1:7" ht="17" thickBot="1" x14ac:dyDescent="0.25">
      <c r="A16" s="236" t="s">
        <v>623</v>
      </c>
      <c r="B16" s="239" t="s">
        <v>614</v>
      </c>
      <c r="C16" s="238">
        <v>-1.9E-2</v>
      </c>
      <c r="D16" s="238">
        <v>0.13</v>
      </c>
      <c r="E16" s="238">
        <v>-8.9999999999999993E-3</v>
      </c>
      <c r="F16" s="238">
        <v>-4.0000000000000001E-3</v>
      </c>
      <c r="G16" s="238">
        <v>2.7E-2</v>
      </c>
    </row>
    <row r="17" spans="1:7" ht="17" thickBot="1" x14ac:dyDescent="0.25">
      <c r="A17" s="236" t="s">
        <v>624</v>
      </c>
      <c r="B17" s="239" t="s">
        <v>625</v>
      </c>
      <c r="C17" s="238">
        <v>-1.2E-2</v>
      </c>
      <c r="D17" s="238">
        <v>6.8000000000000005E-2</v>
      </c>
      <c r="E17" s="238">
        <v>-4.0000000000000001E-3</v>
      </c>
      <c r="F17" s="238">
        <v>-2E-3</v>
      </c>
      <c r="G17" s="238">
        <v>1.7000000000000001E-2</v>
      </c>
    </row>
    <row r="18" spans="1:7" ht="17" thickBot="1" x14ac:dyDescent="0.25">
      <c r="A18" s="236" t="s">
        <v>626</v>
      </c>
      <c r="B18" s="237" t="s">
        <v>627</v>
      </c>
      <c r="C18" s="240">
        <v>5.92</v>
      </c>
      <c r="D18" s="240">
        <v>5.3</v>
      </c>
      <c r="E18" s="240">
        <v>8.7100000000000009</v>
      </c>
      <c r="F18" s="240">
        <v>7.79</v>
      </c>
      <c r="G18" s="240">
        <v>7.14</v>
      </c>
    </row>
    <row r="19" spans="1:7" ht="17" thickBot="1" x14ac:dyDescent="0.25">
      <c r="A19" s="236" t="s">
        <v>628</v>
      </c>
      <c r="B19" s="237" t="s">
        <v>629</v>
      </c>
      <c r="C19" s="238">
        <v>-6.6000000000000003E-2</v>
      </c>
      <c r="D19" s="238">
        <v>0.44900000000000001</v>
      </c>
      <c r="E19" s="238">
        <v>-3.5000000000000003E-2</v>
      </c>
      <c r="F19" s="238">
        <v>-1.9E-2</v>
      </c>
      <c r="G19" s="238">
        <v>0.122</v>
      </c>
    </row>
    <row r="20" spans="1:7" ht="17" thickBot="1" x14ac:dyDescent="0.25">
      <c r="A20" s="236" t="s">
        <v>630</v>
      </c>
      <c r="B20" s="237" t="s">
        <v>631</v>
      </c>
      <c r="C20" s="240" t="s">
        <v>617</v>
      </c>
      <c r="D20" s="240">
        <v>1.01</v>
      </c>
      <c r="E20" s="240" t="s">
        <v>617</v>
      </c>
      <c r="F20" s="240" t="s">
        <v>617</v>
      </c>
      <c r="G20" s="240">
        <v>0.85</v>
      </c>
    </row>
    <row r="21" spans="1:7" ht="17" thickBot="1" x14ac:dyDescent="0.25">
      <c r="A21" s="236" t="s">
        <v>632</v>
      </c>
      <c r="B21" s="237" t="s">
        <v>633</v>
      </c>
      <c r="C21" s="238">
        <v>-4.2999999999999997E-2</v>
      </c>
      <c r="D21" s="238">
        <v>0.45300000000000001</v>
      </c>
      <c r="E21" s="238">
        <v>-0.04</v>
      </c>
      <c r="F21" s="238">
        <v>4.0000000000000001E-3</v>
      </c>
      <c r="G21" s="238">
        <v>9.9000000000000005E-2</v>
      </c>
    </row>
    <row r="22" spans="1:7" ht="17" thickBot="1" x14ac:dyDescent="0.25">
      <c r="A22" s="236" t="s">
        <v>634</v>
      </c>
      <c r="B22" s="237" t="s">
        <v>635</v>
      </c>
      <c r="C22" s="240" t="s">
        <v>617</v>
      </c>
      <c r="D22" s="240">
        <v>0.98</v>
      </c>
      <c r="E22" s="240" t="s">
        <v>617</v>
      </c>
      <c r="F22" s="240">
        <v>-15.96</v>
      </c>
      <c r="G22" s="240">
        <v>0.18</v>
      </c>
    </row>
    <row r="23" spans="1:7" ht="17" thickBot="1" x14ac:dyDescent="0.25">
      <c r="A23" s="236" t="s">
        <v>636</v>
      </c>
      <c r="B23" s="239" t="s">
        <v>637</v>
      </c>
      <c r="C23" s="238">
        <v>-8.7999999999999995E-2</v>
      </c>
      <c r="D23" s="238">
        <v>0.443</v>
      </c>
      <c r="E23" s="238">
        <v>-5.8999999999999997E-2</v>
      </c>
      <c r="F23" s="238">
        <v>-6.6000000000000003E-2</v>
      </c>
      <c r="G23" s="238">
        <v>1.7999999999999999E-2</v>
      </c>
    </row>
    <row r="24" spans="1:7" ht="17" thickBot="1" x14ac:dyDescent="0.25">
      <c r="A24" s="234" t="s">
        <v>638</v>
      </c>
      <c r="B24" s="216"/>
      <c r="C24" s="235"/>
      <c r="D24" s="235"/>
      <c r="E24" s="235"/>
      <c r="F24" s="235"/>
      <c r="G24" s="235"/>
    </row>
    <row r="25" spans="1:7" ht="17" thickBot="1" x14ac:dyDescent="0.25">
      <c r="A25" s="236" t="s">
        <v>639</v>
      </c>
      <c r="B25" s="237" t="s">
        <v>640</v>
      </c>
      <c r="C25" s="240">
        <v>1.06</v>
      </c>
      <c r="D25" s="240">
        <v>1.07</v>
      </c>
      <c r="E25" s="240">
        <v>1.0900000000000001</v>
      </c>
      <c r="F25" s="240">
        <v>1.05</v>
      </c>
      <c r="G25" s="240">
        <v>1.08</v>
      </c>
    </row>
    <row r="26" spans="1:7" ht="17" thickBot="1" x14ac:dyDescent="0.25">
      <c r="A26" s="236" t="s">
        <v>641</v>
      </c>
      <c r="B26" s="237" t="s">
        <v>642</v>
      </c>
      <c r="C26" s="240">
        <v>1.2</v>
      </c>
      <c r="D26" s="240">
        <v>1.2</v>
      </c>
      <c r="E26" s="240">
        <v>1.2</v>
      </c>
      <c r="F26" s="240">
        <v>1.1599999999999999</v>
      </c>
      <c r="G26" s="240">
        <v>1.2</v>
      </c>
    </row>
    <row r="27" spans="1:7" ht="17" thickBot="1" x14ac:dyDescent="0.25">
      <c r="A27" s="236" t="s">
        <v>643</v>
      </c>
      <c r="B27" s="239" t="s">
        <v>644</v>
      </c>
      <c r="C27" s="241">
        <v>8.6999999999999993</v>
      </c>
      <c r="D27" s="241">
        <v>1.2</v>
      </c>
      <c r="E27" s="241">
        <v>1.3</v>
      </c>
      <c r="F27" s="241">
        <v>6.4</v>
      </c>
      <c r="G27" s="241">
        <v>3.8</v>
      </c>
    </row>
    <row r="28" spans="1:7" ht="17" thickBot="1" x14ac:dyDescent="0.25">
      <c r="A28" s="236" t="s">
        <v>645</v>
      </c>
      <c r="B28" s="237" t="s">
        <v>646</v>
      </c>
      <c r="C28" s="241">
        <v>85.9</v>
      </c>
      <c r="D28" s="241">
        <v>96.6</v>
      </c>
      <c r="E28" s="241">
        <v>134.1</v>
      </c>
      <c r="F28" s="241">
        <v>125</v>
      </c>
      <c r="G28" s="241">
        <v>118.4</v>
      </c>
    </row>
    <row r="29" spans="1:7" ht="17" thickBot="1" x14ac:dyDescent="0.25">
      <c r="A29" s="234" t="s">
        <v>647</v>
      </c>
      <c r="B29" s="216"/>
      <c r="C29" s="235"/>
      <c r="D29" s="235"/>
      <c r="E29" s="235"/>
      <c r="F29" s="235"/>
      <c r="G29" s="235"/>
    </row>
    <row r="30" spans="1:7" ht="17" thickBot="1" x14ac:dyDescent="0.25">
      <c r="A30" s="236" t="s">
        <v>648</v>
      </c>
      <c r="B30" s="237" t="s">
        <v>627</v>
      </c>
      <c r="C30" s="240">
        <v>5.92</v>
      </c>
      <c r="D30" s="240">
        <v>5.3</v>
      </c>
      <c r="E30" s="240">
        <v>8.7100000000000009</v>
      </c>
      <c r="F30" s="240">
        <v>7.79</v>
      </c>
      <c r="G30" s="240">
        <v>7.14</v>
      </c>
    </row>
    <row r="31" spans="1:7" ht="17" thickBot="1" x14ac:dyDescent="0.25">
      <c r="A31" s="236" t="s">
        <v>649</v>
      </c>
      <c r="B31" s="237" t="s">
        <v>650</v>
      </c>
      <c r="C31" s="240">
        <v>3.21</v>
      </c>
      <c r="D31" s="240">
        <v>2.85</v>
      </c>
      <c r="E31" s="240">
        <v>5.27</v>
      </c>
      <c r="F31" s="240">
        <v>4.68</v>
      </c>
      <c r="G31" s="240">
        <v>4.29</v>
      </c>
    </row>
    <row r="32" spans="1:7" ht="17" thickBot="1" x14ac:dyDescent="0.25">
      <c r="A32" s="236" t="s">
        <v>651</v>
      </c>
      <c r="B32" s="237" t="s">
        <v>652</v>
      </c>
      <c r="C32" s="238">
        <v>0.48799999999999999</v>
      </c>
      <c r="D32" s="238">
        <v>0.47299999999999998</v>
      </c>
      <c r="E32" s="238">
        <v>0.57299999999999995</v>
      </c>
      <c r="F32" s="238">
        <v>0.53800000000000003</v>
      </c>
      <c r="G32" s="238">
        <v>0.52900000000000003</v>
      </c>
    </row>
    <row r="33" spans="1:7" ht="17" thickBot="1" x14ac:dyDescent="0.25">
      <c r="A33" s="236" t="s">
        <v>653</v>
      </c>
      <c r="B33" s="237" t="s">
        <v>654</v>
      </c>
      <c r="C33" s="240">
        <v>4.92</v>
      </c>
      <c r="D33" s="240">
        <v>10.6</v>
      </c>
      <c r="E33" s="240">
        <v>10.67</v>
      </c>
      <c r="F33" s="240">
        <v>7.43</v>
      </c>
      <c r="G33" s="240">
        <v>8.4700000000000006</v>
      </c>
    </row>
    <row r="34" spans="1:7" ht="17" thickBot="1" x14ac:dyDescent="0.25">
      <c r="A34" s="234" t="s">
        <v>655</v>
      </c>
      <c r="B34" s="216"/>
      <c r="C34" s="235"/>
      <c r="D34" s="235"/>
      <c r="E34" s="235"/>
      <c r="F34" s="235"/>
      <c r="G34" s="235"/>
    </row>
    <row r="35" spans="1:7" ht="17" thickBot="1" x14ac:dyDescent="0.25">
      <c r="A35" s="236" t="s">
        <v>656</v>
      </c>
      <c r="B35" s="237" t="s">
        <v>657</v>
      </c>
      <c r="C35" s="241">
        <v>3.2</v>
      </c>
      <c r="D35" s="241">
        <v>2.8</v>
      </c>
      <c r="E35" s="241">
        <v>2.2000000000000002</v>
      </c>
      <c r="F35" s="241">
        <v>2.4</v>
      </c>
      <c r="G35" s="241">
        <v>2.5</v>
      </c>
    </row>
    <row r="36" spans="1:7" ht="17" thickBot="1" x14ac:dyDescent="0.25">
      <c r="A36" s="236" t="s">
        <v>658</v>
      </c>
      <c r="B36" s="237" t="s">
        <v>659</v>
      </c>
      <c r="C36" s="241">
        <v>114.2</v>
      </c>
      <c r="D36" s="241">
        <v>129.69999999999999</v>
      </c>
      <c r="E36" s="241">
        <v>166.2</v>
      </c>
      <c r="F36" s="241">
        <v>150.80000000000001</v>
      </c>
      <c r="G36" s="241">
        <v>146.5</v>
      </c>
    </row>
    <row r="37" spans="1:7" ht="17" thickBot="1" x14ac:dyDescent="0.25">
      <c r="A37" s="236" t="s">
        <v>660</v>
      </c>
      <c r="B37" s="237" t="s">
        <v>661</v>
      </c>
      <c r="C37" s="241">
        <v>10.8</v>
      </c>
      <c r="D37" s="241">
        <v>10.5</v>
      </c>
      <c r="E37" s="241">
        <v>11.2</v>
      </c>
      <c r="F37" s="241">
        <v>13</v>
      </c>
      <c r="G37" s="241">
        <v>13</v>
      </c>
    </row>
    <row r="38" spans="1:7" ht="17" thickBot="1" x14ac:dyDescent="0.25">
      <c r="A38" s="236" t="s">
        <v>662</v>
      </c>
      <c r="B38" s="237" t="s">
        <v>663</v>
      </c>
      <c r="C38" s="241">
        <v>34</v>
      </c>
      <c r="D38" s="241">
        <v>34.9</v>
      </c>
      <c r="E38" s="241">
        <v>32.6</v>
      </c>
      <c r="F38" s="241">
        <v>28.1</v>
      </c>
      <c r="G38" s="241">
        <v>28.1</v>
      </c>
    </row>
    <row r="39" spans="1:7" ht="17" thickBot="1" x14ac:dyDescent="0.25">
      <c r="A39" s="236" t="s">
        <v>664</v>
      </c>
      <c r="B39" s="237" t="s">
        <v>665</v>
      </c>
      <c r="C39" s="241">
        <v>62.3</v>
      </c>
      <c r="D39" s="241">
        <v>68</v>
      </c>
      <c r="E39" s="241">
        <v>64.7</v>
      </c>
      <c r="F39" s="241">
        <v>53.8</v>
      </c>
      <c r="G39" s="241">
        <v>56.3</v>
      </c>
    </row>
    <row r="40" spans="1:7" ht="17" thickBot="1" x14ac:dyDescent="0.25">
      <c r="A40" s="236" t="s">
        <v>666</v>
      </c>
      <c r="B40" s="237" t="s">
        <v>667</v>
      </c>
      <c r="C40" s="240">
        <v>2.5</v>
      </c>
      <c r="D40" s="240">
        <v>2.08</v>
      </c>
      <c r="E40" s="240">
        <v>1.91</v>
      </c>
      <c r="F40" s="240">
        <v>2.35</v>
      </c>
      <c r="G40" s="240">
        <v>2.4900000000000002</v>
      </c>
    </row>
    <row r="41" spans="1:7" ht="17" thickBot="1" x14ac:dyDescent="0.25">
      <c r="A41" s="236" t="s">
        <v>668</v>
      </c>
      <c r="B41" s="239" t="s">
        <v>669</v>
      </c>
      <c r="C41" s="238">
        <v>-1.9E-2</v>
      </c>
      <c r="D41" s="238">
        <v>-1E-3</v>
      </c>
      <c r="E41" s="238">
        <v>2.7E-2</v>
      </c>
      <c r="F41" s="238">
        <v>-1.6E-2</v>
      </c>
      <c r="G41" s="238">
        <v>0</v>
      </c>
    </row>
    <row r="42" spans="1:7" ht="17" thickBot="1" x14ac:dyDescent="0.25">
      <c r="A42" s="236" t="s">
        <v>670</v>
      </c>
      <c r="B42" s="237" t="s">
        <v>671</v>
      </c>
      <c r="C42" s="238">
        <v>2E-3</v>
      </c>
      <c r="D42" s="238">
        <v>1E-3</v>
      </c>
      <c r="E42" s="238">
        <v>2E-3</v>
      </c>
      <c r="F42" s="238">
        <v>1E-3</v>
      </c>
      <c r="G42" s="238">
        <v>1E-3</v>
      </c>
    </row>
    <row r="43" spans="1:7" ht="17" thickBot="1" x14ac:dyDescent="0.25">
      <c r="A43" s="236" t="s">
        <v>672</v>
      </c>
      <c r="B43" s="237" t="s">
        <v>673</v>
      </c>
      <c r="C43" s="238">
        <v>-1.2999999999999999E-2</v>
      </c>
      <c r="D43" s="238">
        <v>0.107</v>
      </c>
      <c r="E43" s="238">
        <v>-8.0000000000000002E-3</v>
      </c>
      <c r="F43" s="238">
        <v>1E-3</v>
      </c>
      <c r="G43" s="238">
        <v>2.1999999999999999E-2</v>
      </c>
    </row>
    <row r="44" spans="1:7" x14ac:dyDescent="0.2">
      <c r="A44" s="236" t="s">
        <v>674</v>
      </c>
      <c r="B44" s="237" t="s">
        <v>673</v>
      </c>
      <c r="C44" s="208" t="s">
        <v>675</v>
      </c>
      <c r="D44" s="208" t="s">
        <v>676</v>
      </c>
      <c r="E44" s="208" t="s">
        <v>677</v>
      </c>
      <c r="F44" s="208" t="s">
        <v>678</v>
      </c>
      <c r="G44" s="208" t="s">
        <v>679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76CA7-CCEF-0743-B0BD-4629BCB872E4}">
  <dimension ref="A1:N291"/>
  <sheetViews>
    <sheetView zoomScale="102" workbookViewId="0">
      <pane xSplit="4" ySplit="4" topLeftCell="F5" activePane="bottomRight" state="frozen"/>
      <selection pane="topRight" activeCell="E1" sqref="E1"/>
      <selection pane="bottomLeft" activeCell="A5" sqref="A5"/>
      <selection pane="bottomRight" activeCell="F5" sqref="F5"/>
    </sheetView>
  </sheetViews>
  <sheetFormatPr baseColWidth="10" defaultColWidth="8.83203125" defaultRowHeight="15" x14ac:dyDescent="0.2"/>
  <cols>
    <col min="1" max="1" width="34.33203125" customWidth="1"/>
    <col min="2" max="4" width="0" hidden="1" customWidth="1"/>
    <col min="5" max="14" width="19" customWidth="1"/>
  </cols>
  <sheetData>
    <row r="1" spans="1:14" ht="20" x14ac:dyDescent="0.2">
      <c r="A1" s="250" t="s">
        <v>680</v>
      </c>
      <c r="B1" s="250"/>
      <c r="C1" s="250"/>
      <c r="D1" s="250"/>
      <c r="E1" s="250"/>
      <c r="F1" s="250"/>
      <c r="G1" s="250"/>
      <c r="H1" s="250"/>
      <c r="I1" s="250"/>
      <c r="J1" s="250"/>
      <c r="K1" s="250"/>
      <c r="L1" s="250"/>
      <c r="M1" s="250"/>
      <c r="N1" s="250"/>
    </row>
    <row r="2" spans="1:14" x14ac:dyDescent="0.2">
      <c r="A2" s="249" t="s">
        <v>681</v>
      </c>
      <c r="B2" s="249"/>
      <c r="C2" s="249"/>
      <c r="D2" s="249"/>
      <c r="E2" s="249"/>
      <c r="F2" s="249"/>
      <c r="G2" s="249"/>
      <c r="H2" s="249"/>
      <c r="I2" s="249"/>
      <c r="J2" s="249"/>
      <c r="K2" s="249"/>
      <c r="L2" s="249"/>
      <c r="M2" s="249"/>
    </row>
    <row r="3" spans="1:14" x14ac:dyDescent="0.2">
      <c r="A3" s="248" t="s">
        <v>682</v>
      </c>
      <c r="B3" s="248"/>
      <c r="C3" s="248"/>
      <c r="D3" s="248"/>
      <c r="E3" s="248" t="s">
        <v>683</v>
      </c>
      <c r="F3" s="248" t="s">
        <v>684</v>
      </c>
      <c r="G3" s="248" t="s">
        <v>685</v>
      </c>
      <c r="H3" s="248" t="s">
        <v>686</v>
      </c>
      <c r="I3" s="248" t="s">
        <v>687</v>
      </c>
      <c r="J3" s="248" t="s">
        <v>688</v>
      </c>
      <c r="K3" s="248" t="s">
        <v>689</v>
      </c>
      <c r="L3" s="248" t="s">
        <v>690</v>
      </c>
      <c r="M3" s="248" t="s">
        <v>691</v>
      </c>
      <c r="N3" s="248" t="s">
        <v>692</v>
      </c>
    </row>
    <row r="4" spans="1:14" x14ac:dyDescent="0.2">
      <c r="A4" s="247" t="s">
        <v>693</v>
      </c>
      <c r="B4" s="247" t="s">
        <v>694</v>
      </c>
      <c r="C4" s="247" t="s">
        <v>695</v>
      </c>
      <c r="D4" s="247" t="s">
        <v>696</v>
      </c>
      <c r="E4" s="246">
        <v>42369</v>
      </c>
      <c r="F4" s="246">
        <v>42735</v>
      </c>
      <c r="G4" s="246">
        <v>43100</v>
      </c>
      <c r="H4" s="246">
        <v>43465</v>
      </c>
      <c r="I4" s="246">
        <v>43830</v>
      </c>
      <c r="J4" s="246">
        <v>44196</v>
      </c>
      <c r="K4" s="246">
        <v>44561</v>
      </c>
      <c r="L4" s="246">
        <v>44926</v>
      </c>
      <c r="M4" s="246">
        <v>45291</v>
      </c>
      <c r="N4" s="246">
        <v>45657</v>
      </c>
    </row>
    <row r="5" spans="1:14" x14ac:dyDescent="0.2">
      <c r="A5" s="245" t="s">
        <v>697</v>
      </c>
      <c r="B5" s="244"/>
      <c r="C5" s="244" t="s">
        <v>698</v>
      </c>
      <c r="D5" s="244"/>
      <c r="E5" s="243"/>
      <c r="F5" s="243"/>
      <c r="G5" s="243"/>
      <c r="H5" s="243"/>
      <c r="I5" s="243"/>
      <c r="J5" s="243"/>
      <c r="K5" s="243"/>
      <c r="L5" s="243"/>
      <c r="M5" s="243"/>
      <c r="N5" s="243"/>
    </row>
    <row r="6" spans="1:14" x14ac:dyDescent="0.2">
      <c r="A6" s="245" t="s">
        <v>699</v>
      </c>
      <c r="B6" s="244" t="s">
        <v>700</v>
      </c>
      <c r="C6" s="244" t="s">
        <v>701</v>
      </c>
      <c r="D6" s="244"/>
      <c r="E6" s="243">
        <v>1.93</v>
      </c>
      <c r="F6" s="243">
        <v>1.76</v>
      </c>
      <c r="G6" s="243">
        <v>1.78</v>
      </c>
      <c r="H6" s="243">
        <v>1.3</v>
      </c>
      <c r="I6" s="243">
        <v>1.19</v>
      </c>
      <c r="J6" s="243">
        <v>0.41</v>
      </c>
      <c r="K6" s="243">
        <v>2.054268</v>
      </c>
      <c r="L6" s="243">
        <v>1.88</v>
      </c>
      <c r="M6" s="243">
        <v>1.8810526315789475</v>
      </c>
      <c r="N6" s="243">
        <v>1.7215</v>
      </c>
    </row>
    <row r="7" spans="1:14" x14ac:dyDescent="0.2">
      <c r="A7" s="245" t="s">
        <v>702</v>
      </c>
      <c r="B7" s="244" t="s">
        <v>703</v>
      </c>
      <c r="C7" s="244"/>
      <c r="D7" s="244"/>
      <c r="E7" s="243">
        <v>140600</v>
      </c>
      <c r="F7" s="243">
        <v>141500</v>
      </c>
      <c r="G7" s="243">
        <v>145700</v>
      </c>
      <c r="H7" s="243">
        <v>148294</v>
      </c>
      <c r="I7" s="243">
        <v>143600</v>
      </c>
      <c r="J7" s="243">
        <v>115885</v>
      </c>
      <c r="K7" s="243">
        <v>126150</v>
      </c>
      <c r="L7" s="243">
        <v>148980</v>
      </c>
      <c r="M7" s="243">
        <v>163988.875</v>
      </c>
      <c r="N7" s="243">
        <v>171398.625</v>
      </c>
    </row>
    <row r="8" spans="1:14" x14ac:dyDescent="0.2">
      <c r="A8" s="245" t="s">
        <v>704</v>
      </c>
      <c r="B8" s="244"/>
      <c r="C8" s="244"/>
      <c r="D8" s="244"/>
      <c r="E8" s="243"/>
      <c r="F8" s="243"/>
      <c r="G8" s="243"/>
      <c r="H8" s="243"/>
      <c r="I8" s="243"/>
      <c r="J8" s="243"/>
      <c r="K8" s="243"/>
      <c r="L8" s="243"/>
      <c r="M8" s="243"/>
      <c r="N8" s="243"/>
    </row>
    <row r="9" spans="1:14" x14ac:dyDescent="0.2">
      <c r="A9" s="245" t="s">
        <v>705</v>
      </c>
      <c r="B9" s="244"/>
      <c r="C9" s="244" t="s">
        <v>706</v>
      </c>
      <c r="D9" s="244"/>
      <c r="E9" s="243"/>
      <c r="F9" s="243"/>
      <c r="G9" s="243"/>
      <c r="H9" s="243"/>
      <c r="I9" s="243"/>
      <c r="J9" s="243"/>
      <c r="K9" s="243"/>
      <c r="L9" s="243"/>
      <c r="M9" s="243"/>
      <c r="N9" s="243"/>
    </row>
    <row r="10" spans="1:14" x14ac:dyDescent="0.2">
      <c r="A10" s="245" t="s">
        <v>707</v>
      </c>
      <c r="B10" s="244" t="s">
        <v>708</v>
      </c>
      <c r="C10" s="244" t="s">
        <v>709</v>
      </c>
      <c r="D10" s="244" t="s">
        <v>710</v>
      </c>
      <c r="E10" s="243" t="s">
        <v>711</v>
      </c>
      <c r="F10" s="243" t="s">
        <v>711</v>
      </c>
      <c r="G10" s="243" t="s">
        <v>711</v>
      </c>
      <c r="H10" s="243" t="s">
        <v>711</v>
      </c>
      <c r="I10" s="243" t="s">
        <v>711</v>
      </c>
      <c r="J10" s="243" t="s">
        <v>711</v>
      </c>
      <c r="K10" s="243">
        <v>80400</v>
      </c>
      <c r="L10" s="243">
        <v>94800</v>
      </c>
      <c r="M10" s="243">
        <v>98769.27210675877</v>
      </c>
      <c r="N10" s="243">
        <v>98998.889318558358</v>
      </c>
    </row>
    <row r="11" spans="1:14" x14ac:dyDescent="0.2">
      <c r="A11" s="245" t="s">
        <v>712</v>
      </c>
      <c r="B11" s="244" t="s">
        <v>708</v>
      </c>
      <c r="C11" s="244" t="s">
        <v>713</v>
      </c>
      <c r="D11" s="244" t="s">
        <v>714</v>
      </c>
      <c r="E11" s="243" t="s">
        <v>711</v>
      </c>
      <c r="F11" s="243" t="s">
        <v>711</v>
      </c>
      <c r="G11" s="243" t="s">
        <v>711</v>
      </c>
      <c r="H11" s="243" t="s">
        <v>711</v>
      </c>
      <c r="I11" s="243" t="s">
        <v>711</v>
      </c>
      <c r="J11" s="243" t="s">
        <v>711</v>
      </c>
      <c r="K11" s="243">
        <v>3100</v>
      </c>
      <c r="L11" s="243">
        <v>5300</v>
      </c>
      <c r="M11" s="243">
        <v>6347.8835468119305</v>
      </c>
      <c r="N11" s="243">
        <v>8898.2544207742976</v>
      </c>
    </row>
    <row r="12" spans="1:14" x14ac:dyDescent="0.2">
      <c r="A12" s="245" t="s">
        <v>715</v>
      </c>
      <c r="B12" s="244" t="s">
        <v>708</v>
      </c>
      <c r="C12" s="244"/>
      <c r="D12" s="244" t="s">
        <v>716</v>
      </c>
      <c r="E12" s="243" t="s">
        <v>711</v>
      </c>
      <c r="F12" s="243" t="s">
        <v>711</v>
      </c>
      <c r="G12" s="243" t="s">
        <v>711</v>
      </c>
      <c r="H12" s="243" t="s">
        <v>711</v>
      </c>
      <c r="I12" s="243" t="s">
        <v>711</v>
      </c>
      <c r="J12" s="243" t="s">
        <v>711</v>
      </c>
      <c r="K12" s="243">
        <v>42600</v>
      </c>
      <c r="L12" s="243">
        <v>48900</v>
      </c>
      <c r="M12" s="243">
        <v>55936.127802979987</v>
      </c>
      <c r="N12" s="243">
        <v>59280.458243510169</v>
      </c>
    </row>
    <row r="13" spans="1:14" x14ac:dyDescent="0.2">
      <c r="A13" s="245" t="s">
        <v>704</v>
      </c>
      <c r="B13" s="244"/>
      <c r="C13" s="244"/>
      <c r="D13" s="244"/>
      <c r="E13" s="243"/>
      <c r="F13" s="243"/>
      <c r="G13" s="243"/>
      <c r="H13" s="243"/>
      <c r="I13" s="243"/>
      <c r="J13" s="243"/>
      <c r="K13" s="243"/>
      <c r="L13" s="243"/>
      <c r="M13" s="243"/>
      <c r="N13" s="243"/>
    </row>
    <row r="14" spans="1:14" x14ac:dyDescent="0.2">
      <c r="A14" s="245" t="s">
        <v>717</v>
      </c>
      <c r="B14" s="244" t="s">
        <v>718</v>
      </c>
      <c r="C14" s="244"/>
      <c r="D14" s="244"/>
      <c r="E14" s="243">
        <v>6635000</v>
      </c>
      <c r="F14" s="243">
        <v>6651000</v>
      </c>
      <c r="G14" s="243">
        <v>6607000</v>
      </c>
      <c r="H14" s="243">
        <v>5982000</v>
      </c>
      <c r="I14" s="243">
        <v>5386000</v>
      </c>
      <c r="J14" s="243">
        <v>4187000</v>
      </c>
      <c r="K14" s="243">
        <v>3942000</v>
      </c>
      <c r="L14" s="243">
        <v>4231000</v>
      </c>
      <c r="M14" s="243">
        <v>4183260.166039723</v>
      </c>
      <c r="N14" s="243">
        <v>4525111.0593626425</v>
      </c>
    </row>
    <row r="15" spans="1:14" x14ac:dyDescent="0.2">
      <c r="A15" s="245" t="s">
        <v>704</v>
      </c>
      <c r="B15" s="244"/>
      <c r="C15" s="244"/>
      <c r="D15" s="244"/>
      <c r="E15" s="243"/>
      <c r="F15" s="243"/>
      <c r="G15" s="243"/>
      <c r="H15" s="243"/>
      <c r="I15" s="243"/>
      <c r="J15" s="243"/>
      <c r="K15" s="243"/>
      <c r="L15" s="243"/>
      <c r="M15" s="243"/>
      <c r="N15" s="243"/>
    </row>
    <row r="16" spans="1:14" x14ac:dyDescent="0.2">
      <c r="A16" s="245" t="s">
        <v>719</v>
      </c>
      <c r="B16" s="244" t="s">
        <v>720</v>
      </c>
      <c r="C16" s="244" t="s">
        <v>721</v>
      </c>
      <c r="D16" s="244"/>
      <c r="E16" s="243">
        <v>21185.531274000001</v>
      </c>
      <c r="F16" s="243">
        <v>21281.912494</v>
      </c>
      <c r="G16" s="243">
        <v>22045.255033000001</v>
      </c>
      <c r="H16" s="243">
        <v>24790.036777000001</v>
      </c>
      <c r="I16" s="243">
        <v>26662.458224999998</v>
      </c>
      <c r="J16" s="243">
        <v>27679.484118</v>
      </c>
      <c r="K16" s="243">
        <v>32001.522069999999</v>
      </c>
      <c r="L16" s="243">
        <v>35211.533916</v>
      </c>
      <c r="M16" s="243">
        <v>35585.530857317928</v>
      </c>
      <c r="N16" s="243">
        <v>34041.23317279364</v>
      </c>
    </row>
    <row r="17" spans="1:14" x14ac:dyDescent="0.2">
      <c r="A17" s="245" t="s">
        <v>704</v>
      </c>
      <c r="B17" s="244"/>
      <c r="C17" s="244"/>
      <c r="D17" s="244"/>
      <c r="E17" s="243"/>
      <c r="F17" s="243"/>
      <c r="G17" s="243"/>
      <c r="H17" s="243"/>
      <c r="I17" s="243"/>
      <c r="J17" s="243"/>
      <c r="K17" s="243"/>
      <c r="L17" s="243"/>
      <c r="M17" s="243"/>
      <c r="N17" s="243"/>
    </row>
    <row r="18" spans="1:14" x14ac:dyDescent="0.2">
      <c r="A18" s="245" t="s">
        <v>722</v>
      </c>
      <c r="B18" s="244" t="s">
        <v>723</v>
      </c>
      <c r="C18" s="244"/>
      <c r="D18" s="244"/>
      <c r="E18" s="243">
        <v>0</v>
      </c>
      <c r="F18" s="243">
        <v>0</v>
      </c>
      <c r="G18" s="243">
        <v>8000</v>
      </c>
      <c r="H18" s="243">
        <v>0</v>
      </c>
      <c r="I18" s="243">
        <v>7400</v>
      </c>
      <c r="J18" s="243">
        <v>7100</v>
      </c>
      <c r="K18" s="243">
        <v>7600</v>
      </c>
      <c r="L18" s="243">
        <v>7800</v>
      </c>
      <c r="M18" s="243">
        <v>7800</v>
      </c>
      <c r="N18" s="243">
        <v>8034</v>
      </c>
    </row>
    <row r="19" spans="1:14" x14ac:dyDescent="0.2">
      <c r="A19" s="245" t="s">
        <v>704</v>
      </c>
      <c r="B19" s="244"/>
      <c r="C19" s="244"/>
      <c r="D19" s="244"/>
      <c r="E19" s="243"/>
      <c r="F19" s="243"/>
      <c r="G19" s="243"/>
      <c r="H19" s="243"/>
      <c r="I19" s="243"/>
      <c r="J19" s="243"/>
      <c r="K19" s="243"/>
      <c r="L19" s="243"/>
      <c r="M19" s="243"/>
      <c r="N19" s="243"/>
    </row>
    <row r="20" spans="1:14" x14ac:dyDescent="0.2">
      <c r="A20" s="245" t="s">
        <v>724</v>
      </c>
      <c r="B20" s="244" t="s">
        <v>725</v>
      </c>
      <c r="C20" s="244"/>
      <c r="D20" s="244" t="s">
        <v>726</v>
      </c>
      <c r="E20" s="243">
        <v>5386</v>
      </c>
      <c r="F20" s="243">
        <v>7820</v>
      </c>
      <c r="G20" s="243">
        <v>8930</v>
      </c>
      <c r="H20" s="243" t="s">
        <v>711</v>
      </c>
      <c r="I20" s="243" t="s">
        <v>711</v>
      </c>
      <c r="J20" s="243" t="s">
        <v>711</v>
      </c>
      <c r="K20" s="243">
        <v>9577</v>
      </c>
      <c r="L20" s="243">
        <v>14741</v>
      </c>
      <c r="M20" s="243">
        <v>15953.238061214728</v>
      </c>
      <c r="N20" s="243">
        <v>16874.109280294226</v>
      </c>
    </row>
    <row r="21" spans="1:14" x14ac:dyDescent="0.2">
      <c r="A21" s="245" t="s">
        <v>727</v>
      </c>
      <c r="B21" s="244" t="s">
        <v>728</v>
      </c>
      <c r="C21" s="244"/>
      <c r="D21" s="244" t="s">
        <v>726</v>
      </c>
      <c r="E21" s="243">
        <v>11060</v>
      </c>
      <c r="F21" s="243">
        <v>13222</v>
      </c>
      <c r="G21" s="243" t="s">
        <v>711</v>
      </c>
      <c r="H21" s="243">
        <v>11233</v>
      </c>
      <c r="I21" s="243">
        <v>13233</v>
      </c>
      <c r="J21" s="243">
        <v>22342</v>
      </c>
      <c r="K21" s="243" t="s">
        <v>711</v>
      </c>
      <c r="L21" s="243">
        <v>19200</v>
      </c>
      <c r="M21" s="243">
        <v>19115.428571428569</v>
      </c>
      <c r="N21" s="243">
        <v>18959</v>
      </c>
    </row>
    <row r="22" spans="1:14" x14ac:dyDescent="0.2">
      <c r="A22" s="245" t="s">
        <v>729</v>
      </c>
      <c r="B22" s="244" t="s">
        <v>730</v>
      </c>
      <c r="C22" s="244"/>
      <c r="D22" s="244"/>
      <c r="E22" s="243">
        <v>-7196</v>
      </c>
      <c r="F22" s="243">
        <v>-6992</v>
      </c>
      <c r="G22" s="243">
        <v>-7049</v>
      </c>
      <c r="H22" s="243">
        <v>-7785</v>
      </c>
      <c r="I22" s="243">
        <v>-7632</v>
      </c>
      <c r="J22" s="243">
        <v>-5742</v>
      </c>
      <c r="K22" s="243">
        <v>-6227</v>
      </c>
      <c r="L22" s="243">
        <v>-6866</v>
      </c>
      <c r="M22" s="243">
        <v>-8253.8571428571431</v>
      </c>
      <c r="N22" s="243">
        <v>-9108.5714285714275</v>
      </c>
    </row>
    <row r="23" spans="1:14" x14ac:dyDescent="0.2">
      <c r="A23" s="245" t="s">
        <v>704</v>
      </c>
      <c r="B23" s="244"/>
      <c r="C23" s="244"/>
      <c r="D23" s="244"/>
      <c r="E23" s="243"/>
      <c r="F23" s="243"/>
      <c r="G23" s="243"/>
      <c r="H23" s="243"/>
      <c r="I23" s="243"/>
      <c r="J23" s="243"/>
      <c r="K23" s="243"/>
      <c r="L23" s="243"/>
      <c r="M23" s="243"/>
      <c r="N23" s="243"/>
    </row>
    <row r="24" spans="1:14" x14ac:dyDescent="0.2">
      <c r="A24" s="245" t="s">
        <v>731</v>
      </c>
      <c r="B24" s="244"/>
      <c r="C24" s="244" t="s">
        <v>732</v>
      </c>
      <c r="D24" s="244"/>
      <c r="E24" s="243"/>
      <c r="F24" s="243"/>
      <c r="G24" s="243"/>
      <c r="H24" s="243"/>
      <c r="I24" s="243"/>
      <c r="J24" s="243"/>
      <c r="K24" s="243"/>
      <c r="L24" s="243"/>
      <c r="M24" s="243"/>
      <c r="N24" s="243"/>
    </row>
    <row r="25" spans="1:14" x14ac:dyDescent="0.2">
      <c r="A25" s="245" t="s">
        <v>704</v>
      </c>
      <c r="B25" s="244"/>
      <c r="C25" s="244"/>
      <c r="D25" s="244"/>
      <c r="E25" s="243"/>
      <c r="F25" s="243"/>
      <c r="G25" s="243"/>
      <c r="H25" s="243"/>
      <c r="I25" s="243"/>
      <c r="J25" s="243"/>
      <c r="K25" s="243"/>
      <c r="L25" s="243"/>
      <c r="M25" s="243"/>
      <c r="N25" s="243"/>
    </row>
    <row r="26" spans="1:14" x14ac:dyDescent="0.2">
      <c r="A26" s="245" t="s">
        <v>733</v>
      </c>
      <c r="B26" s="244"/>
      <c r="C26" s="244" t="s">
        <v>734</v>
      </c>
      <c r="D26" s="244"/>
      <c r="E26" s="243"/>
      <c r="F26" s="243"/>
      <c r="G26" s="243"/>
      <c r="H26" s="243"/>
      <c r="I26" s="243"/>
      <c r="J26" s="243"/>
      <c r="K26" s="243"/>
      <c r="L26" s="243"/>
      <c r="M26" s="243"/>
      <c r="N26" s="243"/>
    </row>
    <row r="27" spans="1:14" x14ac:dyDescent="0.2">
      <c r="A27" s="245" t="s">
        <v>735</v>
      </c>
      <c r="B27" s="244"/>
      <c r="C27" s="244"/>
      <c r="D27" s="244"/>
      <c r="E27" s="243"/>
      <c r="F27" s="243"/>
      <c r="G27" s="243"/>
      <c r="H27" s="243"/>
      <c r="I27" s="243"/>
      <c r="J27" s="243"/>
      <c r="K27" s="243"/>
      <c r="L27" s="243"/>
      <c r="M27" s="243"/>
      <c r="N27" s="243"/>
    </row>
    <row r="28" spans="1:14" x14ac:dyDescent="0.2">
      <c r="A28" s="245" t="s">
        <v>736</v>
      </c>
      <c r="B28" s="244" t="s">
        <v>718</v>
      </c>
      <c r="C28" s="244"/>
      <c r="D28" s="244" t="s">
        <v>737</v>
      </c>
      <c r="E28" s="243">
        <v>2511935</v>
      </c>
      <c r="F28" s="243">
        <v>2502973</v>
      </c>
      <c r="G28" s="243">
        <v>2475556</v>
      </c>
      <c r="H28" s="243">
        <v>2393731</v>
      </c>
      <c r="I28" s="243">
        <v>2310494</v>
      </c>
      <c r="J28" s="243">
        <v>1939334</v>
      </c>
      <c r="K28" s="243">
        <v>1819026</v>
      </c>
      <c r="L28" s="243">
        <v>1780978</v>
      </c>
      <c r="M28" s="243" t="s">
        <v>711</v>
      </c>
      <c r="N28" s="243" t="s">
        <v>711</v>
      </c>
    </row>
    <row r="29" spans="1:14" x14ac:dyDescent="0.2">
      <c r="A29" s="245" t="s">
        <v>738</v>
      </c>
      <c r="B29" s="244" t="s">
        <v>718</v>
      </c>
      <c r="C29" s="244"/>
      <c r="D29" s="244" t="s">
        <v>739</v>
      </c>
      <c r="E29" s="243">
        <v>1011020</v>
      </c>
      <c r="F29" s="243">
        <v>1077006</v>
      </c>
      <c r="G29" s="243">
        <v>1123416</v>
      </c>
      <c r="H29" s="243">
        <v>1139079</v>
      </c>
      <c r="I29" s="243">
        <v>1243136</v>
      </c>
      <c r="J29" s="243">
        <v>1102097</v>
      </c>
      <c r="K29" s="243">
        <v>1011198</v>
      </c>
      <c r="L29" s="243">
        <v>955543</v>
      </c>
      <c r="M29" s="243" t="s">
        <v>711</v>
      </c>
      <c r="N29" s="243" t="s">
        <v>711</v>
      </c>
    </row>
    <row r="30" spans="1:14" x14ac:dyDescent="0.2">
      <c r="A30" s="245" t="s">
        <v>740</v>
      </c>
      <c r="B30" s="244" t="s">
        <v>718</v>
      </c>
      <c r="C30" s="244"/>
      <c r="D30" s="244" t="s">
        <v>741</v>
      </c>
      <c r="E30" s="243">
        <v>780354</v>
      </c>
      <c r="F30" s="243">
        <v>820799</v>
      </c>
      <c r="G30" s="243">
        <v>896764</v>
      </c>
      <c r="H30" s="243">
        <v>909330</v>
      </c>
      <c r="I30" s="243">
        <v>896526</v>
      </c>
      <c r="J30" s="243">
        <v>787422</v>
      </c>
      <c r="K30" s="243">
        <v>726004</v>
      </c>
      <c r="L30" s="243">
        <v>653957</v>
      </c>
      <c r="M30" s="243" t="s">
        <v>711</v>
      </c>
      <c r="N30" s="243" t="s">
        <v>711</v>
      </c>
    </row>
    <row r="31" spans="1:14" x14ac:dyDescent="0.2">
      <c r="A31" s="245" t="s">
        <v>742</v>
      </c>
      <c r="B31" s="244" t="s">
        <v>718</v>
      </c>
      <c r="C31" s="244"/>
      <c r="D31" s="244" t="s">
        <v>743</v>
      </c>
      <c r="E31" s="243" t="s">
        <v>711</v>
      </c>
      <c r="F31" s="243" t="s">
        <v>711</v>
      </c>
      <c r="G31" s="243" t="s">
        <v>711</v>
      </c>
      <c r="H31" s="243" t="s">
        <v>711</v>
      </c>
      <c r="I31" s="243" t="s">
        <v>711</v>
      </c>
      <c r="J31" s="243" t="s">
        <v>711</v>
      </c>
      <c r="K31" s="243" t="s">
        <v>711</v>
      </c>
      <c r="L31" s="243">
        <v>15617</v>
      </c>
      <c r="M31" s="243" t="s">
        <v>711</v>
      </c>
      <c r="N31" s="243" t="s">
        <v>711</v>
      </c>
    </row>
    <row r="32" spans="1:14" x14ac:dyDescent="0.2">
      <c r="A32" s="245" t="s">
        <v>744</v>
      </c>
      <c r="B32" s="244" t="s">
        <v>718</v>
      </c>
      <c r="C32" s="244"/>
      <c r="D32" s="244" t="s">
        <v>745</v>
      </c>
      <c r="E32" s="243">
        <v>117577</v>
      </c>
      <c r="F32" s="243">
        <v>143244</v>
      </c>
      <c r="G32" s="243">
        <v>127360</v>
      </c>
      <c r="H32" s="243">
        <v>137794</v>
      </c>
      <c r="I32" s="243">
        <v>153868</v>
      </c>
      <c r="J32" s="243">
        <v>131556</v>
      </c>
      <c r="K32" s="243">
        <v>99745</v>
      </c>
      <c r="L32" s="243">
        <v>99382</v>
      </c>
      <c r="M32" s="243" t="s">
        <v>711</v>
      </c>
      <c r="N32" s="243" t="s">
        <v>711</v>
      </c>
    </row>
    <row r="33" spans="1:14" x14ac:dyDescent="0.2">
      <c r="A33" s="245" t="s">
        <v>746</v>
      </c>
      <c r="B33" s="244" t="s">
        <v>718</v>
      </c>
      <c r="C33" s="244"/>
      <c r="D33" s="244" t="s">
        <v>747</v>
      </c>
      <c r="E33" s="243" t="s">
        <v>711</v>
      </c>
      <c r="F33" s="243" t="s">
        <v>711</v>
      </c>
      <c r="G33" s="243" t="s">
        <v>711</v>
      </c>
      <c r="H33" s="243" t="s">
        <v>711</v>
      </c>
      <c r="I33" s="243" t="s">
        <v>711</v>
      </c>
      <c r="J33" s="243" t="s">
        <v>711</v>
      </c>
      <c r="K33" s="243" t="s">
        <v>711</v>
      </c>
      <c r="L33" s="243">
        <v>6500</v>
      </c>
      <c r="M33" s="243" t="s">
        <v>711</v>
      </c>
      <c r="N33" s="243" t="s">
        <v>711</v>
      </c>
    </row>
    <row r="34" spans="1:14" x14ac:dyDescent="0.2">
      <c r="A34" s="245" t="s">
        <v>748</v>
      </c>
      <c r="B34" s="244" t="s">
        <v>718</v>
      </c>
      <c r="C34" s="244"/>
      <c r="D34" s="244" t="s">
        <v>749</v>
      </c>
      <c r="E34" s="243" t="s">
        <v>711</v>
      </c>
      <c r="F34" s="243" t="s">
        <v>711</v>
      </c>
      <c r="G34" s="243" t="s">
        <v>711</v>
      </c>
      <c r="H34" s="243">
        <v>0</v>
      </c>
      <c r="I34" s="243">
        <v>89571</v>
      </c>
      <c r="J34" s="243">
        <v>101486</v>
      </c>
      <c r="K34" s="243">
        <v>94755</v>
      </c>
      <c r="L34" s="243">
        <v>57005</v>
      </c>
      <c r="M34" s="243" t="s">
        <v>711</v>
      </c>
      <c r="N34" s="243" t="s">
        <v>711</v>
      </c>
    </row>
    <row r="35" spans="1:14" x14ac:dyDescent="0.2">
      <c r="A35" s="245" t="s">
        <v>750</v>
      </c>
      <c r="B35" s="244" t="s">
        <v>718</v>
      </c>
      <c r="C35" s="244"/>
      <c r="D35" s="244" t="s">
        <v>751</v>
      </c>
      <c r="E35" s="243">
        <v>50788</v>
      </c>
      <c r="F35" s="243">
        <v>54245</v>
      </c>
      <c r="G35" s="243">
        <v>53304</v>
      </c>
      <c r="H35" s="243">
        <v>47936</v>
      </c>
      <c r="I35" s="243">
        <v>45063</v>
      </c>
      <c r="J35" s="243">
        <v>37001</v>
      </c>
      <c r="K35" s="243">
        <v>37122</v>
      </c>
      <c r="L35" s="243">
        <v>32150</v>
      </c>
      <c r="M35" s="243" t="s">
        <v>711</v>
      </c>
      <c r="N35" s="243" t="s">
        <v>711</v>
      </c>
    </row>
    <row r="36" spans="1:14" x14ac:dyDescent="0.2">
      <c r="A36" s="245" t="s">
        <v>752</v>
      </c>
      <c r="B36" s="244" t="s">
        <v>718</v>
      </c>
      <c r="C36" s="244"/>
      <c r="D36" s="244" t="s">
        <v>753</v>
      </c>
      <c r="E36" s="243">
        <v>52221</v>
      </c>
      <c r="F36" s="243">
        <v>43232</v>
      </c>
      <c r="G36" s="243">
        <v>34473</v>
      </c>
      <c r="H36" s="243">
        <v>31923</v>
      </c>
      <c r="I36" s="243">
        <v>41598</v>
      </c>
      <c r="J36" s="243">
        <v>34596</v>
      </c>
      <c r="K36" s="243">
        <v>26112</v>
      </c>
      <c r="L36" s="243">
        <v>25140</v>
      </c>
      <c r="M36" s="243" t="s">
        <v>711</v>
      </c>
      <c r="N36" s="243" t="s">
        <v>711</v>
      </c>
    </row>
    <row r="37" spans="1:14" x14ac:dyDescent="0.2">
      <c r="A37" s="245" t="s">
        <v>754</v>
      </c>
      <c r="B37" s="244" t="s">
        <v>718</v>
      </c>
      <c r="C37" s="244"/>
      <c r="D37" s="244" t="s">
        <v>755</v>
      </c>
      <c r="E37" s="243">
        <v>10080</v>
      </c>
      <c r="F37" s="243">
        <v>15486</v>
      </c>
      <c r="G37" s="243">
        <v>11515</v>
      </c>
      <c r="H37" s="243">
        <v>12096</v>
      </c>
      <c r="I37" s="243">
        <v>16510</v>
      </c>
      <c r="J37" s="243">
        <v>10036</v>
      </c>
      <c r="K37" s="243">
        <v>14202</v>
      </c>
      <c r="L37" s="243">
        <v>13539</v>
      </c>
      <c r="M37" s="243">
        <v>1500000000</v>
      </c>
      <c r="N37" s="243">
        <v>1500000000</v>
      </c>
    </row>
    <row r="38" spans="1:14" x14ac:dyDescent="0.2">
      <c r="A38" s="245" t="s">
        <v>756</v>
      </c>
      <c r="B38" s="244" t="s">
        <v>718</v>
      </c>
      <c r="C38" s="244"/>
      <c r="D38" s="244" t="s">
        <v>757</v>
      </c>
      <c r="E38" s="243" t="s">
        <v>711</v>
      </c>
      <c r="F38" s="243" t="s">
        <v>711</v>
      </c>
      <c r="G38" s="243" t="s">
        <v>711</v>
      </c>
      <c r="H38" s="243" t="s">
        <v>711</v>
      </c>
      <c r="I38" s="243" t="s">
        <v>711</v>
      </c>
      <c r="J38" s="243">
        <v>0</v>
      </c>
      <c r="K38" s="243">
        <v>13258</v>
      </c>
      <c r="L38" s="243">
        <v>74370</v>
      </c>
      <c r="M38" s="243" t="s">
        <v>711</v>
      </c>
      <c r="N38" s="243" t="s">
        <v>711</v>
      </c>
    </row>
    <row r="39" spans="1:14" x14ac:dyDescent="0.2">
      <c r="A39" s="245" t="s">
        <v>758</v>
      </c>
      <c r="B39" s="244" t="s">
        <v>718</v>
      </c>
      <c r="C39" s="244"/>
      <c r="D39" s="244" t="s">
        <v>759</v>
      </c>
      <c r="E39" s="243">
        <v>740876</v>
      </c>
      <c r="F39" s="243">
        <v>772667</v>
      </c>
      <c r="G39" s="243">
        <v>796302</v>
      </c>
      <c r="H39" s="243">
        <v>797238</v>
      </c>
      <c r="I39" s="243">
        <v>742578</v>
      </c>
      <c r="J39" s="243">
        <v>661953</v>
      </c>
      <c r="K39" s="243">
        <v>743490</v>
      </c>
      <c r="L39" s="243">
        <v>777770</v>
      </c>
      <c r="M39" s="243" t="s">
        <v>711</v>
      </c>
      <c r="N39" s="243" t="s">
        <v>711</v>
      </c>
    </row>
    <row r="40" spans="1:14" x14ac:dyDescent="0.2">
      <c r="A40" s="245" t="s">
        <v>760</v>
      </c>
      <c r="B40" s="244" t="s">
        <v>718</v>
      </c>
      <c r="C40" s="244"/>
      <c r="D40" s="244" t="s">
        <v>761</v>
      </c>
      <c r="E40" s="243" t="s">
        <v>711</v>
      </c>
      <c r="F40" s="243" t="s">
        <v>711</v>
      </c>
      <c r="G40" s="243" t="s">
        <v>711</v>
      </c>
      <c r="H40" s="243" t="s">
        <v>711</v>
      </c>
      <c r="I40" s="243" t="s">
        <v>711</v>
      </c>
      <c r="J40" s="243">
        <v>0</v>
      </c>
      <c r="K40" s="243">
        <v>35023</v>
      </c>
      <c r="L40" s="243">
        <v>117057</v>
      </c>
      <c r="M40" s="243" t="s">
        <v>711</v>
      </c>
      <c r="N40" s="243" t="s">
        <v>711</v>
      </c>
    </row>
    <row r="41" spans="1:14" x14ac:dyDescent="0.2">
      <c r="A41" s="245" t="s">
        <v>762</v>
      </c>
      <c r="B41" s="244" t="s">
        <v>718</v>
      </c>
      <c r="C41" s="244"/>
      <c r="D41" s="244" t="s">
        <v>763</v>
      </c>
      <c r="E41" s="243" t="s">
        <v>711</v>
      </c>
      <c r="F41" s="243" t="s">
        <v>711</v>
      </c>
      <c r="G41" s="243" t="s">
        <v>711</v>
      </c>
      <c r="H41" s="243" t="s">
        <v>711</v>
      </c>
      <c r="I41" s="243" t="s">
        <v>711</v>
      </c>
      <c r="J41" s="243">
        <v>5120</v>
      </c>
      <c r="K41" s="243">
        <v>108169</v>
      </c>
      <c r="L41" s="243">
        <v>99547</v>
      </c>
      <c r="M41" s="243" t="s">
        <v>711</v>
      </c>
      <c r="N41" s="243" t="s">
        <v>711</v>
      </c>
    </row>
    <row r="42" spans="1:14" x14ac:dyDescent="0.2">
      <c r="A42" s="245" t="s">
        <v>764</v>
      </c>
      <c r="B42" s="244" t="s">
        <v>718</v>
      </c>
      <c r="C42" s="244"/>
      <c r="D42" s="244" t="s">
        <v>765</v>
      </c>
      <c r="E42" s="243">
        <v>306492</v>
      </c>
      <c r="F42" s="243">
        <v>307069</v>
      </c>
      <c r="G42" s="243">
        <v>308296</v>
      </c>
      <c r="H42" s="243">
        <v>272228</v>
      </c>
      <c r="I42" s="243">
        <v>241388</v>
      </c>
      <c r="J42" s="243">
        <v>178496</v>
      </c>
      <c r="K42" s="243">
        <v>145415</v>
      </c>
      <c r="L42" s="243">
        <v>137370</v>
      </c>
      <c r="M42" s="243" t="s">
        <v>711</v>
      </c>
      <c r="N42" s="243" t="s">
        <v>711</v>
      </c>
    </row>
    <row r="43" spans="1:14" x14ac:dyDescent="0.2">
      <c r="A43" s="245" t="s">
        <v>766</v>
      </c>
      <c r="B43" s="244" t="s">
        <v>718</v>
      </c>
      <c r="C43" s="244"/>
      <c r="D43" s="244" t="s">
        <v>767</v>
      </c>
      <c r="E43" s="243">
        <v>224309</v>
      </c>
      <c r="F43" s="243">
        <v>216294</v>
      </c>
      <c r="G43" s="243">
        <v>238056</v>
      </c>
      <c r="H43" s="243">
        <v>227732</v>
      </c>
      <c r="I43" s="243">
        <v>168309</v>
      </c>
      <c r="J43" s="243">
        <v>226217</v>
      </c>
      <c r="K43" s="243">
        <v>219871</v>
      </c>
      <c r="L43" s="243">
        <v>207673</v>
      </c>
      <c r="M43" s="243" t="s">
        <v>711</v>
      </c>
      <c r="N43" s="243" t="s">
        <v>711</v>
      </c>
    </row>
    <row r="44" spans="1:14" x14ac:dyDescent="0.2">
      <c r="A44" s="245" t="s">
        <v>768</v>
      </c>
      <c r="B44" s="244" t="s">
        <v>718</v>
      </c>
      <c r="C44" s="244"/>
      <c r="D44" s="244" t="s">
        <v>769</v>
      </c>
      <c r="E44" s="243">
        <v>124120</v>
      </c>
      <c r="F44" s="243">
        <v>134588</v>
      </c>
      <c r="G44" s="243">
        <v>142603</v>
      </c>
      <c r="H44" s="243">
        <v>134122</v>
      </c>
      <c r="I44" s="243">
        <v>138515</v>
      </c>
      <c r="J44" s="243">
        <v>108886</v>
      </c>
      <c r="K44" s="243">
        <v>85225</v>
      </c>
      <c r="L44" s="243">
        <v>85465</v>
      </c>
      <c r="M44" s="243" t="s">
        <v>711</v>
      </c>
      <c r="N44" s="243" t="s">
        <v>711</v>
      </c>
    </row>
    <row r="45" spans="1:14" x14ac:dyDescent="0.2">
      <c r="A45" s="245" t="s">
        <v>770</v>
      </c>
      <c r="B45" s="244" t="s">
        <v>718</v>
      </c>
      <c r="C45" s="244"/>
      <c r="D45" s="244" t="s">
        <v>771</v>
      </c>
      <c r="E45" s="243">
        <v>41443</v>
      </c>
      <c r="F45" s="243">
        <v>59835</v>
      </c>
      <c r="G45" s="243">
        <v>51883</v>
      </c>
      <c r="H45" s="243">
        <v>54661</v>
      </c>
      <c r="I45" s="243">
        <v>86422</v>
      </c>
      <c r="J45" s="243">
        <v>77838</v>
      </c>
      <c r="K45" s="243">
        <v>81988</v>
      </c>
      <c r="L45" s="243">
        <v>62007</v>
      </c>
      <c r="M45" s="243" t="s">
        <v>711</v>
      </c>
      <c r="N45" s="243" t="s">
        <v>711</v>
      </c>
    </row>
    <row r="46" spans="1:14" x14ac:dyDescent="0.2">
      <c r="A46" s="245" t="s">
        <v>772</v>
      </c>
      <c r="B46" s="244" t="s">
        <v>718</v>
      </c>
      <c r="C46" s="244"/>
      <c r="D46" s="244" t="s">
        <v>773</v>
      </c>
      <c r="E46" s="243" t="s">
        <v>711</v>
      </c>
      <c r="F46" s="243" t="s">
        <v>711</v>
      </c>
      <c r="G46" s="243">
        <v>0</v>
      </c>
      <c r="H46" s="243">
        <v>54348</v>
      </c>
      <c r="I46" s="243">
        <v>64708</v>
      </c>
      <c r="J46" s="243">
        <v>60545</v>
      </c>
      <c r="K46" s="243">
        <v>40659</v>
      </c>
      <c r="L46" s="243">
        <v>29193</v>
      </c>
      <c r="M46" s="243" t="s">
        <v>711</v>
      </c>
      <c r="N46" s="243" t="s">
        <v>711</v>
      </c>
    </row>
    <row r="47" spans="1:14" x14ac:dyDescent="0.2">
      <c r="A47" s="245" t="s">
        <v>774</v>
      </c>
      <c r="B47" s="244" t="s">
        <v>718</v>
      </c>
      <c r="C47" s="244"/>
      <c r="D47" s="244" t="s">
        <v>775</v>
      </c>
      <c r="E47" s="243">
        <v>19570</v>
      </c>
      <c r="F47" s="243">
        <v>22668</v>
      </c>
      <c r="G47" s="243">
        <v>22389</v>
      </c>
      <c r="H47" s="243">
        <v>20308</v>
      </c>
      <c r="I47" s="243">
        <v>24484</v>
      </c>
      <c r="J47" s="243">
        <v>4848</v>
      </c>
      <c r="K47" s="243">
        <v>0</v>
      </c>
      <c r="L47" s="243">
        <v>0</v>
      </c>
      <c r="M47" s="243" t="s">
        <v>711</v>
      </c>
      <c r="N47" s="243" t="s">
        <v>711</v>
      </c>
    </row>
    <row r="48" spans="1:14" x14ac:dyDescent="0.2">
      <c r="A48" s="245" t="s">
        <v>776</v>
      </c>
      <c r="B48" s="244" t="s">
        <v>718</v>
      </c>
      <c r="C48" s="244"/>
      <c r="D48" s="244" t="s">
        <v>777</v>
      </c>
      <c r="E48" s="243" t="s">
        <v>711</v>
      </c>
      <c r="F48" s="243" t="s">
        <v>711</v>
      </c>
      <c r="G48" s="243" t="s">
        <v>711</v>
      </c>
      <c r="H48" s="243" t="s">
        <v>711</v>
      </c>
      <c r="I48" s="243" t="s">
        <v>711</v>
      </c>
      <c r="J48" s="243">
        <v>3</v>
      </c>
      <c r="K48" s="243">
        <v>27140</v>
      </c>
      <c r="L48" s="243">
        <v>39458</v>
      </c>
      <c r="M48" s="243" t="s">
        <v>711</v>
      </c>
      <c r="N48" s="243" t="s">
        <v>711</v>
      </c>
    </row>
    <row r="49" spans="1:14" x14ac:dyDescent="0.2">
      <c r="A49" s="245" t="s">
        <v>778</v>
      </c>
      <c r="B49" s="244" t="s">
        <v>718</v>
      </c>
      <c r="C49" s="244"/>
      <c r="D49" s="244" t="s">
        <v>779</v>
      </c>
      <c r="E49" s="243">
        <v>9765</v>
      </c>
      <c r="F49" s="243">
        <v>9472</v>
      </c>
      <c r="G49" s="243">
        <v>7994</v>
      </c>
      <c r="H49" s="243">
        <v>7382</v>
      </c>
      <c r="I49" s="243">
        <v>3427</v>
      </c>
      <c r="J49" s="243" t="s">
        <v>711</v>
      </c>
      <c r="K49" s="243" t="s">
        <v>711</v>
      </c>
      <c r="L49" s="243">
        <v>0</v>
      </c>
      <c r="M49" s="243" t="s">
        <v>711</v>
      </c>
      <c r="N49" s="243" t="s">
        <v>711</v>
      </c>
    </row>
    <row r="50" spans="1:14" x14ac:dyDescent="0.2">
      <c r="A50" s="245" t="s">
        <v>780</v>
      </c>
      <c r="B50" s="244" t="s">
        <v>718</v>
      </c>
      <c r="C50" s="244"/>
      <c r="D50" s="244" t="s">
        <v>781</v>
      </c>
      <c r="E50" s="243">
        <v>760039</v>
      </c>
      <c r="F50" s="243">
        <v>653300</v>
      </c>
      <c r="G50" s="243">
        <v>555838</v>
      </c>
      <c r="H50" s="243">
        <v>457414</v>
      </c>
      <c r="I50" s="243">
        <v>324780</v>
      </c>
      <c r="J50" s="243">
        <v>175284</v>
      </c>
      <c r="K50" s="243">
        <v>64338</v>
      </c>
      <c r="L50" s="243">
        <v>47665</v>
      </c>
      <c r="M50" s="243" t="s">
        <v>711</v>
      </c>
      <c r="N50" s="243" t="s">
        <v>711</v>
      </c>
    </row>
    <row r="51" spans="1:14" x14ac:dyDescent="0.2">
      <c r="A51" s="245" t="s">
        <v>782</v>
      </c>
      <c r="B51" s="244" t="s">
        <v>718</v>
      </c>
      <c r="C51" s="244"/>
      <c r="D51" s="244" t="s">
        <v>783</v>
      </c>
      <c r="E51" s="243">
        <v>300170</v>
      </c>
      <c r="F51" s="243">
        <v>265840</v>
      </c>
      <c r="G51" s="243">
        <v>209623</v>
      </c>
      <c r="H51" s="243">
        <v>173600</v>
      </c>
      <c r="I51" s="243">
        <v>166045</v>
      </c>
      <c r="J51" s="243">
        <v>110665</v>
      </c>
      <c r="K51" s="243">
        <v>11781</v>
      </c>
      <c r="L51" s="243">
        <v>0</v>
      </c>
      <c r="M51" s="243" t="s">
        <v>711</v>
      </c>
      <c r="N51" s="243" t="s">
        <v>711</v>
      </c>
    </row>
    <row r="52" spans="1:14" x14ac:dyDescent="0.2">
      <c r="A52" s="245" t="s">
        <v>784</v>
      </c>
      <c r="B52" s="244" t="s">
        <v>718</v>
      </c>
      <c r="C52" s="244"/>
      <c r="D52" s="244" t="s">
        <v>785</v>
      </c>
      <c r="E52" s="243">
        <v>64458</v>
      </c>
      <c r="F52" s="243">
        <v>48807</v>
      </c>
      <c r="G52" s="243">
        <v>46249</v>
      </c>
      <c r="H52" s="243">
        <v>51730</v>
      </c>
      <c r="I52" s="243">
        <v>60148</v>
      </c>
      <c r="J52" s="243">
        <v>3354</v>
      </c>
      <c r="K52" s="243">
        <v>0</v>
      </c>
      <c r="L52" s="243">
        <v>0</v>
      </c>
      <c r="M52" s="243" t="s">
        <v>711</v>
      </c>
      <c r="N52" s="243" t="s">
        <v>711</v>
      </c>
    </row>
    <row r="53" spans="1:14" x14ac:dyDescent="0.2">
      <c r="A53" s="245" t="s">
        <v>786</v>
      </c>
      <c r="B53" s="244" t="s">
        <v>718</v>
      </c>
      <c r="C53" s="244"/>
      <c r="D53" s="244" t="s">
        <v>787</v>
      </c>
      <c r="E53" s="243">
        <v>122349</v>
      </c>
      <c r="F53" s="243">
        <v>105932</v>
      </c>
      <c r="G53" s="243">
        <v>81866</v>
      </c>
      <c r="H53" s="243">
        <v>75842</v>
      </c>
      <c r="I53" s="243">
        <v>72489</v>
      </c>
      <c r="J53" s="243">
        <v>61090</v>
      </c>
      <c r="K53" s="243">
        <v>52414</v>
      </c>
      <c r="L53" s="243">
        <v>47566</v>
      </c>
      <c r="M53" s="243" t="s">
        <v>711</v>
      </c>
      <c r="N53" s="243" t="s">
        <v>711</v>
      </c>
    </row>
    <row r="54" spans="1:14" x14ac:dyDescent="0.2">
      <c r="A54" s="245" t="s">
        <v>788</v>
      </c>
      <c r="B54" s="244" t="s">
        <v>718</v>
      </c>
      <c r="C54" s="244"/>
      <c r="D54" s="244" t="s">
        <v>789</v>
      </c>
      <c r="E54" s="243">
        <v>39051</v>
      </c>
      <c r="F54" s="243">
        <v>34626</v>
      </c>
      <c r="G54" s="243">
        <v>33242</v>
      </c>
      <c r="H54" s="243">
        <v>28706</v>
      </c>
      <c r="I54" s="243">
        <v>9924</v>
      </c>
      <c r="J54" s="243">
        <v>0</v>
      </c>
      <c r="K54" s="243" t="s">
        <v>711</v>
      </c>
      <c r="L54" s="243">
        <v>0</v>
      </c>
      <c r="M54" s="243" t="s">
        <v>711</v>
      </c>
      <c r="N54" s="243" t="s">
        <v>711</v>
      </c>
    </row>
    <row r="55" spans="1:14" x14ac:dyDescent="0.2">
      <c r="A55" s="245" t="s">
        <v>790</v>
      </c>
      <c r="B55" s="244" t="s">
        <v>718</v>
      </c>
      <c r="C55" s="244"/>
      <c r="D55" s="244" t="s">
        <v>791</v>
      </c>
      <c r="E55" s="243">
        <v>202478</v>
      </c>
      <c r="F55" s="243">
        <v>168789</v>
      </c>
      <c r="G55" s="243">
        <v>158385</v>
      </c>
      <c r="H55" s="243">
        <v>113345</v>
      </c>
      <c r="I55" s="243">
        <v>12480</v>
      </c>
      <c r="J55" s="243">
        <v>0</v>
      </c>
      <c r="K55" s="243" t="s">
        <v>711</v>
      </c>
      <c r="L55" s="243">
        <v>0</v>
      </c>
      <c r="M55" s="243" t="s">
        <v>711</v>
      </c>
      <c r="N55" s="243" t="s">
        <v>711</v>
      </c>
    </row>
    <row r="56" spans="1:14" x14ac:dyDescent="0.2">
      <c r="A56" s="245" t="s">
        <v>792</v>
      </c>
      <c r="B56" s="244" t="s">
        <v>718</v>
      </c>
      <c r="C56" s="244"/>
      <c r="D56" s="244" t="s">
        <v>793</v>
      </c>
      <c r="E56" s="243">
        <v>24942</v>
      </c>
      <c r="F56" s="243">
        <v>32213</v>
      </c>
      <c r="G56" s="243">
        <v>33075</v>
      </c>
      <c r="H56" s="243">
        <v>33839</v>
      </c>
      <c r="I56" s="243">
        <v>18752</v>
      </c>
      <c r="J56" s="243" t="s">
        <v>711</v>
      </c>
      <c r="K56" s="243" t="s">
        <v>711</v>
      </c>
      <c r="L56" s="243">
        <v>0</v>
      </c>
      <c r="M56" s="243" t="s">
        <v>711</v>
      </c>
      <c r="N56" s="243" t="s">
        <v>711</v>
      </c>
    </row>
    <row r="57" spans="1:14" x14ac:dyDescent="0.2">
      <c r="A57" s="245" t="s">
        <v>794</v>
      </c>
      <c r="B57" s="244" t="s">
        <v>718</v>
      </c>
      <c r="C57" s="244"/>
      <c r="D57" s="244" t="s">
        <v>795</v>
      </c>
      <c r="E57" s="243" t="s">
        <v>711</v>
      </c>
      <c r="F57" s="243">
        <v>0</v>
      </c>
      <c r="G57" s="243">
        <v>89</v>
      </c>
      <c r="H57" s="243">
        <v>126</v>
      </c>
      <c r="I57" s="243">
        <v>229</v>
      </c>
      <c r="J57" s="243">
        <v>175</v>
      </c>
      <c r="K57" s="243">
        <v>143</v>
      </c>
      <c r="L57" s="243">
        <v>99</v>
      </c>
      <c r="M57" s="243" t="s">
        <v>711</v>
      </c>
      <c r="N57" s="243" t="s">
        <v>711</v>
      </c>
    </row>
    <row r="58" spans="1:14" x14ac:dyDescent="0.2">
      <c r="A58" s="245" t="s">
        <v>796</v>
      </c>
      <c r="B58" s="244" t="s">
        <v>718</v>
      </c>
      <c r="C58" s="244"/>
      <c r="D58" s="244" t="s">
        <v>797</v>
      </c>
      <c r="E58" s="243">
        <v>21768</v>
      </c>
      <c r="F58" s="243">
        <v>19834</v>
      </c>
      <c r="G58" s="243">
        <v>18390</v>
      </c>
      <c r="H58" s="243">
        <v>6683</v>
      </c>
      <c r="I58" s="243">
        <v>38</v>
      </c>
      <c r="J58" s="243">
        <v>0</v>
      </c>
      <c r="K58" s="243" t="s">
        <v>711</v>
      </c>
      <c r="L58" s="243">
        <v>0</v>
      </c>
      <c r="M58" s="243" t="s">
        <v>711</v>
      </c>
      <c r="N58" s="243" t="s">
        <v>711</v>
      </c>
    </row>
    <row r="59" spans="1:14" x14ac:dyDescent="0.2">
      <c r="A59" s="245" t="s">
        <v>798</v>
      </c>
      <c r="B59" s="244" t="s">
        <v>718</v>
      </c>
      <c r="C59" s="244"/>
      <c r="D59" s="244" t="s">
        <v>799</v>
      </c>
      <c r="E59" s="243">
        <v>101227</v>
      </c>
      <c r="F59" s="243">
        <v>111724</v>
      </c>
      <c r="G59" s="243">
        <v>111006</v>
      </c>
      <c r="H59" s="243">
        <v>103587</v>
      </c>
      <c r="I59" s="243">
        <v>112204</v>
      </c>
      <c r="J59" s="243">
        <v>105410</v>
      </c>
      <c r="K59" s="243">
        <v>86929</v>
      </c>
      <c r="L59" s="243">
        <v>83486</v>
      </c>
      <c r="M59" s="243" t="s">
        <v>711</v>
      </c>
      <c r="N59" s="243" t="s">
        <v>711</v>
      </c>
    </row>
    <row r="60" spans="1:14" x14ac:dyDescent="0.2">
      <c r="A60" s="245" t="s">
        <v>758</v>
      </c>
      <c r="B60" s="244" t="s">
        <v>718</v>
      </c>
      <c r="C60" s="244"/>
      <c r="D60" s="244" t="s">
        <v>800</v>
      </c>
      <c r="E60" s="243">
        <v>63449</v>
      </c>
      <c r="F60" s="243">
        <v>70978</v>
      </c>
      <c r="G60" s="243">
        <v>71607</v>
      </c>
      <c r="H60" s="243">
        <v>74977</v>
      </c>
      <c r="I60" s="243">
        <v>87893</v>
      </c>
      <c r="J60" s="243">
        <v>87630</v>
      </c>
      <c r="K60" s="243">
        <v>83788</v>
      </c>
      <c r="L60" s="243">
        <v>83486</v>
      </c>
      <c r="M60" s="243" t="s">
        <v>711</v>
      </c>
      <c r="N60" s="243" t="s">
        <v>711</v>
      </c>
    </row>
    <row r="61" spans="1:14" x14ac:dyDescent="0.2">
      <c r="A61" s="245" t="s">
        <v>801</v>
      </c>
      <c r="B61" s="244" t="s">
        <v>718</v>
      </c>
      <c r="C61" s="244"/>
      <c r="D61" s="244" t="s">
        <v>802</v>
      </c>
      <c r="E61" s="243">
        <v>22199</v>
      </c>
      <c r="F61" s="243">
        <v>30967</v>
      </c>
      <c r="G61" s="243">
        <v>31031</v>
      </c>
      <c r="H61" s="243">
        <v>28573</v>
      </c>
      <c r="I61" s="243">
        <v>31711</v>
      </c>
      <c r="J61" s="243">
        <v>22742</v>
      </c>
      <c r="K61" s="243">
        <v>24443</v>
      </c>
      <c r="L61" s="243">
        <v>20635</v>
      </c>
      <c r="M61" s="243" t="s">
        <v>711</v>
      </c>
      <c r="N61" s="243" t="s">
        <v>711</v>
      </c>
    </row>
    <row r="62" spans="1:14" x14ac:dyDescent="0.2">
      <c r="A62" s="245" t="s">
        <v>803</v>
      </c>
      <c r="B62" s="244" t="s">
        <v>718</v>
      </c>
      <c r="C62" s="244"/>
      <c r="D62" s="244" t="s">
        <v>804</v>
      </c>
      <c r="E62" s="243">
        <v>24590</v>
      </c>
      <c r="F62" s="243">
        <v>25562</v>
      </c>
      <c r="G62" s="243">
        <v>27048</v>
      </c>
      <c r="H62" s="243">
        <v>26241</v>
      </c>
      <c r="I62" s="243">
        <v>25815</v>
      </c>
      <c r="J62" s="243">
        <v>26227</v>
      </c>
      <c r="K62" s="243">
        <v>22790</v>
      </c>
      <c r="L62" s="243">
        <v>27668</v>
      </c>
      <c r="M62" s="243" t="s">
        <v>711</v>
      </c>
      <c r="N62" s="243" t="s">
        <v>711</v>
      </c>
    </row>
    <row r="63" spans="1:14" x14ac:dyDescent="0.2">
      <c r="A63" s="245" t="s">
        <v>805</v>
      </c>
      <c r="B63" s="244" t="s">
        <v>718</v>
      </c>
      <c r="C63" s="244"/>
      <c r="D63" s="244" t="s">
        <v>806</v>
      </c>
      <c r="E63" s="243">
        <v>11964</v>
      </c>
      <c r="F63" s="243">
        <v>10421</v>
      </c>
      <c r="G63" s="243">
        <v>10523</v>
      </c>
      <c r="H63" s="243">
        <v>17839</v>
      </c>
      <c r="I63" s="243">
        <v>18656</v>
      </c>
      <c r="J63" s="243">
        <v>15252</v>
      </c>
      <c r="K63" s="243">
        <v>15631</v>
      </c>
      <c r="L63" s="243">
        <v>13206</v>
      </c>
      <c r="M63" s="243" t="s">
        <v>711</v>
      </c>
      <c r="N63" s="243" t="s">
        <v>711</v>
      </c>
    </row>
    <row r="64" spans="1:14" x14ac:dyDescent="0.2">
      <c r="A64" s="245" t="s">
        <v>807</v>
      </c>
      <c r="B64" s="244" t="s">
        <v>718</v>
      </c>
      <c r="C64" s="244"/>
      <c r="D64" s="244" t="s">
        <v>808</v>
      </c>
      <c r="E64" s="243" t="s">
        <v>711</v>
      </c>
      <c r="F64" s="243" t="s">
        <v>711</v>
      </c>
      <c r="G64" s="243" t="s">
        <v>711</v>
      </c>
      <c r="H64" s="243">
        <v>0</v>
      </c>
      <c r="I64" s="243">
        <v>8323</v>
      </c>
      <c r="J64" s="243">
        <v>23080</v>
      </c>
      <c r="K64" s="243">
        <v>20924</v>
      </c>
      <c r="L64" s="243">
        <v>21977</v>
      </c>
      <c r="M64" s="243" t="s">
        <v>711</v>
      </c>
      <c r="N64" s="243" t="s">
        <v>711</v>
      </c>
    </row>
    <row r="65" spans="1:14" x14ac:dyDescent="0.2">
      <c r="A65" s="245" t="s">
        <v>809</v>
      </c>
      <c r="B65" s="244" t="s">
        <v>718</v>
      </c>
      <c r="C65" s="244"/>
      <c r="D65" s="244" t="s">
        <v>810</v>
      </c>
      <c r="E65" s="243">
        <v>4696</v>
      </c>
      <c r="F65" s="243">
        <v>4028</v>
      </c>
      <c r="G65" s="243">
        <v>3005</v>
      </c>
      <c r="H65" s="243">
        <v>2324</v>
      </c>
      <c r="I65" s="243">
        <v>3388</v>
      </c>
      <c r="J65" s="243">
        <v>329</v>
      </c>
      <c r="K65" s="243">
        <v>0</v>
      </c>
      <c r="L65" s="243">
        <v>0</v>
      </c>
      <c r="M65" s="243" t="s">
        <v>711</v>
      </c>
      <c r="N65" s="243" t="s">
        <v>711</v>
      </c>
    </row>
    <row r="66" spans="1:14" x14ac:dyDescent="0.2">
      <c r="A66" s="245" t="s">
        <v>780</v>
      </c>
      <c r="B66" s="244" t="s">
        <v>718</v>
      </c>
      <c r="C66" s="244"/>
      <c r="D66" s="244" t="s">
        <v>811</v>
      </c>
      <c r="E66" s="243">
        <v>37778</v>
      </c>
      <c r="F66" s="243">
        <v>40746</v>
      </c>
      <c r="G66" s="243">
        <v>39552</v>
      </c>
      <c r="H66" s="243">
        <v>28610</v>
      </c>
      <c r="I66" s="243">
        <v>24311</v>
      </c>
      <c r="J66" s="243">
        <v>17780</v>
      </c>
      <c r="K66" s="243">
        <v>3141</v>
      </c>
      <c r="L66" s="243">
        <v>0</v>
      </c>
      <c r="M66" s="243" t="s">
        <v>711</v>
      </c>
      <c r="N66" s="243" t="s">
        <v>711</v>
      </c>
    </row>
    <row r="67" spans="1:14" x14ac:dyDescent="0.2">
      <c r="A67" s="245" t="s">
        <v>812</v>
      </c>
      <c r="B67" s="244" t="s">
        <v>718</v>
      </c>
      <c r="C67" s="244"/>
      <c r="D67" s="244" t="s">
        <v>813</v>
      </c>
      <c r="E67" s="243">
        <v>30901</v>
      </c>
      <c r="F67" s="243">
        <v>30534</v>
      </c>
      <c r="G67" s="243">
        <v>27387</v>
      </c>
      <c r="H67" s="243">
        <v>19852</v>
      </c>
      <c r="I67" s="243">
        <v>17725</v>
      </c>
      <c r="J67" s="243">
        <v>12518</v>
      </c>
      <c r="K67" s="243">
        <v>1681</v>
      </c>
      <c r="L67" s="243">
        <v>0</v>
      </c>
      <c r="M67" s="243" t="s">
        <v>711</v>
      </c>
      <c r="N67" s="243" t="s">
        <v>711</v>
      </c>
    </row>
    <row r="68" spans="1:14" x14ac:dyDescent="0.2">
      <c r="A68" s="245" t="s">
        <v>814</v>
      </c>
      <c r="B68" s="244" t="s">
        <v>718</v>
      </c>
      <c r="C68" s="244"/>
      <c r="D68" s="244" t="s">
        <v>815</v>
      </c>
      <c r="E68" s="243">
        <v>0</v>
      </c>
      <c r="F68" s="243">
        <v>5261</v>
      </c>
      <c r="G68" s="243">
        <v>12012</v>
      </c>
      <c r="H68" s="243">
        <v>8758</v>
      </c>
      <c r="I68" s="243">
        <v>6586</v>
      </c>
      <c r="J68" s="243">
        <v>5262</v>
      </c>
      <c r="K68" s="243">
        <v>1460</v>
      </c>
      <c r="L68" s="243">
        <v>0</v>
      </c>
      <c r="M68" s="243" t="s">
        <v>711</v>
      </c>
      <c r="N68" s="243" t="s">
        <v>711</v>
      </c>
    </row>
    <row r="69" spans="1:14" x14ac:dyDescent="0.2">
      <c r="A69" s="245" t="s">
        <v>704</v>
      </c>
      <c r="B69" s="244"/>
      <c r="C69" s="244"/>
      <c r="D69" s="244"/>
      <c r="E69" s="243"/>
      <c r="F69" s="243"/>
      <c r="G69" s="243"/>
      <c r="H69" s="243"/>
      <c r="I69" s="243"/>
      <c r="J69" s="243"/>
      <c r="K69" s="243"/>
      <c r="L69" s="243"/>
      <c r="M69" s="243"/>
      <c r="N69" s="243"/>
    </row>
    <row r="70" spans="1:14" x14ac:dyDescent="0.2">
      <c r="A70" s="245" t="s">
        <v>816</v>
      </c>
      <c r="B70" s="244"/>
      <c r="C70" s="244"/>
      <c r="D70" s="244"/>
      <c r="E70" s="243"/>
      <c r="F70" s="243"/>
      <c r="G70" s="243"/>
      <c r="H70" s="243"/>
      <c r="I70" s="243"/>
      <c r="J70" s="243"/>
      <c r="K70" s="243"/>
      <c r="L70" s="243"/>
      <c r="M70" s="243"/>
      <c r="N70" s="243"/>
    </row>
    <row r="71" spans="1:14" x14ac:dyDescent="0.2">
      <c r="A71" s="245" t="s">
        <v>717</v>
      </c>
      <c r="B71" s="244" t="s">
        <v>718</v>
      </c>
      <c r="C71" s="244" t="s">
        <v>817</v>
      </c>
      <c r="D71" s="244"/>
      <c r="E71" s="243">
        <v>6635000</v>
      </c>
      <c r="F71" s="243">
        <v>6651000</v>
      </c>
      <c r="G71" s="243">
        <v>6607000</v>
      </c>
      <c r="H71" s="243">
        <v>5982000</v>
      </c>
      <c r="I71" s="243">
        <v>5386000</v>
      </c>
      <c r="J71" s="243">
        <v>4187000</v>
      </c>
      <c r="K71" s="243">
        <v>3942000</v>
      </c>
      <c r="L71" s="243">
        <v>4231000</v>
      </c>
      <c r="M71" s="243">
        <v>4183260.166039723</v>
      </c>
      <c r="N71" s="243">
        <v>4525111.0593626425</v>
      </c>
    </row>
    <row r="72" spans="1:14" x14ac:dyDescent="0.2">
      <c r="A72" s="245" t="s">
        <v>818</v>
      </c>
      <c r="B72" s="244" t="s">
        <v>718</v>
      </c>
      <c r="C72" s="244"/>
      <c r="D72" s="244" t="s">
        <v>819</v>
      </c>
      <c r="E72" s="243">
        <v>3073000</v>
      </c>
      <c r="F72" s="243">
        <v>3030697</v>
      </c>
      <c r="G72" s="243">
        <v>2967000</v>
      </c>
      <c r="H72" s="243">
        <v>2920000</v>
      </c>
      <c r="I72" s="243">
        <v>2754000</v>
      </c>
      <c r="J72" s="243">
        <v>2070000</v>
      </c>
      <c r="K72" s="243">
        <v>2006000</v>
      </c>
      <c r="L72" s="243">
        <v>2335000</v>
      </c>
      <c r="M72" s="243">
        <v>2277980.5499238074</v>
      </c>
      <c r="N72" s="243">
        <v>2413772.6781139714</v>
      </c>
    </row>
    <row r="73" spans="1:14" x14ac:dyDescent="0.2">
      <c r="A73" s="245" t="s">
        <v>820</v>
      </c>
      <c r="B73" s="244" t="s">
        <v>718</v>
      </c>
      <c r="C73" s="244"/>
      <c r="D73" s="244" t="s">
        <v>821</v>
      </c>
      <c r="E73" s="243">
        <v>1653000</v>
      </c>
      <c r="F73" s="243">
        <v>2111000</v>
      </c>
      <c r="G73" s="243">
        <v>1582000</v>
      </c>
      <c r="H73" s="243">
        <v>1533000</v>
      </c>
      <c r="I73" s="243">
        <v>2087000</v>
      </c>
      <c r="J73" s="243">
        <v>1439000</v>
      </c>
      <c r="K73" s="243">
        <v>890000</v>
      </c>
      <c r="L73" s="243">
        <v>1014000</v>
      </c>
      <c r="M73" s="243">
        <v>1060747.2954284961</v>
      </c>
      <c r="N73" s="243">
        <v>1111265.2678996203</v>
      </c>
    </row>
    <row r="74" spans="1:14" x14ac:dyDescent="0.2">
      <c r="A74" s="245" t="s">
        <v>822</v>
      </c>
      <c r="B74" s="244" t="s">
        <v>718</v>
      </c>
      <c r="C74" s="244"/>
      <c r="D74" s="244" t="s">
        <v>823</v>
      </c>
      <c r="E74" s="243">
        <v>1160000</v>
      </c>
      <c r="F74" s="243">
        <v>1167000</v>
      </c>
      <c r="G74" s="243">
        <v>1235000</v>
      </c>
      <c r="H74" s="243">
        <v>732000</v>
      </c>
      <c r="I74" s="243">
        <v>535000</v>
      </c>
      <c r="J74" s="243">
        <v>617000</v>
      </c>
      <c r="K74" s="243">
        <v>830000</v>
      </c>
      <c r="L74" s="243">
        <v>495000</v>
      </c>
      <c r="M74" s="243">
        <v>498490.00837204</v>
      </c>
      <c r="N74" s="243">
        <v>546870.14416302904</v>
      </c>
    </row>
    <row r="75" spans="1:14" x14ac:dyDescent="0.2">
      <c r="A75" s="245" t="s">
        <v>824</v>
      </c>
      <c r="B75" s="244" t="s">
        <v>718</v>
      </c>
      <c r="C75" s="244"/>
      <c r="D75" s="244" t="s">
        <v>825</v>
      </c>
      <c r="E75" s="243">
        <v>344000</v>
      </c>
      <c r="F75" s="243">
        <v>303000</v>
      </c>
      <c r="G75" s="243">
        <v>373000</v>
      </c>
      <c r="H75" s="243">
        <v>365000</v>
      </c>
      <c r="I75" s="243">
        <v>265000</v>
      </c>
      <c r="J75" s="243">
        <v>166000</v>
      </c>
      <c r="K75" s="243">
        <v>80000</v>
      </c>
      <c r="L75" s="243">
        <v>83000</v>
      </c>
      <c r="M75" s="243">
        <v>82630.020235179807</v>
      </c>
      <c r="N75" s="243">
        <v>84896.377211187515</v>
      </c>
    </row>
    <row r="76" spans="1:14" x14ac:dyDescent="0.2">
      <c r="A76" s="245" t="s">
        <v>826</v>
      </c>
      <c r="B76" s="244" t="s">
        <v>718</v>
      </c>
      <c r="C76" s="244"/>
      <c r="D76" s="244" t="s">
        <v>827</v>
      </c>
      <c r="E76" s="243" t="s">
        <v>711</v>
      </c>
      <c r="F76" s="243" t="s">
        <v>711</v>
      </c>
      <c r="G76" s="243" t="s">
        <v>711</v>
      </c>
      <c r="H76" s="243">
        <v>483000</v>
      </c>
      <c r="I76" s="243">
        <v>401000</v>
      </c>
      <c r="J76" s="243">
        <v>284000</v>
      </c>
      <c r="K76" s="243">
        <v>136000</v>
      </c>
      <c r="L76" s="243">
        <v>304000</v>
      </c>
      <c r="M76" s="243">
        <v>308282.82508557814</v>
      </c>
      <c r="N76" s="243">
        <v>308272.98068954103</v>
      </c>
    </row>
    <row r="77" spans="1:14" x14ac:dyDescent="0.2">
      <c r="A77" s="245" t="s">
        <v>704</v>
      </c>
      <c r="B77" s="244"/>
      <c r="C77" s="244"/>
      <c r="D77" s="244"/>
      <c r="E77" s="243"/>
      <c r="F77" s="243"/>
      <c r="G77" s="243"/>
      <c r="H77" s="243"/>
      <c r="I77" s="243"/>
      <c r="J77" s="243"/>
      <c r="K77" s="243"/>
      <c r="L77" s="243"/>
      <c r="M77" s="243"/>
      <c r="N77" s="243"/>
    </row>
    <row r="78" spans="1:14" x14ac:dyDescent="0.2">
      <c r="A78" s="245" t="s">
        <v>828</v>
      </c>
      <c r="B78" s="244"/>
      <c r="C78" s="244"/>
      <c r="D78" s="244"/>
      <c r="E78" s="243"/>
      <c r="F78" s="243"/>
      <c r="G78" s="243"/>
      <c r="H78" s="243"/>
      <c r="I78" s="243"/>
      <c r="J78" s="243"/>
      <c r="K78" s="243"/>
      <c r="L78" s="243"/>
      <c r="M78" s="243"/>
      <c r="N78" s="243"/>
    </row>
    <row r="79" spans="1:14" x14ac:dyDescent="0.2">
      <c r="A79" s="245" t="s">
        <v>818</v>
      </c>
      <c r="B79" s="244" t="s">
        <v>829</v>
      </c>
      <c r="C79" s="244"/>
      <c r="D79" s="244" t="s">
        <v>819</v>
      </c>
      <c r="E79" s="243">
        <v>9573</v>
      </c>
      <c r="F79" s="243">
        <v>9382</v>
      </c>
      <c r="G79" s="243">
        <v>8057</v>
      </c>
      <c r="H79" s="243">
        <v>7607</v>
      </c>
      <c r="I79" s="243">
        <v>6612</v>
      </c>
      <c r="J79" s="243">
        <v>3710</v>
      </c>
      <c r="K79" s="243">
        <v>7377</v>
      </c>
      <c r="L79" s="243">
        <v>9176</v>
      </c>
      <c r="M79" s="243">
        <v>9259.8053691260047</v>
      </c>
      <c r="N79" s="243">
        <v>9645.8298596985751</v>
      </c>
    </row>
    <row r="80" spans="1:14" x14ac:dyDescent="0.2">
      <c r="A80" s="245" t="s">
        <v>820</v>
      </c>
      <c r="B80" s="244" t="s">
        <v>829</v>
      </c>
      <c r="C80" s="244"/>
      <c r="D80" s="244" t="s">
        <v>821</v>
      </c>
      <c r="E80" s="243">
        <v>350</v>
      </c>
      <c r="F80" s="243">
        <v>1318</v>
      </c>
      <c r="G80" s="243">
        <v>367</v>
      </c>
      <c r="H80" s="243">
        <v>-211</v>
      </c>
      <c r="I80" s="243">
        <v>-47</v>
      </c>
      <c r="J80" s="243">
        <v>-851</v>
      </c>
      <c r="K80" s="243">
        <v>-154</v>
      </c>
      <c r="L80" s="243">
        <v>47</v>
      </c>
      <c r="M80" s="243">
        <v>439.95082632585991</v>
      </c>
      <c r="N80" s="243">
        <v>584.10323411625041</v>
      </c>
    </row>
    <row r="81" spans="1:14" x14ac:dyDescent="0.2">
      <c r="A81" s="245" t="s">
        <v>822</v>
      </c>
      <c r="B81" s="244" t="s">
        <v>829</v>
      </c>
      <c r="C81" s="244"/>
      <c r="D81" s="244" t="s">
        <v>823</v>
      </c>
      <c r="E81" s="243" t="s">
        <v>711</v>
      </c>
      <c r="F81" s="243" t="s">
        <v>711</v>
      </c>
      <c r="G81" s="243" t="s">
        <v>711</v>
      </c>
      <c r="H81" s="243">
        <v>-1545</v>
      </c>
      <c r="I81" s="243">
        <v>-771</v>
      </c>
      <c r="J81" s="243">
        <v>-499</v>
      </c>
      <c r="K81" s="243">
        <v>-327</v>
      </c>
      <c r="L81" s="243">
        <v>-572</v>
      </c>
      <c r="M81" s="243">
        <v>-556.24425105857324</v>
      </c>
      <c r="N81" s="243">
        <v>-402.09204999251779</v>
      </c>
    </row>
    <row r="82" spans="1:14" x14ac:dyDescent="0.2">
      <c r="A82" s="245" t="s">
        <v>704</v>
      </c>
      <c r="B82" s="244"/>
      <c r="C82" s="244"/>
      <c r="D82" s="244"/>
      <c r="E82" s="243"/>
      <c r="F82" s="243"/>
      <c r="G82" s="243"/>
      <c r="H82" s="243"/>
      <c r="I82" s="243"/>
      <c r="J82" s="243"/>
      <c r="K82" s="243"/>
      <c r="L82" s="243"/>
      <c r="M82" s="243"/>
      <c r="N82" s="243"/>
    </row>
    <row r="83" spans="1:14" x14ac:dyDescent="0.2">
      <c r="A83" s="245" t="s">
        <v>830</v>
      </c>
      <c r="B83" s="244"/>
      <c r="C83" s="244"/>
      <c r="D83" s="244"/>
      <c r="E83" s="243"/>
      <c r="F83" s="243"/>
      <c r="G83" s="243"/>
      <c r="H83" s="243"/>
      <c r="I83" s="243"/>
      <c r="J83" s="243"/>
      <c r="K83" s="243"/>
      <c r="L83" s="243"/>
      <c r="M83" s="243"/>
      <c r="N83" s="243"/>
    </row>
    <row r="84" spans="1:14" x14ac:dyDescent="0.2">
      <c r="A84" s="245" t="s">
        <v>831</v>
      </c>
      <c r="B84" s="244" t="s">
        <v>832</v>
      </c>
      <c r="C84" s="244"/>
      <c r="D84" s="244" t="s">
        <v>833</v>
      </c>
      <c r="E84" s="243" t="s">
        <v>711</v>
      </c>
      <c r="F84" s="243" t="s">
        <v>711</v>
      </c>
      <c r="G84" s="243" t="s">
        <v>711</v>
      </c>
      <c r="H84" s="243">
        <v>651000</v>
      </c>
      <c r="I84" s="243">
        <v>462000</v>
      </c>
      <c r="J84" s="243">
        <v>564000</v>
      </c>
      <c r="K84" s="243">
        <v>633000</v>
      </c>
      <c r="L84" s="243">
        <v>484000</v>
      </c>
      <c r="M84" s="243" t="s">
        <v>711</v>
      </c>
      <c r="N84" s="243" t="s">
        <v>711</v>
      </c>
    </row>
    <row r="85" spans="1:14" x14ac:dyDescent="0.2">
      <c r="A85" s="245" t="s">
        <v>834</v>
      </c>
      <c r="B85" s="244"/>
      <c r="C85" s="244" t="s">
        <v>835</v>
      </c>
      <c r="D85" s="244"/>
      <c r="E85" s="243"/>
      <c r="F85" s="243"/>
      <c r="G85" s="243"/>
      <c r="H85" s="243"/>
      <c r="I85" s="243"/>
      <c r="J85" s="243"/>
      <c r="K85" s="243"/>
      <c r="L85" s="243"/>
      <c r="M85" s="243"/>
      <c r="N85" s="243"/>
    </row>
    <row r="86" spans="1:14" x14ac:dyDescent="0.2">
      <c r="A86" s="245" t="s">
        <v>836</v>
      </c>
      <c r="B86" s="244"/>
      <c r="C86" s="244"/>
      <c r="D86" s="244"/>
      <c r="E86" s="243"/>
      <c r="F86" s="243"/>
      <c r="G86" s="243"/>
      <c r="H86" s="243"/>
      <c r="I86" s="243"/>
      <c r="J86" s="243"/>
      <c r="K86" s="243"/>
      <c r="L86" s="243"/>
      <c r="M86" s="243"/>
      <c r="N86" s="243"/>
    </row>
    <row r="87" spans="1:14" x14ac:dyDescent="0.2">
      <c r="A87" s="245" t="s">
        <v>837</v>
      </c>
      <c r="B87" s="244" t="s">
        <v>708</v>
      </c>
      <c r="C87" s="244"/>
      <c r="D87" s="244" t="s">
        <v>710</v>
      </c>
      <c r="E87" s="243" t="s">
        <v>711</v>
      </c>
      <c r="F87" s="243" t="s">
        <v>711</v>
      </c>
      <c r="G87" s="243" t="s">
        <v>711</v>
      </c>
      <c r="H87" s="243" t="s">
        <v>711</v>
      </c>
      <c r="I87" s="243" t="s">
        <v>711</v>
      </c>
      <c r="J87" s="243" t="s">
        <v>711</v>
      </c>
      <c r="K87" s="243">
        <v>80400</v>
      </c>
      <c r="L87" s="243">
        <v>94800</v>
      </c>
      <c r="M87" s="243">
        <v>98769.27210675877</v>
      </c>
      <c r="N87" s="243">
        <v>98998.889318558358</v>
      </c>
    </row>
    <row r="88" spans="1:14" x14ac:dyDescent="0.2">
      <c r="A88" s="245" t="s">
        <v>838</v>
      </c>
      <c r="B88" s="244" t="s">
        <v>839</v>
      </c>
      <c r="C88" s="244"/>
      <c r="D88" s="244" t="s">
        <v>710</v>
      </c>
      <c r="E88" s="243" t="s">
        <v>711</v>
      </c>
      <c r="F88" s="243" t="s">
        <v>711</v>
      </c>
      <c r="G88" s="243" t="s">
        <v>711</v>
      </c>
      <c r="H88" s="243" t="s">
        <v>711</v>
      </c>
      <c r="I88" s="243" t="s">
        <v>711</v>
      </c>
      <c r="J88" s="243" t="s">
        <v>711</v>
      </c>
      <c r="K88" s="243" t="s">
        <v>711</v>
      </c>
      <c r="L88" s="243" t="s">
        <v>711</v>
      </c>
      <c r="M88" s="243">
        <v>7713.5159720195588</v>
      </c>
      <c r="N88" s="243">
        <v>6937.7813674675426</v>
      </c>
    </row>
    <row r="89" spans="1:14" x14ac:dyDescent="0.2">
      <c r="A89" s="245" t="s">
        <v>840</v>
      </c>
      <c r="B89" s="244" t="s">
        <v>841</v>
      </c>
      <c r="C89" s="244"/>
      <c r="D89" s="244" t="s">
        <v>710</v>
      </c>
      <c r="E89" s="243" t="s">
        <v>711</v>
      </c>
      <c r="F89" s="243" t="s">
        <v>711</v>
      </c>
      <c r="G89" s="243" t="s">
        <v>711</v>
      </c>
      <c r="H89" s="243" t="s">
        <v>711</v>
      </c>
      <c r="I89" s="243" t="s">
        <v>711</v>
      </c>
      <c r="J89" s="243" t="s">
        <v>711</v>
      </c>
      <c r="K89" s="243">
        <v>4.0999999999999996</v>
      </c>
      <c r="L89" s="243">
        <v>7.2</v>
      </c>
      <c r="M89" s="243">
        <v>7.8909444877656396</v>
      </c>
      <c r="N89" s="243">
        <v>7.1494407133219982</v>
      </c>
    </row>
    <row r="90" spans="1:14" x14ac:dyDescent="0.2">
      <c r="A90" s="245" t="s">
        <v>842</v>
      </c>
      <c r="B90" s="244" t="s">
        <v>718</v>
      </c>
      <c r="C90" s="244"/>
      <c r="D90" s="244" t="s">
        <v>710</v>
      </c>
      <c r="E90" s="243" t="s">
        <v>711</v>
      </c>
      <c r="F90" s="243" t="s">
        <v>711</v>
      </c>
      <c r="G90" s="243" t="s">
        <v>711</v>
      </c>
      <c r="H90" s="243" t="s">
        <v>711</v>
      </c>
      <c r="I90" s="243" t="s">
        <v>711</v>
      </c>
      <c r="J90" s="243" t="s">
        <v>711</v>
      </c>
      <c r="K90" s="243">
        <v>2694000</v>
      </c>
      <c r="L90" s="243">
        <v>2834000</v>
      </c>
      <c r="M90" s="243">
        <v>2844976.7637865916</v>
      </c>
      <c r="N90" s="243">
        <v>2938829.5442049494</v>
      </c>
    </row>
    <row r="91" spans="1:14" x14ac:dyDescent="0.2">
      <c r="A91" s="245" t="s">
        <v>843</v>
      </c>
      <c r="B91" s="244"/>
      <c r="C91" s="244"/>
      <c r="D91" s="244"/>
      <c r="E91" s="243"/>
      <c r="F91" s="243"/>
      <c r="G91" s="243"/>
      <c r="H91" s="243"/>
      <c r="I91" s="243"/>
      <c r="J91" s="243"/>
      <c r="K91" s="243"/>
      <c r="L91" s="243"/>
      <c r="M91" s="243"/>
      <c r="N91" s="243"/>
    </row>
    <row r="92" spans="1:14" x14ac:dyDescent="0.2">
      <c r="A92" s="245" t="s">
        <v>837</v>
      </c>
      <c r="B92" s="244" t="s">
        <v>708</v>
      </c>
      <c r="C92" s="244"/>
      <c r="D92" s="244" t="s">
        <v>714</v>
      </c>
      <c r="E92" s="243" t="s">
        <v>711</v>
      </c>
      <c r="F92" s="243" t="s">
        <v>711</v>
      </c>
      <c r="G92" s="243" t="s">
        <v>711</v>
      </c>
      <c r="H92" s="243" t="s">
        <v>711</v>
      </c>
      <c r="I92" s="243" t="s">
        <v>711</v>
      </c>
      <c r="J92" s="243" t="s">
        <v>711</v>
      </c>
      <c r="K92" s="243">
        <v>3100</v>
      </c>
      <c r="L92" s="243">
        <v>5300</v>
      </c>
      <c r="M92" s="243">
        <v>6347.8835468119305</v>
      </c>
      <c r="N92" s="243">
        <v>8898.2544207742976</v>
      </c>
    </row>
    <row r="93" spans="1:14" x14ac:dyDescent="0.2">
      <c r="A93" s="245" t="s">
        <v>838</v>
      </c>
      <c r="B93" s="244" t="s">
        <v>839</v>
      </c>
      <c r="C93" s="244"/>
      <c r="D93" s="244" t="s">
        <v>714</v>
      </c>
      <c r="E93" s="243" t="s">
        <v>711</v>
      </c>
      <c r="F93" s="243" t="s">
        <v>711</v>
      </c>
      <c r="G93" s="243" t="s">
        <v>711</v>
      </c>
      <c r="H93" s="243" t="s">
        <v>711</v>
      </c>
      <c r="I93" s="243" t="s">
        <v>711</v>
      </c>
      <c r="J93" s="243" t="s">
        <v>711</v>
      </c>
      <c r="K93" s="243" t="s">
        <v>711</v>
      </c>
      <c r="L93" s="243" t="s">
        <v>711</v>
      </c>
      <c r="M93" s="243">
        <v>-4352.0862740990278</v>
      </c>
      <c r="N93" s="243">
        <v>-4524.6592620850897</v>
      </c>
    </row>
    <row r="94" spans="1:14" x14ac:dyDescent="0.2">
      <c r="A94" s="245" t="s">
        <v>840</v>
      </c>
      <c r="B94" s="244" t="s">
        <v>841</v>
      </c>
      <c r="C94" s="244"/>
      <c r="D94" s="244" t="s">
        <v>714</v>
      </c>
      <c r="E94" s="243" t="s">
        <v>711</v>
      </c>
      <c r="F94" s="243" t="s">
        <v>711</v>
      </c>
      <c r="G94" s="243" t="s">
        <v>711</v>
      </c>
      <c r="H94" s="243" t="s">
        <v>711</v>
      </c>
      <c r="I94" s="243" t="s">
        <v>711</v>
      </c>
      <c r="J94" s="243" t="s">
        <v>711</v>
      </c>
      <c r="K94" s="243">
        <v>-28.8</v>
      </c>
      <c r="L94" s="243">
        <v>-40.6</v>
      </c>
      <c r="M94" s="243">
        <v>-66.135196881233412</v>
      </c>
      <c r="N94" s="243">
        <v>-54.708725594198157</v>
      </c>
    </row>
    <row r="95" spans="1:14" x14ac:dyDescent="0.2">
      <c r="A95" s="245" t="s">
        <v>842</v>
      </c>
      <c r="B95" s="244" t="s">
        <v>718</v>
      </c>
      <c r="C95" s="244"/>
      <c r="D95" s="244" t="s">
        <v>714</v>
      </c>
      <c r="E95" s="243" t="s">
        <v>711</v>
      </c>
      <c r="F95" s="243" t="s">
        <v>711</v>
      </c>
      <c r="G95" s="243" t="s">
        <v>711</v>
      </c>
      <c r="H95" s="243" t="s">
        <v>711</v>
      </c>
      <c r="I95" s="243" t="s">
        <v>711</v>
      </c>
      <c r="J95" s="243" t="s">
        <v>711</v>
      </c>
      <c r="K95" s="243">
        <v>61000</v>
      </c>
      <c r="L95" s="243">
        <v>96000</v>
      </c>
      <c r="M95" s="243">
        <v>119943.18486831069</v>
      </c>
      <c r="N95" s="243">
        <v>161807.81962555059</v>
      </c>
    </row>
    <row r="96" spans="1:14" x14ac:dyDescent="0.2">
      <c r="A96" s="245" t="s">
        <v>844</v>
      </c>
      <c r="B96" s="244"/>
      <c r="C96" s="244"/>
      <c r="D96" s="244"/>
      <c r="E96" s="243"/>
      <c r="F96" s="243"/>
      <c r="G96" s="243"/>
      <c r="H96" s="243"/>
      <c r="I96" s="243"/>
      <c r="J96" s="243"/>
      <c r="K96" s="243"/>
      <c r="L96" s="243"/>
      <c r="M96" s="243"/>
      <c r="N96" s="243"/>
    </row>
    <row r="97" spans="1:14" x14ac:dyDescent="0.2">
      <c r="A97" s="245" t="s">
        <v>837</v>
      </c>
      <c r="B97" s="244" t="s">
        <v>708</v>
      </c>
      <c r="C97" s="244"/>
      <c r="D97" s="244" t="s">
        <v>716</v>
      </c>
      <c r="E97" s="243" t="s">
        <v>711</v>
      </c>
      <c r="F97" s="243" t="s">
        <v>711</v>
      </c>
      <c r="G97" s="243" t="s">
        <v>711</v>
      </c>
      <c r="H97" s="243" t="s">
        <v>711</v>
      </c>
      <c r="I97" s="243" t="s">
        <v>711</v>
      </c>
      <c r="J97" s="243" t="s">
        <v>711</v>
      </c>
      <c r="K97" s="243">
        <v>42600</v>
      </c>
      <c r="L97" s="243">
        <v>48900</v>
      </c>
      <c r="M97" s="243">
        <v>55936.127802979987</v>
      </c>
      <c r="N97" s="243">
        <v>59280.458243510169</v>
      </c>
    </row>
    <row r="98" spans="1:14" x14ac:dyDescent="0.2">
      <c r="A98" s="245" t="s">
        <v>838</v>
      </c>
      <c r="B98" s="244" t="s">
        <v>839</v>
      </c>
      <c r="C98" s="244"/>
      <c r="D98" s="244" t="s">
        <v>716</v>
      </c>
      <c r="E98" s="243" t="s">
        <v>711</v>
      </c>
      <c r="F98" s="243" t="s">
        <v>711</v>
      </c>
      <c r="G98" s="243" t="s">
        <v>711</v>
      </c>
      <c r="H98" s="243" t="s">
        <v>711</v>
      </c>
      <c r="I98" s="243" t="s">
        <v>711</v>
      </c>
      <c r="J98" s="243" t="s">
        <v>711</v>
      </c>
      <c r="K98" s="243" t="s">
        <v>711</v>
      </c>
      <c r="L98" s="243" t="s">
        <v>711</v>
      </c>
      <c r="M98" s="243">
        <v>6803.025058524071</v>
      </c>
      <c r="N98" s="243">
        <v>6654.6894344882585</v>
      </c>
    </row>
    <row r="99" spans="1:14" x14ac:dyDescent="0.2">
      <c r="A99" s="245" t="s">
        <v>840</v>
      </c>
      <c r="B99" s="244" t="s">
        <v>841</v>
      </c>
      <c r="C99" s="244"/>
      <c r="D99" s="244" t="s">
        <v>716</v>
      </c>
      <c r="E99" s="243" t="s">
        <v>711</v>
      </c>
      <c r="F99" s="243" t="s">
        <v>711</v>
      </c>
      <c r="G99" s="243" t="s">
        <v>711</v>
      </c>
      <c r="H99" s="243" t="s">
        <v>711</v>
      </c>
      <c r="I99" s="243" t="s">
        <v>711</v>
      </c>
      <c r="J99" s="243" t="s">
        <v>711</v>
      </c>
      <c r="K99" s="243">
        <v>6.2</v>
      </c>
      <c r="L99" s="243">
        <v>6.6000000000000005</v>
      </c>
      <c r="M99" s="243">
        <v>12.348745111563019</v>
      </c>
      <c r="N99" s="243">
        <v>11.691684088212165</v>
      </c>
    </row>
    <row r="100" spans="1:14" x14ac:dyDescent="0.2">
      <c r="A100" s="245" t="s">
        <v>842</v>
      </c>
      <c r="B100" s="244" t="s">
        <v>718</v>
      </c>
      <c r="C100" s="244"/>
      <c r="D100" s="244" t="s">
        <v>716</v>
      </c>
      <c r="E100" s="243" t="s">
        <v>711</v>
      </c>
      <c r="F100" s="243" t="s">
        <v>711</v>
      </c>
      <c r="G100" s="243" t="s">
        <v>711</v>
      </c>
      <c r="H100" s="243" t="s">
        <v>711</v>
      </c>
      <c r="I100" s="243" t="s">
        <v>711</v>
      </c>
      <c r="J100" s="243" t="s">
        <v>711</v>
      </c>
      <c r="K100" s="243">
        <v>1187000</v>
      </c>
      <c r="L100" s="243">
        <v>1301000</v>
      </c>
      <c r="M100" s="243">
        <v>1326934.4957404784</v>
      </c>
      <c r="N100" s="243">
        <v>1439032.9304178311</v>
      </c>
    </row>
    <row r="101" spans="1:14" x14ac:dyDescent="0.2">
      <c r="A101" s="245" t="s">
        <v>845</v>
      </c>
      <c r="B101" s="244"/>
      <c r="C101" s="244"/>
      <c r="D101" s="244"/>
      <c r="E101" s="243"/>
      <c r="F101" s="243"/>
      <c r="G101" s="243"/>
      <c r="H101" s="243"/>
      <c r="I101" s="243"/>
      <c r="J101" s="243"/>
      <c r="K101" s="243"/>
      <c r="L101" s="243"/>
      <c r="M101" s="243"/>
      <c r="N101" s="243"/>
    </row>
    <row r="102" spans="1:14" x14ac:dyDescent="0.2">
      <c r="A102" s="245" t="s">
        <v>837</v>
      </c>
      <c r="B102" s="244" t="s">
        <v>708</v>
      </c>
      <c r="C102" s="244"/>
      <c r="D102" s="244" t="s">
        <v>846</v>
      </c>
      <c r="E102" s="243" t="s">
        <v>711</v>
      </c>
      <c r="F102" s="243" t="s">
        <v>711</v>
      </c>
      <c r="G102" s="243" t="s">
        <v>711</v>
      </c>
      <c r="H102" s="243" t="s">
        <v>711</v>
      </c>
      <c r="I102" s="243" t="s">
        <v>711</v>
      </c>
      <c r="J102" s="243" t="s">
        <v>711</v>
      </c>
      <c r="K102" s="243">
        <v>100</v>
      </c>
      <c r="L102" s="243">
        <v>100</v>
      </c>
      <c r="M102" s="243" t="s">
        <v>711</v>
      </c>
      <c r="N102" s="243" t="s">
        <v>711</v>
      </c>
    </row>
    <row r="103" spans="1:14" x14ac:dyDescent="0.2">
      <c r="A103" s="245" t="s">
        <v>838</v>
      </c>
      <c r="B103" s="244" t="s">
        <v>839</v>
      </c>
      <c r="C103" s="244"/>
      <c r="D103" s="244" t="s">
        <v>846</v>
      </c>
      <c r="E103" s="243" t="s">
        <v>711</v>
      </c>
      <c r="F103" s="243" t="s">
        <v>711</v>
      </c>
      <c r="G103" s="243" t="s">
        <v>711</v>
      </c>
      <c r="H103" s="243" t="s">
        <v>711</v>
      </c>
      <c r="I103" s="243" t="s">
        <v>711</v>
      </c>
      <c r="J103" s="243" t="s">
        <v>711</v>
      </c>
      <c r="K103" s="243" t="s">
        <v>711</v>
      </c>
      <c r="L103" s="243" t="s">
        <v>711</v>
      </c>
      <c r="M103" s="243" t="s">
        <v>711</v>
      </c>
      <c r="N103" s="243" t="s">
        <v>711</v>
      </c>
    </row>
    <row r="104" spans="1:14" x14ac:dyDescent="0.2">
      <c r="A104" s="245" t="s">
        <v>847</v>
      </c>
      <c r="B104" s="244"/>
      <c r="C104" s="244"/>
      <c r="D104" s="244"/>
      <c r="E104" s="243"/>
      <c r="F104" s="243"/>
      <c r="G104" s="243"/>
      <c r="H104" s="243"/>
      <c r="I104" s="243"/>
      <c r="J104" s="243"/>
      <c r="K104" s="243"/>
      <c r="L104" s="243"/>
      <c r="M104" s="243"/>
      <c r="N104" s="243"/>
    </row>
    <row r="105" spans="1:14" x14ac:dyDescent="0.2">
      <c r="A105" s="245" t="s">
        <v>837</v>
      </c>
      <c r="B105" s="244" t="s">
        <v>708</v>
      </c>
      <c r="C105" s="244"/>
      <c r="D105" s="244" t="s">
        <v>848</v>
      </c>
      <c r="E105" s="243">
        <v>8992</v>
      </c>
      <c r="F105" s="243">
        <v>10253</v>
      </c>
      <c r="G105" s="243">
        <v>11113</v>
      </c>
      <c r="H105" s="243">
        <v>12018</v>
      </c>
      <c r="I105" s="243">
        <v>12260</v>
      </c>
      <c r="J105" s="243">
        <v>11203</v>
      </c>
      <c r="K105" s="243">
        <v>10100</v>
      </c>
      <c r="L105" s="243">
        <v>9000</v>
      </c>
      <c r="M105" s="243">
        <v>9984.4546062016434</v>
      </c>
      <c r="N105" s="243">
        <v>10601.656240545739</v>
      </c>
    </row>
    <row r="106" spans="1:14" x14ac:dyDescent="0.2">
      <c r="A106" s="245" t="s">
        <v>838</v>
      </c>
      <c r="B106" s="244" t="s">
        <v>839</v>
      </c>
      <c r="C106" s="244"/>
      <c r="D106" s="244" t="s">
        <v>848</v>
      </c>
      <c r="E106" s="243" t="s">
        <v>711</v>
      </c>
      <c r="F106" s="243" t="s">
        <v>711</v>
      </c>
      <c r="G106" s="243" t="s">
        <v>711</v>
      </c>
      <c r="H106" s="243" t="s">
        <v>711</v>
      </c>
      <c r="I106" s="243" t="s">
        <v>711</v>
      </c>
      <c r="J106" s="243" t="s">
        <v>711</v>
      </c>
      <c r="K106" s="243" t="s">
        <v>711</v>
      </c>
      <c r="L106" s="243" t="s">
        <v>711</v>
      </c>
      <c r="M106" s="243">
        <v>1337.898832769818</v>
      </c>
      <c r="N106" s="243">
        <v>1355.5031721413795</v>
      </c>
    </row>
    <row r="107" spans="1:14" x14ac:dyDescent="0.2">
      <c r="A107" s="245" t="s">
        <v>704</v>
      </c>
      <c r="B107" s="244"/>
      <c r="C107" s="244"/>
      <c r="D107" s="244"/>
      <c r="E107" s="243"/>
      <c r="F107" s="243"/>
      <c r="G107" s="243"/>
      <c r="H107" s="243"/>
      <c r="I107" s="243"/>
      <c r="J107" s="243"/>
      <c r="K107" s="243"/>
      <c r="L107" s="243"/>
      <c r="M107" s="243"/>
      <c r="N107" s="243"/>
    </row>
    <row r="108" spans="1:14" x14ac:dyDescent="0.2">
      <c r="A108" s="245" t="s">
        <v>849</v>
      </c>
      <c r="B108" s="244"/>
      <c r="C108" s="244" t="s">
        <v>706</v>
      </c>
      <c r="D108" s="244"/>
      <c r="E108" s="243"/>
      <c r="F108" s="243"/>
      <c r="G108" s="243"/>
      <c r="H108" s="243"/>
      <c r="I108" s="243"/>
      <c r="J108" s="243"/>
      <c r="K108" s="243"/>
      <c r="L108" s="243"/>
      <c r="M108" s="243"/>
      <c r="N108" s="243"/>
    </row>
    <row r="109" spans="1:14" x14ac:dyDescent="0.2">
      <c r="A109" s="245" t="s">
        <v>850</v>
      </c>
      <c r="B109" s="244" t="s">
        <v>708</v>
      </c>
      <c r="C109" s="244"/>
      <c r="D109" s="244" t="s">
        <v>726</v>
      </c>
      <c r="E109" s="243">
        <v>140600</v>
      </c>
      <c r="F109" s="243">
        <v>141546</v>
      </c>
      <c r="G109" s="243">
        <v>145653.00000000003</v>
      </c>
      <c r="H109" s="243">
        <v>148294</v>
      </c>
      <c r="I109" s="243">
        <v>143600</v>
      </c>
      <c r="J109" s="243">
        <v>115894</v>
      </c>
      <c r="K109" s="243">
        <v>126200</v>
      </c>
      <c r="L109" s="243">
        <v>149000</v>
      </c>
      <c r="M109" s="243">
        <v>163606.32911372502</v>
      </c>
      <c r="N109" s="243">
        <v>170470.59690273862</v>
      </c>
    </row>
    <row r="110" spans="1:14" x14ac:dyDescent="0.2">
      <c r="A110" s="245" t="s">
        <v>851</v>
      </c>
      <c r="B110" s="244" t="s">
        <v>708</v>
      </c>
      <c r="C110" s="244" t="s">
        <v>709</v>
      </c>
      <c r="D110" s="244" t="s">
        <v>848</v>
      </c>
      <c r="E110" s="243">
        <v>8992</v>
      </c>
      <c r="F110" s="243">
        <v>10253</v>
      </c>
      <c r="G110" s="243">
        <v>11113</v>
      </c>
      <c r="H110" s="243">
        <v>12018</v>
      </c>
      <c r="I110" s="243">
        <v>12260</v>
      </c>
      <c r="J110" s="243">
        <v>11203</v>
      </c>
      <c r="K110" s="243">
        <v>10100</v>
      </c>
      <c r="L110" s="243">
        <v>9000</v>
      </c>
      <c r="M110" s="243">
        <v>9984.4546062016434</v>
      </c>
      <c r="N110" s="243">
        <v>10601.656240545739</v>
      </c>
    </row>
    <row r="111" spans="1:14" x14ac:dyDescent="0.2">
      <c r="A111" s="245" t="s">
        <v>852</v>
      </c>
      <c r="B111" s="244" t="s">
        <v>708</v>
      </c>
      <c r="C111" s="244" t="s">
        <v>713</v>
      </c>
      <c r="D111" s="244" t="s">
        <v>853</v>
      </c>
      <c r="E111" s="243" t="s">
        <v>711</v>
      </c>
      <c r="F111" s="243" t="s">
        <v>711</v>
      </c>
      <c r="G111" s="243">
        <v>10</v>
      </c>
      <c r="H111" s="243">
        <v>26</v>
      </c>
      <c r="I111" s="243">
        <v>40</v>
      </c>
      <c r="J111" s="243">
        <v>47</v>
      </c>
      <c r="K111" s="243">
        <v>118</v>
      </c>
      <c r="L111" s="243">
        <v>99</v>
      </c>
      <c r="M111" s="243">
        <v>22.25</v>
      </c>
      <c r="N111" s="243">
        <v>23</v>
      </c>
    </row>
    <row r="112" spans="1:14" x14ac:dyDescent="0.2">
      <c r="A112" s="245" t="s">
        <v>704</v>
      </c>
      <c r="B112" s="244"/>
      <c r="C112" s="244"/>
      <c r="D112" s="244"/>
      <c r="E112" s="243"/>
      <c r="F112" s="243"/>
      <c r="G112" s="243"/>
      <c r="H112" s="243"/>
      <c r="I112" s="243"/>
      <c r="J112" s="243"/>
      <c r="K112" s="243"/>
      <c r="L112" s="243"/>
      <c r="M112" s="243"/>
      <c r="N112" s="243"/>
    </row>
    <row r="113" spans="1:14" x14ac:dyDescent="0.2">
      <c r="A113" s="245" t="s">
        <v>854</v>
      </c>
      <c r="B113" s="244"/>
      <c r="C113" s="244" t="s">
        <v>855</v>
      </c>
      <c r="D113" s="244"/>
      <c r="E113" s="243"/>
      <c r="F113" s="243"/>
      <c r="G113" s="243"/>
      <c r="H113" s="243"/>
      <c r="I113" s="243"/>
      <c r="J113" s="243"/>
      <c r="K113" s="243"/>
      <c r="L113" s="243"/>
      <c r="M113" s="243"/>
      <c r="N113" s="243"/>
    </row>
    <row r="114" spans="1:14" x14ac:dyDescent="0.2">
      <c r="A114" s="245" t="s">
        <v>850</v>
      </c>
      <c r="B114" s="244" t="s">
        <v>829</v>
      </c>
      <c r="C114" s="244"/>
      <c r="D114" s="244" t="s">
        <v>726</v>
      </c>
      <c r="E114" s="243">
        <v>9995</v>
      </c>
      <c r="F114" s="243">
        <v>10050</v>
      </c>
      <c r="G114" s="243">
        <v>8084</v>
      </c>
      <c r="H114" s="243">
        <v>5421</v>
      </c>
      <c r="I114" s="243">
        <v>4926</v>
      </c>
      <c r="J114" s="243">
        <v>1706</v>
      </c>
      <c r="K114" s="243">
        <v>7397</v>
      </c>
      <c r="L114" s="243">
        <v>9692</v>
      </c>
      <c r="M114" s="243">
        <v>9913.908282602928</v>
      </c>
      <c r="N114" s="243">
        <v>9363.5225015498308</v>
      </c>
    </row>
    <row r="115" spans="1:14" x14ac:dyDescent="0.2">
      <c r="A115" s="245" t="s">
        <v>856</v>
      </c>
      <c r="B115" s="244" t="s">
        <v>857</v>
      </c>
      <c r="C115" s="244"/>
      <c r="D115" s="244" t="s">
        <v>726</v>
      </c>
      <c r="E115" s="243">
        <v>6.8</v>
      </c>
      <c r="F115" s="243">
        <v>5.7</v>
      </c>
      <c r="G115" s="243">
        <v>3.7</v>
      </c>
      <c r="H115" s="243">
        <v>3.7</v>
      </c>
      <c r="I115" s="243">
        <v>3.4</v>
      </c>
      <c r="J115" s="243">
        <v>1.5</v>
      </c>
      <c r="K115" s="243">
        <v>5.9</v>
      </c>
      <c r="L115" s="243">
        <v>6.5</v>
      </c>
      <c r="M115" s="243">
        <v>6.7427038678419153</v>
      </c>
      <c r="N115" s="243">
        <v>6.9244123519352732</v>
      </c>
    </row>
    <row r="116" spans="1:14" x14ac:dyDescent="0.2">
      <c r="A116" s="245" t="s">
        <v>858</v>
      </c>
      <c r="B116" s="244" t="s">
        <v>829</v>
      </c>
      <c r="C116" s="244" t="s">
        <v>859</v>
      </c>
      <c r="D116" s="244" t="s">
        <v>860</v>
      </c>
      <c r="E116" s="243">
        <v>-452</v>
      </c>
      <c r="F116" s="243">
        <v>-498</v>
      </c>
      <c r="G116" s="243">
        <v>-457</v>
      </c>
      <c r="H116" s="243">
        <v>-373</v>
      </c>
      <c r="I116" s="243">
        <v>-359</v>
      </c>
      <c r="J116" s="243">
        <v>-726</v>
      </c>
      <c r="K116" s="243">
        <v>1200</v>
      </c>
      <c r="L116" s="243">
        <v>700.00000000000011</v>
      </c>
      <c r="M116" s="243">
        <v>-1479.5</v>
      </c>
      <c r="N116" s="243">
        <v>-1100</v>
      </c>
    </row>
    <row r="117" spans="1:14" x14ac:dyDescent="0.2">
      <c r="A117" s="245" t="s">
        <v>851</v>
      </c>
      <c r="B117" s="244" t="s">
        <v>861</v>
      </c>
      <c r="C117" s="244" t="s">
        <v>709</v>
      </c>
      <c r="D117" s="244" t="s">
        <v>848</v>
      </c>
      <c r="E117" s="243">
        <v>2029</v>
      </c>
      <c r="F117" s="243">
        <v>1820</v>
      </c>
      <c r="G117" s="243">
        <v>2248</v>
      </c>
      <c r="H117" s="243">
        <v>2627</v>
      </c>
      <c r="I117" s="243">
        <v>2998</v>
      </c>
      <c r="J117" s="243">
        <v>2608</v>
      </c>
      <c r="K117" s="243">
        <v>4717</v>
      </c>
      <c r="L117" s="243">
        <v>2657</v>
      </c>
      <c r="M117" s="243" t="s">
        <v>711</v>
      </c>
      <c r="N117" s="243" t="s">
        <v>711</v>
      </c>
    </row>
    <row r="118" spans="1:14" x14ac:dyDescent="0.2">
      <c r="A118" s="245" t="s">
        <v>852</v>
      </c>
      <c r="B118" s="244" t="s">
        <v>829</v>
      </c>
      <c r="C118" s="244" t="s">
        <v>713</v>
      </c>
      <c r="D118" s="244" t="s">
        <v>853</v>
      </c>
      <c r="E118" s="243">
        <v>0</v>
      </c>
      <c r="F118" s="243">
        <v>-117</v>
      </c>
      <c r="G118" s="243">
        <v>-299</v>
      </c>
      <c r="H118" s="243">
        <v>-674</v>
      </c>
      <c r="I118" s="243">
        <v>-1186</v>
      </c>
      <c r="J118" s="243">
        <v>-1052</v>
      </c>
      <c r="K118" s="243">
        <v>-1030</v>
      </c>
      <c r="L118" s="243">
        <v>-926</v>
      </c>
      <c r="M118" s="243" t="s">
        <v>711</v>
      </c>
      <c r="N118" s="243" t="s">
        <v>711</v>
      </c>
    </row>
    <row r="119" spans="1:14" x14ac:dyDescent="0.2">
      <c r="A119" s="245" t="s">
        <v>704</v>
      </c>
      <c r="B119" s="244"/>
      <c r="C119" s="244"/>
      <c r="D119" s="244"/>
      <c r="E119" s="243"/>
      <c r="F119" s="243"/>
      <c r="G119" s="243"/>
      <c r="H119" s="243"/>
      <c r="I119" s="243"/>
      <c r="J119" s="243"/>
      <c r="K119" s="243"/>
      <c r="L119" s="243"/>
      <c r="M119" s="243"/>
      <c r="N119" s="243"/>
    </row>
    <row r="120" spans="1:14" x14ac:dyDescent="0.2">
      <c r="A120" s="245" t="s">
        <v>862</v>
      </c>
      <c r="B120" s="244"/>
      <c r="C120" s="244"/>
      <c r="D120" s="244"/>
      <c r="E120" s="243"/>
      <c r="F120" s="243"/>
      <c r="G120" s="243"/>
      <c r="H120" s="243"/>
      <c r="I120" s="243"/>
      <c r="J120" s="243"/>
      <c r="K120" s="243"/>
      <c r="L120" s="243"/>
      <c r="M120" s="243"/>
      <c r="N120" s="243"/>
    </row>
    <row r="121" spans="1:14" x14ac:dyDescent="0.2">
      <c r="A121" s="245" t="s">
        <v>850</v>
      </c>
      <c r="B121" s="244" t="s">
        <v>863</v>
      </c>
      <c r="C121" s="244"/>
      <c r="D121" s="244" t="s">
        <v>726</v>
      </c>
      <c r="E121" s="243">
        <v>4332</v>
      </c>
      <c r="F121" s="243">
        <v>4667</v>
      </c>
      <c r="G121" s="243">
        <v>4963</v>
      </c>
      <c r="H121" s="243">
        <v>5368</v>
      </c>
      <c r="I121" s="243">
        <v>5494</v>
      </c>
      <c r="J121" s="243">
        <v>5209</v>
      </c>
      <c r="K121" s="243">
        <v>5024</v>
      </c>
      <c r="L121" s="243">
        <v>5159</v>
      </c>
      <c r="M121" s="243">
        <v>5326.3923999999997</v>
      </c>
      <c r="N121" s="243">
        <v>5574.4699182387503</v>
      </c>
    </row>
    <row r="122" spans="1:14" x14ac:dyDescent="0.2">
      <c r="A122" s="245" t="s">
        <v>704</v>
      </c>
      <c r="B122" s="244"/>
      <c r="C122" s="244"/>
      <c r="D122" s="244"/>
      <c r="E122" s="243"/>
      <c r="F122" s="243"/>
      <c r="G122" s="243"/>
      <c r="H122" s="243"/>
      <c r="I122" s="243"/>
      <c r="J122" s="243"/>
      <c r="K122" s="243"/>
      <c r="L122" s="243"/>
      <c r="M122" s="243"/>
      <c r="N122" s="243"/>
    </row>
    <row r="123" spans="1:14" x14ac:dyDescent="0.2">
      <c r="A123" s="245" t="s">
        <v>864</v>
      </c>
      <c r="B123" s="244"/>
      <c r="C123" s="244" t="s">
        <v>865</v>
      </c>
      <c r="D123" s="244"/>
      <c r="E123" s="243"/>
      <c r="F123" s="243"/>
      <c r="G123" s="243"/>
      <c r="H123" s="243"/>
      <c r="I123" s="243"/>
      <c r="J123" s="243"/>
      <c r="K123" s="243"/>
      <c r="L123" s="243"/>
      <c r="M123" s="243"/>
      <c r="N123" s="243"/>
    </row>
    <row r="124" spans="1:14" x14ac:dyDescent="0.2">
      <c r="A124" s="245" t="s">
        <v>866</v>
      </c>
      <c r="B124" s="244" t="s">
        <v>867</v>
      </c>
      <c r="C124" s="244" t="s">
        <v>445</v>
      </c>
      <c r="D124" s="244" t="s">
        <v>726</v>
      </c>
      <c r="E124" s="243">
        <v>112428.2</v>
      </c>
      <c r="F124" s="243">
        <v>141546</v>
      </c>
      <c r="G124" s="243">
        <v>145653</v>
      </c>
      <c r="H124" s="243">
        <v>148294</v>
      </c>
      <c r="I124" s="243">
        <v>143599</v>
      </c>
      <c r="J124" s="243">
        <v>115894</v>
      </c>
      <c r="K124" s="243">
        <v>126200</v>
      </c>
      <c r="L124" s="243">
        <v>149000</v>
      </c>
      <c r="M124" s="243">
        <v>162113.88363459741</v>
      </c>
      <c r="N124" s="243">
        <v>171709.13358303276</v>
      </c>
    </row>
    <row r="125" spans="1:14" x14ac:dyDescent="0.2">
      <c r="A125" s="245" t="s">
        <v>868</v>
      </c>
      <c r="B125" s="244" t="s">
        <v>869</v>
      </c>
      <c r="C125" s="244"/>
      <c r="D125" s="244" t="s">
        <v>870</v>
      </c>
      <c r="E125" s="243" t="s">
        <v>711</v>
      </c>
      <c r="F125" s="243" t="s">
        <v>711</v>
      </c>
      <c r="G125" s="243">
        <v>2365</v>
      </c>
      <c r="H125" s="243">
        <v>247</v>
      </c>
      <c r="I125" s="243">
        <v>-1494</v>
      </c>
      <c r="J125" s="243">
        <v>-524</v>
      </c>
      <c r="K125" s="243">
        <v>-340</v>
      </c>
      <c r="L125" s="243">
        <v>-1312</v>
      </c>
      <c r="M125" s="243">
        <v>332.71866712329347</v>
      </c>
      <c r="N125" s="243">
        <v>2045.604492929479</v>
      </c>
    </row>
    <row r="126" spans="1:14" x14ac:dyDescent="0.2">
      <c r="A126" s="245" t="s">
        <v>871</v>
      </c>
      <c r="B126" s="244"/>
      <c r="C126" s="244"/>
      <c r="D126" s="244"/>
      <c r="E126" s="243"/>
      <c r="F126" s="243"/>
      <c r="G126" s="243"/>
      <c r="H126" s="243"/>
      <c r="I126" s="243"/>
      <c r="J126" s="243"/>
      <c r="K126" s="243"/>
      <c r="L126" s="243"/>
      <c r="M126" s="243"/>
      <c r="N126" s="243"/>
    </row>
    <row r="127" spans="1:14" x14ac:dyDescent="0.2">
      <c r="A127" s="245" t="s">
        <v>872</v>
      </c>
      <c r="B127" s="244" t="s">
        <v>873</v>
      </c>
      <c r="C127" s="244" t="s">
        <v>874</v>
      </c>
      <c r="D127" s="244" t="s">
        <v>870</v>
      </c>
      <c r="E127" s="243" t="s">
        <v>711</v>
      </c>
      <c r="F127" s="243" t="s">
        <v>711</v>
      </c>
      <c r="G127" s="243">
        <v>43498</v>
      </c>
      <c r="H127" s="243">
        <v>41575</v>
      </c>
      <c r="I127" s="243">
        <v>39516</v>
      </c>
      <c r="J127" s="243">
        <v>46980</v>
      </c>
      <c r="K127" s="243">
        <v>54614</v>
      </c>
      <c r="L127" s="243">
        <v>53512</v>
      </c>
      <c r="M127" s="243">
        <v>53684.643982799535</v>
      </c>
      <c r="N127" s="243">
        <v>54077.382058687377</v>
      </c>
    </row>
    <row r="128" spans="1:14" x14ac:dyDescent="0.2">
      <c r="A128" s="245" t="s">
        <v>875</v>
      </c>
      <c r="B128" s="244" t="s">
        <v>725</v>
      </c>
      <c r="C128" s="244"/>
      <c r="D128" s="244" t="s">
        <v>726</v>
      </c>
      <c r="E128" s="243">
        <v>5386</v>
      </c>
      <c r="F128" s="243">
        <v>7820</v>
      </c>
      <c r="G128" s="243">
        <v>8930</v>
      </c>
      <c r="H128" s="243" t="s">
        <v>711</v>
      </c>
      <c r="I128" s="243" t="s">
        <v>711</v>
      </c>
      <c r="J128" s="243" t="s">
        <v>711</v>
      </c>
      <c r="K128" s="243">
        <v>9577</v>
      </c>
      <c r="L128" s="243">
        <v>14741</v>
      </c>
      <c r="M128" s="243">
        <v>15953.238061214728</v>
      </c>
      <c r="N128" s="243">
        <v>16874.109280294226</v>
      </c>
    </row>
    <row r="129" spans="1:14" x14ac:dyDescent="0.2">
      <c r="A129" s="245" t="s">
        <v>876</v>
      </c>
      <c r="B129" s="244" t="s">
        <v>877</v>
      </c>
      <c r="C129" s="244" t="s">
        <v>878</v>
      </c>
      <c r="D129" s="244"/>
      <c r="E129" s="243">
        <v>18181</v>
      </c>
      <c r="F129" s="243">
        <v>19642</v>
      </c>
      <c r="G129" s="243">
        <v>31405</v>
      </c>
      <c r="H129" s="243">
        <v>15925</v>
      </c>
      <c r="I129" s="243">
        <v>13851</v>
      </c>
      <c r="J129" s="243">
        <v>19858</v>
      </c>
      <c r="K129" s="243">
        <v>26880</v>
      </c>
      <c r="L129" s="243">
        <v>17443</v>
      </c>
      <c r="M129" s="243">
        <v>14067.8</v>
      </c>
      <c r="N129" s="243">
        <v>14278.75</v>
      </c>
    </row>
    <row r="130" spans="1:14" x14ac:dyDescent="0.2">
      <c r="A130" s="245" t="s">
        <v>879</v>
      </c>
      <c r="B130" s="244" t="s">
        <v>880</v>
      </c>
      <c r="C130" s="244" t="s">
        <v>222</v>
      </c>
      <c r="D130" s="244"/>
      <c r="E130" s="243">
        <v>8319</v>
      </c>
      <c r="F130" s="243">
        <v>8898</v>
      </c>
      <c r="G130" s="243">
        <v>11176</v>
      </c>
      <c r="H130" s="243">
        <v>11220</v>
      </c>
      <c r="I130" s="243">
        <v>10786</v>
      </c>
      <c r="J130" s="243">
        <v>10808</v>
      </c>
      <c r="K130" s="243">
        <v>12065</v>
      </c>
      <c r="L130" s="243">
        <v>14080</v>
      </c>
      <c r="M130" s="243">
        <v>15855.235608673536</v>
      </c>
      <c r="N130" s="243">
        <v>15638.932467093433</v>
      </c>
    </row>
    <row r="131" spans="1:14" x14ac:dyDescent="0.2">
      <c r="A131" s="245" t="s">
        <v>881</v>
      </c>
      <c r="B131" s="244" t="s">
        <v>882</v>
      </c>
      <c r="C131" s="244" t="s">
        <v>883</v>
      </c>
      <c r="D131" s="244" t="s">
        <v>870</v>
      </c>
      <c r="E131" s="243" t="s">
        <v>711</v>
      </c>
      <c r="F131" s="243" t="s">
        <v>711</v>
      </c>
      <c r="G131" s="243">
        <v>35133</v>
      </c>
      <c r="H131" s="243">
        <v>35986</v>
      </c>
      <c r="I131" s="243">
        <v>36257</v>
      </c>
      <c r="J131" s="243">
        <v>36864</v>
      </c>
      <c r="K131" s="243">
        <v>36915</v>
      </c>
      <c r="L131" s="243">
        <v>37032</v>
      </c>
      <c r="M131" s="243">
        <v>39638.910817755059</v>
      </c>
      <c r="N131" s="243">
        <v>42535.468832278806</v>
      </c>
    </row>
    <row r="132" spans="1:14" x14ac:dyDescent="0.2">
      <c r="A132" s="245" t="s">
        <v>884</v>
      </c>
      <c r="B132" s="244" t="s">
        <v>885</v>
      </c>
      <c r="C132" s="244" t="s">
        <v>886</v>
      </c>
      <c r="D132" s="244" t="s">
        <v>870</v>
      </c>
      <c r="E132" s="243" t="s">
        <v>711</v>
      </c>
      <c r="F132" s="243" t="s">
        <v>711</v>
      </c>
      <c r="G132" s="243">
        <v>2984</v>
      </c>
      <c r="H132" s="243">
        <v>2595</v>
      </c>
      <c r="I132" s="243">
        <v>2396</v>
      </c>
      <c r="J132" s="243">
        <v>4778</v>
      </c>
      <c r="K132" s="243">
        <v>4422</v>
      </c>
      <c r="L132" s="243">
        <v>2678</v>
      </c>
      <c r="M132" s="243">
        <v>3340.6678621031747</v>
      </c>
      <c r="N132" s="243">
        <v>3303.0031574652776</v>
      </c>
    </row>
    <row r="133" spans="1:14" x14ac:dyDescent="0.2">
      <c r="A133" s="245" t="s">
        <v>887</v>
      </c>
      <c r="B133" s="244" t="s">
        <v>888</v>
      </c>
      <c r="C133" s="244" t="s">
        <v>313</v>
      </c>
      <c r="D133" s="244" t="s">
        <v>870</v>
      </c>
      <c r="E133" s="243" t="s">
        <v>711</v>
      </c>
      <c r="F133" s="243" t="s">
        <v>711</v>
      </c>
      <c r="G133" s="243">
        <v>13367</v>
      </c>
      <c r="H133" s="243">
        <v>12293</v>
      </c>
      <c r="I133" s="243">
        <v>13856</v>
      </c>
      <c r="J133" s="243">
        <v>14757</v>
      </c>
      <c r="K133" s="243">
        <v>13606</v>
      </c>
      <c r="L133" s="243">
        <v>15394</v>
      </c>
      <c r="M133" s="243">
        <v>15539.714053582069</v>
      </c>
      <c r="N133" s="243">
        <v>15667.935274344629</v>
      </c>
    </row>
    <row r="134" spans="1:14" x14ac:dyDescent="0.2">
      <c r="A134" s="245" t="s">
        <v>889</v>
      </c>
      <c r="B134" s="244" t="s">
        <v>890</v>
      </c>
      <c r="C134" s="244"/>
      <c r="D134" s="244" t="s">
        <v>870</v>
      </c>
      <c r="E134" s="243" t="s">
        <v>711</v>
      </c>
      <c r="F134" s="243" t="s">
        <v>711</v>
      </c>
      <c r="G134" s="243">
        <v>1574</v>
      </c>
      <c r="H134" s="243">
        <v>1705</v>
      </c>
      <c r="I134" s="243">
        <v>1612</v>
      </c>
      <c r="J134" s="243">
        <v>1304</v>
      </c>
      <c r="K134" s="243">
        <v>1194</v>
      </c>
      <c r="L134" s="243">
        <v>951</v>
      </c>
      <c r="M134" s="243">
        <v>1010</v>
      </c>
      <c r="N134" s="243">
        <v>1010</v>
      </c>
    </row>
    <row r="135" spans="1:14" x14ac:dyDescent="0.2">
      <c r="A135" s="245" t="s">
        <v>891</v>
      </c>
      <c r="B135" s="244" t="s">
        <v>892</v>
      </c>
      <c r="C135" s="244" t="s">
        <v>298</v>
      </c>
      <c r="D135" s="244" t="s">
        <v>870</v>
      </c>
      <c r="E135" s="243">
        <v>91959</v>
      </c>
      <c r="F135" s="243">
        <v>97557</v>
      </c>
      <c r="G135" s="243">
        <v>103669</v>
      </c>
      <c r="H135" s="243">
        <v>100663</v>
      </c>
      <c r="I135" s="243">
        <v>63586</v>
      </c>
      <c r="J135" s="243">
        <v>62741</v>
      </c>
      <c r="K135" s="243">
        <v>68969</v>
      </c>
      <c r="L135" s="243">
        <v>119457</v>
      </c>
      <c r="M135" s="243">
        <v>124427.94388821359</v>
      </c>
      <c r="N135" s="243">
        <v>127522.68963805061</v>
      </c>
    </row>
    <row r="136" spans="1:14" x14ac:dyDescent="0.2">
      <c r="A136" s="245" t="s">
        <v>893</v>
      </c>
      <c r="B136" s="244" t="s">
        <v>894</v>
      </c>
      <c r="C136" s="244" t="s">
        <v>895</v>
      </c>
      <c r="D136" s="244" t="s">
        <v>870</v>
      </c>
      <c r="E136" s="243" t="s">
        <v>711</v>
      </c>
      <c r="F136" s="243" t="s">
        <v>711</v>
      </c>
      <c r="G136" s="243">
        <v>45694</v>
      </c>
      <c r="H136" s="243">
        <v>45132</v>
      </c>
      <c r="I136" s="243">
        <v>45430</v>
      </c>
      <c r="J136" s="243">
        <v>47159</v>
      </c>
      <c r="K136" s="243">
        <v>43272</v>
      </c>
      <c r="L136" s="243">
        <v>45359</v>
      </c>
      <c r="M136" s="243">
        <v>47673.661429735854</v>
      </c>
      <c r="N136" s="243">
        <v>48640.483204125128</v>
      </c>
    </row>
    <row r="137" spans="1:14" x14ac:dyDescent="0.2">
      <c r="A137" s="245" t="s">
        <v>896</v>
      </c>
      <c r="B137" s="244" t="s">
        <v>897</v>
      </c>
      <c r="C137" s="244" t="s">
        <v>300</v>
      </c>
      <c r="D137" s="244" t="s">
        <v>870</v>
      </c>
      <c r="E137" s="243" t="s">
        <v>711</v>
      </c>
      <c r="F137" s="243" t="s">
        <v>711</v>
      </c>
      <c r="G137" s="243">
        <v>22115</v>
      </c>
      <c r="H137" s="243">
        <v>20426</v>
      </c>
      <c r="I137" s="243">
        <v>19681</v>
      </c>
      <c r="J137" s="243">
        <v>21125</v>
      </c>
      <c r="K137" s="243">
        <v>21315</v>
      </c>
      <c r="L137" s="243">
        <v>24507</v>
      </c>
      <c r="M137" s="243">
        <v>25125.777938422645</v>
      </c>
      <c r="N137" s="243">
        <v>25058.80867972265</v>
      </c>
    </row>
    <row r="138" spans="1:14" x14ac:dyDescent="0.2">
      <c r="A138" s="245" t="s">
        <v>898</v>
      </c>
      <c r="B138" s="244" t="s">
        <v>899</v>
      </c>
      <c r="C138" s="244" t="s">
        <v>900</v>
      </c>
      <c r="D138" s="244"/>
      <c r="E138" s="243">
        <v>1779</v>
      </c>
      <c r="F138" s="243">
        <v>2685</v>
      </c>
      <c r="G138" s="243">
        <v>4801</v>
      </c>
      <c r="H138" s="243">
        <v>2314</v>
      </c>
      <c r="I138" s="243">
        <v>1445</v>
      </c>
      <c r="J138" s="243">
        <v>1194</v>
      </c>
      <c r="K138" s="243">
        <v>3175</v>
      </c>
      <c r="L138" s="243">
        <v>730</v>
      </c>
      <c r="M138" s="243">
        <v>520.42857142857144</v>
      </c>
      <c r="N138" s="243">
        <v>429.57142857142861</v>
      </c>
    </row>
    <row r="139" spans="1:14" x14ac:dyDescent="0.2">
      <c r="A139" s="245" t="s">
        <v>901</v>
      </c>
      <c r="B139" s="244" t="s">
        <v>728</v>
      </c>
      <c r="C139" s="244"/>
      <c r="D139" s="244" t="s">
        <v>726</v>
      </c>
      <c r="E139" s="243">
        <v>11060</v>
      </c>
      <c r="F139" s="243">
        <v>13222</v>
      </c>
      <c r="G139" s="243" t="s">
        <v>711</v>
      </c>
      <c r="H139" s="243">
        <v>11233</v>
      </c>
      <c r="I139" s="243">
        <v>13233</v>
      </c>
      <c r="J139" s="243">
        <v>22342</v>
      </c>
      <c r="K139" s="243" t="s">
        <v>711</v>
      </c>
      <c r="L139" s="243">
        <v>19200</v>
      </c>
      <c r="M139" s="243">
        <v>19115.428571428569</v>
      </c>
      <c r="N139" s="243">
        <v>18959</v>
      </c>
    </row>
    <row r="140" spans="1:14" x14ac:dyDescent="0.2">
      <c r="A140" s="245" t="s">
        <v>902</v>
      </c>
      <c r="B140" s="244" t="s">
        <v>903</v>
      </c>
      <c r="C140" s="244" t="s">
        <v>904</v>
      </c>
      <c r="D140" s="244" t="s">
        <v>870</v>
      </c>
      <c r="E140" s="243" t="s">
        <v>711</v>
      </c>
      <c r="F140" s="243" t="s">
        <v>711</v>
      </c>
      <c r="G140" s="243">
        <v>23602</v>
      </c>
      <c r="H140" s="243">
        <v>22491</v>
      </c>
      <c r="I140" s="243">
        <v>24280</v>
      </c>
      <c r="J140" s="243">
        <v>27246</v>
      </c>
      <c r="K140" s="243">
        <v>17394</v>
      </c>
      <c r="L140" s="243">
        <v>18611</v>
      </c>
      <c r="M140" s="243">
        <v>23963.340016820202</v>
      </c>
      <c r="N140" s="243">
        <v>23553.97233627949</v>
      </c>
    </row>
    <row r="141" spans="1:14" x14ac:dyDescent="0.2">
      <c r="A141" s="245" t="s">
        <v>905</v>
      </c>
      <c r="B141" s="244" t="s">
        <v>906</v>
      </c>
      <c r="C141" s="244" t="s">
        <v>319</v>
      </c>
      <c r="D141" s="244" t="s">
        <v>870</v>
      </c>
      <c r="E141" s="243">
        <v>74114</v>
      </c>
      <c r="F141" s="243">
        <v>79631</v>
      </c>
      <c r="G141" s="243">
        <v>82879</v>
      </c>
      <c r="H141" s="243">
        <v>79572</v>
      </c>
      <c r="I141" s="243">
        <v>83499</v>
      </c>
      <c r="J141" s="243">
        <v>97200</v>
      </c>
      <c r="K141" s="243">
        <v>87799</v>
      </c>
      <c r="L141" s="243">
        <v>88167</v>
      </c>
      <c r="M141" s="243">
        <v>92744.238587010332</v>
      </c>
      <c r="N141" s="243">
        <v>93217.31663522181</v>
      </c>
    </row>
    <row r="142" spans="1:14" x14ac:dyDescent="0.2">
      <c r="A142" s="245" t="s">
        <v>907</v>
      </c>
      <c r="B142" s="244" t="s">
        <v>908</v>
      </c>
      <c r="C142" s="244"/>
      <c r="D142" s="244" t="s">
        <v>870</v>
      </c>
      <c r="E142" s="243" t="s">
        <v>711</v>
      </c>
      <c r="F142" s="243" t="s">
        <v>711</v>
      </c>
      <c r="G142" s="243">
        <v>-4707</v>
      </c>
      <c r="H142" s="243">
        <v>-3220</v>
      </c>
      <c r="I142" s="243">
        <v>-3118</v>
      </c>
      <c r="J142" s="243">
        <v>-8653</v>
      </c>
      <c r="K142" s="243">
        <v>3907</v>
      </c>
      <c r="L142" s="243">
        <v>-3666</v>
      </c>
      <c r="M142" s="243">
        <v>-6107.1883846228211</v>
      </c>
      <c r="N142" s="243">
        <v>-8384.3551397210922</v>
      </c>
    </row>
    <row r="143" spans="1:14" x14ac:dyDescent="0.2">
      <c r="A143" s="245" t="s">
        <v>909</v>
      </c>
      <c r="B143" s="244" t="s">
        <v>910</v>
      </c>
      <c r="C143" s="244"/>
      <c r="D143" s="244" t="s">
        <v>870</v>
      </c>
      <c r="E143" s="243" t="s">
        <v>711</v>
      </c>
      <c r="F143" s="243" t="s">
        <v>711</v>
      </c>
      <c r="G143" s="243">
        <v>-3283</v>
      </c>
      <c r="H143" s="243">
        <v>-5274</v>
      </c>
      <c r="I143" s="243">
        <v>-1672</v>
      </c>
      <c r="J143" s="243">
        <v>7621</v>
      </c>
      <c r="K143" s="243">
        <v>-5590</v>
      </c>
      <c r="L143" s="243">
        <v>-3202</v>
      </c>
      <c r="M143" s="243">
        <v>-4869.6282271999999</v>
      </c>
      <c r="N143" s="243">
        <v>-2567.7914514918848</v>
      </c>
    </row>
    <row r="144" spans="1:14" x14ac:dyDescent="0.2">
      <c r="A144" s="245" t="s">
        <v>704</v>
      </c>
      <c r="B144" s="244"/>
      <c r="C144" s="244"/>
      <c r="D144" s="244"/>
      <c r="E144" s="243"/>
      <c r="F144" s="243"/>
      <c r="G144" s="243"/>
      <c r="H144" s="243"/>
      <c r="I144" s="243"/>
      <c r="J144" s="243"/>
      <c r="K144" s="243"/>
      <c r="L144" s="243"/>
      <c r="M144" s="243"/>
      <c r="N144" s="243"/>
    </row>
    <row r="145" spans="1:14" x14ac:dyDescent="0.2">
      <c r="A145" s="245" t="s">
        <v>847</v>
      </c>
      <c r="B145" s="244"/>
      <c r="C145" s="244" t="s">
        <v>911</v>
      </c>
      <c r="D145" s="244"/>
      <c r="E145" s="243"/>
      <c r="F145" s="243"/>
      <c r="G145" s="243"/>
      <c r="H145" s="243"/>
      <c r="I145" s="243"/>
      <c r="J145" s="243"/>
      <c r="K145" s="243"/>
      <c r="L145" s="243"/>
      <c r="M145" s="243"/>
      <c r="N145" s="243"/>
    </row>
    <row r="146" spans="1:14" x14ac:dyDescent="0.2">
      <c r="A146" s="245" t="s">
        <v>866</v>
      </c>
      <c r="B146" s="244" t="s">
        <v>708</v>
      </c>
      <c r="C146" s="244" t="s">
        <v>445</v>
      </c>
      <c r="D146" s="244" t="s">
        <v>848</v>
      </c>
      <c r="E146" s="243">
        <v>8992</v>
      </c>
      <c r="F146" s="243">
        <v>10253</v>
      </c>
      <c r="G146" s="243">
        <v>11113</v>
      </c>
      <c r="H146" s="243">
        <v>12018</v>
      </c>
      <c r="I146" s="243">
        <v>12260</v>
      </c>
      <c r="J146" s="243">
        <v>11203</v>
      </c>
      <c r="K146" s="243">
        <v>10100</v>
      </c>
      <c r="L146" s="243">
        <v>9000</v>
      </c>
      <c r="M146" s="243">
        <v>9984.4546062016434</v>
      </c>
      <c r="N146" s="243">
        <v>10601.656240545739</v>
      </c>
    </row>
    <row r="147" spans="1:14" x14ac:dyDescent="0.2">
      <c r="A147" s="245" t="s">
        <v>912</v>
      </c>
      <c r="B147" s="244" t="s">
        <v>913</v>
      </c>
      <c r="C147" s="244" t="s">
        <v>447</v>
      </c>
      <c r="D147" s="244"/>
      <c r="E147" s="243">
        <v>7368</v>
      </c>
      <c r="F147" s="243">
        <v>8847</v>
      </c>
      <c r="G147" s="243">
        <v>9047</v>
      </c>
      <c r="H147" s="243">
        <v>9463</v>
      </c>
      <c r="I147" s="243">
        <v>9472</v>
      </c>
      <c r="J147" s="243">
        <v>8607</v>
      </c>
      <c r="K147" s="243">
        <v>5252</v>
      </c>
      <c r="L147" s="243">
        <v>6496</v>
      </c>
      <c r="M147" s="243">
        <v>7280.7507547090836</v>
      </c>
      <c r="N147" s="243">
        <v>7556.9425773692483</v>
      </c>
    </row>
    <row r="148" spans="1:14" x14ac:dyDescent="0.2">
      <c r="A148" s="245" t="s">
        <v>914</v>
      </c>
      <c r="B148" s="244" t="s">
        <v>863</v>
      </c>
      <c r="C148" s="244" t="s">
        <v>915</v>
      </c>
      <c r="D148" s="244" t="s">
        <v>848</v>
      </c>
      <c r="E148" s="243">
        <v>3661</v>
      </c>
      <c r="F148" s="243">
        <v>4356</v>
      </c>
      <c r="G148" s="243">
        <v>4278</v>
      </c>
      <c r="H148" s="243">
        <v>4001</v>
      </c>
      <c r="I148" s="243">
        <v>3666</v>
      </c>
      <c r="J148" s="243">
        <v>3269</v>
      </c>
      <c r="K148" s="243">
        <v>1666</v>
      </c>
      <c r="L148" s="243">
        <v>2281</v>
      </c>
      <c r="M148" s="243">
        <v>2259.1597670974497</v>
      </c>
      <c r="N148" s="243">
        <v>2327.8917699476615</v>
      </c>
    </row>
    <row r="149" spans="1:14" x14ac:dyDescent="0.2">
      <c r="A149" s="245" t="s">
        <v>916</v>
      </c>
      <c r="B149" s="244" t="s">
        <v>917</v>
      </c>
      <c r="C149" s="244" t="s">
        <v>918</v>
      </c>
      <c r="D149" s="244" t="s">
        <v>848</v>
      </c>
      <c r="E149" s="243">
        <v>2473</v>
      </c>
      <c r="F149" s="243">
        <v>2751</v>
      </c>
      <c r="G149" s="243">
        <v>3174</v>
      </c>
      <c r="H149" s="243">
        <v>3929</v>
      </c>
      <c r="I149" s="243">
        <v>4389</v>
      </c>
      <c r="J149" s="243">
        <v>3402</v>
      </c>
      <c r="K149" s="243">
        <v>2790</v>
      </c>
      <c r="L149" s="243">
        <v>3334</v>
      </c>
      <c r="M149" s="243">
        <v>5755.7502561458332</v>
      </c>
      <c r="N149" s="243">
        <v>6007.1146263833343</v>
      </c>
    </row>
    <row r="150" spans="1:14" x14ac:dyDescent="0.2">
      <c r="A150" s="245" t="s">
        <v>919</v>
      </c>
      <c r="B150" s="244" t="s">
        <v>869</v>
      </c>
      <c r="C150" s="244"/>
      <c r="D150" s="244" t="s">
        <v>848</v>
      </c>
      <c r="E150" s="243" t="s">
        <v>711</v>
      </c>
      <c r="F150" s="243" t="s">
        <v>711</v>
      </c>
      <c r="G150" s="243">
        <v>-696</v>
      </c>
      <c r="H150" s="243">
        <v>403</v>
      </c>
      <c r="I150" s="243">
        <v>770</v>
      </c>
      <c r="J150" s="243">
        <v>684</v>
      </c>
      <c r="K150" s="243">
        <v>210</v>
      </c>
      <c r="L150" s="243">
        <v>448</v>
      </c>
      <c r="M150" s="243" t="s">
        <v>711</v>
      </c>
      <c r="N150" s="243" t="s">
        <v>711</v>
      </c>
    </row>
    <row r="151" spans="1:14" x14ac:dyDescent="0.2">
      <c r="A151" s="245" t="s">
        <v>920</v>
      </c>
      <c r="B151" s="244" t="s">
        <v>861</v>
      </c>
      <c r="C151" s="244" t="s">
        <v>921</v>
      </c>
      <c r="D151" s="244" t="s">
        <v>848</v>
      </c>
      <c r="E151" s="243">
        <v>2029</v>
      </c>
      <c r="F151" s="243">
        <v>1820</v>
      </c>
      <c r="G151" s="243">
        <v>2248</v>
      </c>
      <c r="H151" s="243">
        <v>2627</v>
      </c>
      <c r="I151" s="243">
        <v>2998</v>
      </c>
      <c r="J151" s="243">
        <v>2608</v>
      </c>
      <c r="K151" s="243">
        <v>4717</v>
      </c>
      <c r="L151" s="243">
        <v>2657</v>
      </c>
      <c r="M151" s="243" t="s">
        <v>711</v>
      </c>
      <c r="N151" s="243" t="s">
        <v>711</v>
      </c>
    </row>
    <row r="152" spans="1:14" x14ac:dyDescent="0.2">
      <c r="A152" s="245" t="s">
        <v>922</v>
      </c>
      <c r="B152" s="244" t="s">
        <v>923</v>
      </c>
      <c r="C152" s="244" t="s">
        <v>475</v>
      </c>
      <c r="D152" s="244"/>
      <c r="E152" s="243" t="s">
        <v>711</v>
      </c>
      <c r="F152" s="243">
        <v>1315</v>
      </c>
      <c r="G152" s="243">
        <v>5172</v>
      </c>
      <c r="H152" s="243">
        <v>2224</v>
      </c>
      <c r="I152" s="243">
        <v>2228</v>
      </c>
      <c r="J152" s="243">
        <v>1924</v>
      </c>
      <c r="K152" s="243">
        <v>4507</v>
      </c>
      <c r="L152" s="243">
        <v>2209</v>
      </c>
      <c r="M152" s="243">
        <v>982.34189918412221</v>
      </c>
      <c r="N152" s="243">
        <v>1022.6698941041568</v>
      </c>
    </row>
    <row r="153" spans="1:14" x14ac:dyDescent="0.2">
      <c r="A153" s="245" t="s">
        <v>871</v>
      </c>
      <c r="B153" s="244"/>
      <c r="C153" s="244"/>
      <c r="D153" s="244"/>
      <c r="E153" s="243"/>
      <c r="F153" s="243"/>
      <c r="G153" s="243"/>
      <c r="H153" s="243"/>
      <c r="I153" s="243"/>
      <c r="J153" s="243"/>
      <c r="K153" s="243"/>
      <c r="L153" s="243"/>
      <c r="M153" s="243"/>
      <c r="N153" s="243"/>
    </row>
    <row r="154" spans="1:14" x14ac:dyDescent="0.2">
      <c r="A154" s="245" t="s">
        <v>872</v>
      </c>
      <c r="B154" s="244" t="s">
        <v>873</v>
      </c>
      <c r="C154" s="244"/>
      <c r="D154" s="244" t="s">
        <v>848</v>
      </c>
      <c r="E154" s="243" t="s">
        <v>711</v>
      </c>
      <c r="F154" s="243" t="s">
        <v>711</v>
      </c>
      <c r="G154" s="243">
        <v>74403</v>
      </c>
      <c r="H154" s="243">
        <v>76598</v>
      </c>
      <c r="I154" s="243">
        <v>76884</v>
      </c>
      <c r="J154" s="243">
        <v>72482</v>
      </c>
      <c r="K154" s="243">
        <v>55770</v>
      </c>
      <c r="L154" s="243">
        <v>64475</v>
      </c>
      <c r="M154" s="243">
        <v>65742.442227166175</v>
      </c>
      <c r="N154" s="243">
        <v>60932.955315796033</v>
      </c>
    </row>
    <row r="155" spans="1:14" x14ac:dyDescent="0.2">
      <c r="A155" s="245" t="s">
        <v>924</v>
      </c>
      <c r="B155" s="244" t="s">
        <v>925</v>
      </c>
      <c r="C155" s="244"/>
      <c r="D155" s="244" t="s">
        <v>848</v>
      </c>
      <c r="E155" s="243" t="s">
        <v>711</v>
      </c>
      <c r="F155" s="243" t="s">
        <v>711</v>
      </c>
      <c r="G155" s="243">
        <v>6548</v>
      </c>
      <c r="H155" s="243">
        <v>7497</v>
      </c>
      <c r="I155" s="243">
        <v>5619</v>
      </c>
      <c r="J155" s="243">
        <v>6571</v>
      </c>
      <c r="K155" s="243">
        <v>7806</v>
      </c>
      <c r="L155" s="243">
        <v>11154</v>
      </c>
      <c r="M155" s="243">
        <v>9412</v>
      </c>
      <c r="N155" s="243">
        <v>9412</v>
      </c>
    </row>
    <row r="156" spans="1:14" x14ac:dyDescent="0.2">
      <c r="A156" s="245" t="s">
        <v>876</v>
      </c>
      <c r="B156" s="244" t="s">
        <v>926</v>
      </c>
      <c r="C156" s="244" t="s">
        <v>878</v>
      </c>
      <c r="D156" s="244"/>
      <c r="E156" s="243">
        <v>2723</v>
      </c>
      <c r="F156" s="243">
        <v>3280</v>
      </c>
      <c r="G156" s="243">
        <v>6177</v>
      </c>
      <c r="H156" s="243">
        <v>1308</v>
      </c>
      <c r="I156" s="243">
        <v>3296</v>
      </c>
      <c r="J156" s="243">
        <v>4860</v>
      </c>
      <c r="K156" s="243">
        <v>2173</v>
      </c>
      <c r="L156" s="243">
        <v>1493</v>
      </c>
      <c r="M156" s="243">
        <v>1498.2</v>
      </c>
      <c r="N156" s="243">
        <v>1498.2</v>
      </c>
    </row>
    <row r="157" spans="1:14" x14ac:dyDescent="0.2">
      <c r="A157" s="245" t="s">
        <v>927</v>
      </c>
      <c r="B157" s="244" t="s">
        <v>928</v>
      </c>
      <c r="C157" s="244"/>
      <c r="D157" s="244" t="s">
        <v>848</v>
      </c>
      <c r="E157" s="243" t="s">
        <v>711</v>
      </c>
      <c r="F157" s="243" t="s">
        <v>711</v>
      </c>
      <c r="G157" s="243">
        <v>1258</v>
      </c>
      <c r="H157" s="243">
        <v>1363</v>
      </c>
      <c r="I157" s="243">
        <v>1325</v>
      </c>
      <c r="J157" s="243">
        <v>1547</v>
      </c>
      <c r="K157" s="243">
        <v>952</v>
      </c>
      <c r="L157" s="243">
        <v>1253</v>
      </c>
      <c r="M157" s="243">
        <v>1374</v>
      </c>
      <c r="N157" s="243">
        <v>1374</v>
      </c>
    </row>
    <row r="158" spans="1:14" x14ac:dyDescent="0.2">
      <c r="A158" s="245" t="s">
        <v>881</v>
      </c>
      <c r="B158" s="244" t="s">
        <v>882</v>
      </c>
      <c r="C158" s="244"/>
      <c r="D158" s="244" t="s">
        <v>848</v>
      </c>
      <c r="E158" s="243" t="s">
        <v>711</v>
      </c>
      <c r="F158" s="243" t="s">
        <v>711</v>
      </c>
      <c r="G158" s="243">
        <v>177</v>
      </c>
      <c r="H158" s="243">
        <v>192</v>
      </c>
      <c r="I158" s="243">
        <v>212</v>
      </c>
      <c r="J158" s="243">
        <v>219</v>
      </c>
      <c r="K158" s="243">
        <v>224</v>
      </c>
      <c r="L158" s="243">
        <v>233</v>
      </c>
      <c r="M158" s="243">
        <v>297</v>
      </c>
      <c r="N158" s="243">
        <v>347</v>
      </c>
    </row>
    <row r="159" spans="1:14" x14ac:dyDescent="0.2">
      <c r="A159" s="245" t="s">
        <v>884</v>
      </c>
      <c r="B159" s="244" t="s">
        <v>885</v>
      </c>
      <c r="C159" s="244"/>
      <c r="D159" s="244" t="s">
        <v>848</v>
      </c>
      <c r="E159" s="243" t="s">
        <v>711</v>
      </c>
      <c r="F159" s="243" t="s">
        <v>711</v>
      </c>
      <c r="G159" s="243">
        <v>101</v>
      </c>
      <c r="H159" s="243">
        <v>114</v>
      </c>
      <c r="I159" s="243">
        <v>123</v>
      </c>
      <c r="J159" s="243">
        <v>123</v>
      </c>
      <c r="K159" s="243">
        <v>123</v>
      </c>
      <c r="L159" s="243">
        <v>120</v>
      </c>
      <c r="M159" s="243">
        <v>120</v>
      </c>
      <c r="N159" s="243">
        <v>120</v>
      </c>
    </row>
    <row r="160" spans="1:14" x14ac:dyDescent="0.2">
      <c r="A160" s="245" t="s">
        <v>887</v>
      </c>
      <c r="B160" s="244" t="s">
        <v>888</v>
      </c>
      <c r="C160" s="244"/>
      <c r="D160" s="244" t="s">
        <v>848</v>
      </c>
      <c r="E160" s="243" t="s">
        <v>711</v>
      </c>
      <c r="F160" s="243" t="s">
        <v>711</v>
      </c>
      <c r="G160" s="243">
        <v>247</v>
      </c>
      <c r="H160" s="243">
        <v>216</v>
      </c>
      <c r="I160" s="243">
        <v>171</v>
      </c>
      <c r="J160" s="243">
        <v>165</v>
      </c>
      <c r="K160" s="243">
        <v>190</v>
      </c>
      <c r="L160" s="243">
        <v>158</v>
      </c>
      <c r="M160" s="243">
        <v>33.725050587949539</v>
      </c>
      <c r="N160" s="243">
        <v>141.03389244001926</v>
      </c>
    </row>
    <row r="161" spans="1:14" x14ac:dyDescent="0.2">
      <c r="A161" s="245" t="s">
        <v>889</v>
      </c>
      <c r="B161" s="244" t="s">
        <v>890</v>
      </c>
      <c r="C161" s="244" t="s">
        <v>929</v>
      </c>
      <c r="D161" s="244" t="s">
        <v>848</v>
      </c>
      <c r="E161" s="243" t="s">
        <v>711</v>
      </c>
      <c r="F161" s="243" t="s">
        <v>711</v>
      </c>
      <c r="G161" s="243">
        <v>26661</v>
      </c>
      <c r="H161" s="243">
        <v>27414</v>
      </c>
      <c r="I161" s="243">
        <v>27618</v>
      </c>
      <c r="J161" s="243">
        <v>26647</v>
      </c>
      <c r="K161" s="243">
        <v>25167</v>
      </c>
      <c r="L161" s="243">
        <v>21821</v>
      </c>
      <c r="M161" s="243">
        <v>21401.458333333332</v>
      </c>
      <c r="N161" s="243">
        <v>21786.457633333332</v>
      </c>
    </row>
    <row r="162" spans="1:14" x14ac:dyDescent="0.2">
      <c r="A162" s="245" t="s">
        <v>891</v>
      </c>
      <c r="B162" s="244" t="s">
        <v>892</v>
      </c>
      <c r="C162" s="244"/>
      <c r="D162" s="244" t="s">
        <v>848</v>
      </c>
      <c r="E162" s="243">
        <v>137448</v>
      </c>
      <c r="F162" s="243">
        <v>146503</v>
      </c>
      <c r="G162" s="243">
        <v>160594</v>
      </c>
      <c r="H162" s="243">
        <v>161678</v>
      </c>
      <c r="I162" s="243">
        <v>160964</v>
      </c>
      <c r="J162" s="243">
        <v>157637</v>
      </c>
      <c r="K162" s="243">
        <v>134428</v>
      </c>
      <c r="L162" s="243">
        <v>137954</v>
      </c>
      <c r="M162" s="243">
        <v>143253.02778817588</v>
      </c>
      <c r="N162" s="243">
        <v>145677.21501754344</v>
      </c>
    </row>
    <row r="163" spans="1:14" x14ac:dyDescent="0.2">
      <c r="A163" s="245" t="s">
        <v>893</v>
      </c>
      <c r="B163" s="244" t="s">
        <v>894</v>
      </c>
      <c r="C163" s="244"/>
      <c r="D163" s="244" t="s">
        <v>848</v>
      </c>
      <c r="E163" s="243" t="s">
        <v>711</v>
      </c>
      <c r="F163" s="243" t="s">
        <v>711</v>
      </c>
      <c r="G163" s="243">
        <v>50830</v>
      </c>
      <c r="H163" s="243">
        <v>53961</v>
      </c>
      <c r="I163" s="243">
        <v>55055</v>
      </c>
      <c r="J163" s="243">
        <v>52751</v>
      </c>
      <c r="K163" s="243">
        <v>48843</v>
      </c>
      <c r="L163" s="243">
        <v>53018</v>
      </c>
      <c r="M163" s="243">
        <v>52857</v>
      </c>
      <c r="N163" s="243">
        <v>52857</v>
      </c>
    </row>
    <row r="164" spans="1:14" x14ac:dyDescent="0.2">
      <c r="A164" s="245" t="s">
        <v>896</v>
      </c>
      <c r="B164" s="244" t="s">
        <v>897</v>
      </c>
      <c r="C164" s="244"/>
      <c r="D164" s="244" t="s">
        <v>848</v>
      </c>
      <c r="E164" s="243" t="s">
        <v>711</v>
      </c>
      <c r="F164" s="243" t="s">
        <v>711</v>
      </c>
      <c r="G164" s="243">
        <v>1162</v>
      </c>
      <c r="H164" s="243">
        <v>1094</v>
      </c>
      <c r="I164" s="243">
        <v>992</v>
      </c>
      <c r="J164" s="243">
        <v>1079</v>
      </c>
      <c r="K164" s="243">
        <v>1034</v>
      </c>
      <c r="L164" s="243">
        <v>1098</v>
      </c>
      <c r="M164" s="243">
        <v>1024</v>
      </c>
      <c r="N164" s="243">
        <v>1024</v>
      </c>
    </row>
    <row r="165" spans="1:14" x14ac:dyDescent="0.2">
      <c r="A165" s="245" t="s">
        <v>930</v>
      </c>
      <c r="B165" s="244" t="s">
        <v>931</v>
      </c>
      <c r="C165" s="244"/>
      <c r="D165" s="244" t="s">
        <v>848</v>
      </c>
      <c r="E165" s="243" t="s">
        <v>711</v>
      </c>
      <c r="F165" s="243" t="s">
        <v>711</v>
      </c>
      <c r="G165" s="243">
        <v>3301</v>
      </c>
      <c r="H165" s="243">
        <v>2595</v>
      </c>
      <c r="I165" s="243">
        <v>2593</v>
      </c>
      <c r="J165" s="243">
        <v>2907</v>
      </c>
      <c r="K165" s="243">
        <v>676</v>
      </c>
      <c r="L165" s="243">
        <v>921</v>
      </c>
      <c r="M165" s="243">
        <v>960.4</v>
      </c>
      <c r="N165" s="243">
        <v>1020.4</v>
      </c>
    </row>
    <row r="166" spans="1:14" x14ac:dyDescent="0.2">
      <c r="A166" s="245" t="s">
        <v>902</v>
      </c>
      <c r="B166" s="244" t="s">
        <v>903</v>
      </c>
      <c r="C166" s="244"/>
      <c r="D166" s="244" t="s">
        <v>848</v>
      </c>
      <c r="E166" s="243" t="s">
        <v>711</v>
      </c>
      <c r="F166" s="243" t="s">
        <v>711</v>
      </c>
      <c r="G166" s="243">
        <v>1107</v>
      </c>
      <c r="H166" s="243">
        <v>1097</v>
      </c>
      <c r="I166" s="243">
        <v>1044</v>
      </c>
      <c r="J166" s="243">
        <v>1133</v>
      </c>
      <c r="K166" s="243">
        <v>1292</v>
      </c>
      <c r="L166" s="243">
        <v>2486</v>
      </c>
      <c r="M166" s="243">
        <v>2095</v>
      </c>
      <c r="N166" s="243">
        <v>2095</v>
      </c>
    </row>
    <row r="167" spans="1:14" x14ac:dyDescent="0.2">
      <c r="A167" s="245" t="s">
        <v>905</v>
      </c>
      <c r="B167" s="244" t="s">
        <v>906</v>
      </c>
      <c r="C167" s="244" t="s">
        <v>319</v>
      </c>
      <c r="D167" s="244" t="s">
        <v>848</v>
      </c>
      <c r="E167" s="243">
        <v>126120</v>
      </c>
      <c r="F167" s="243">
        <v>134317</v>
      </c>
      <c r="G167" s="243">
        <v>145329</v>
      </c>
      <c r="H167" s="243">
        <v>146703</v>
      </c>
      <c r="I167" s="243">
        <v>146350</v>
      </c>
      <c r="J167" s="243">
        <v>144499</v>
      </c>
      <c r="K167" s="243">
        <v>122031</v>
      </c>
      <c r="L167" s="243">
        <v>126077</v>
      </c>
      <c r="M167" s="243">
        <v>130701.72360512102</v>
      </c>
      <c r="N167" s="243">
        <v>132677.90312453188</v>
      </c>
    </row>
    <row r="168" spans="1:14" x14ac:dyDescent="0.2">
      <c r="A168" s="245" t="s">
        <v>704</v>
      </c>
      <c r="B168" s="244"/>
      <c r="C168" s="244"/>
      <c r="D168" s="244"/>
      <c r="E168" s="243"/>
      <c r="F168" s="243"/>
      <c r="G168" s="243"/>
      <c r="H168" s="243"/>
      <c r="I168" s="243"/>
      <c r="J168" s="243"/>
      <c r="K168" s="243"/>
      <c r="L168" s="243"/>
      <c r="M168" s="243"/>
      <c r="N168" s="243"/>
    </row>
    <row r="169" spans="1:14" x14ac:dyDescent="0.2">
      <c r="A169" s="245" t="s">
        <v>932</v>
      </c>
      <c r="B169" s="244"/>
      <c r="C169" s="244" t="s">
        <v>933</v>
      </c>
      <c r="D169" s="244"/>
      <c r="E169" s="243"/>
      <c r="F169" s="243"/>
      <c r="G169" s="243"/>
      <c r="H169" s="243"/>
      <c r="I169" s="243"/>
      <c r="J169" s="243"/>
      <c r="K169" s="243"/>
      <c r="L169" s="243"/>
      <c r="M169" s="243"/>
      <c r="N169" s="243"/>
    </row>
    <row r="170" spans="1:14" x14ac:dyDescent="0.2">
      <c r="A170" s="245" t="s">
        <v>934</v>
      </c>
      <c r="B170" s="244"/>
      <c r="C170" s="244" t="s">
        <v>935</v>
      </c>
      <c r="D170" s="244"/>
      <c r="E170" s="243"/>
      <c r="F170" s="243"/>
      <c r="G170" s="243"/>
      <c r="H170" s="243"/>
      <c r="I170" s="243"/>
      <c r="J170" s="243"/>
      <c r="K170" s="243"/>
      <c r="L170" s="243"/>
      <c r="M170" s="243"/>
      <c r="N170" s="243"/>
    </row>
    <row r="171" spans="1:14" x14ac:dyDescent="0.2">
      <c r="A171" s="245" t="s">
        <v>837</v>
      </c>
      <c r="B171" s="244" t="s">
        <v>708</v>
      </c>
      <c r="C171" s="244" t="s">
        <v>443</v>
      </c>
      <c r="D171" s="244" t="s">
        <v>819</v>
      </c>
      <c r="E171" s="243">
        <v>91900</v>
      </c>
      <c r="F171" s="243">
        <v>92550</v>
      </c>
      <c r="G171" s="243">
        <v>93450</v>
      </c>
      <c r="H171" s="243">
        <v>96590</v>
      </c>
      <c r="I171" s="243">
        <v>98100.000000000015</v>
      </c>
      <c r="J171" s="243">
        <v>80000</v>
      </c>
      <c r="K171" s="243">
        <v>87800</v>
      </c>
      <c r="L171" s="243">
        <v>108700</v>
      </c>
      <c r="M171" s="243">
        <v>110383.6393576773</v>
      </c>
      <c r="N171" s="243">
        <v>113533.68636792197</v>
      </c>
    </row>
    <row r="172" spans="1:14" x14ac:dyDescent="0.2">
      <c r="A172" s="245" t="s">
        <v>936</v>
      </c>
      <c r="B172" s="244" t="s">
        <v>829</v>
      </c>
      <c r="C172" s="244" t="s">
        <v>937</v>
      </c>
      <c r="D172" s="244" t="s">
        <v>819</v>
      </c>
      <c r="E172" s="243">
        <v>9573</v>
      </c>
      <c r="F172" s="243">
        <v>9382</v>
      </c>
      <c r="G172" s="243">
        <v>8057</v>
      </c>
      <c r="H172" s="243">
        <v>7607</v>
      </c>
      <c r="I172" s="243">
        <v>6612</v>
      </c>
      <c r="J172" s="243">
        <v>3710</v>
      </c>
      <c r="K172" s="243">
        <v>7377</v>
      </c>
      <c r="L172" s="243">
        <v>9176</v>
      </c>
      <c r="M172" s="243">
        <v>9259.8053691260047</v>
      </c>
      <c r="N172" s="243">
        <v>9645.8298596985751</v>
      </c>
    </row>
    <row r="173" spans="1:14" x14ac:dyDescent="0.2">
      <c r="A173" s="245" t="s">
        <v>856</v>
      </c>
      <c r="B173" s="244" t="s">
        <v>857</v>
      </c>
      <c r="C173" s="244" t="s">
        <v>938</v>
      </c>
      <c r="D173" s="244" t="s">
        <v>819</v>
      </c>
      <c r="E173" s="243">
        <v>10.200000000000001</v>
      </c>
      <c r="F173" s="243">
        <v>9.7000000000000011</v>
      </c>
      <c r="G173" s="243">
        <v>8</v>
      </c>
      <c r="H173" s="243">
        <v>7.9</v>
      </c>
      <c r="I173" s="243">
        <v>6.7</v>
      </c>
      <c r="J173" s="243">
        <v>4.6000000000000005</v>
      </c>
      <c r="K173" s="243">
        <v>8.4</v>
      </c>
      <c r="L173" s="243">
        <v>8.4</v>
      </c>
      <c r="M173" s="243">
        <v>8.5729190793256524</v>
      </c>
      <c r="N173" s="243">
        <v>8.4523826284079355</v>
      </c>
    </row>
    <row r="174" spans="1:14" x14ac:dyDescent="0.2">
      <c r="A174" s="245" t="s">
        <v>939</v>
      </c>
      <c r="B174" s="244"/>
      <c r="C174" s="244" t="s">
        <v>940</v>
      </c>
      <c r="D174" s="244"/>
      <c r="E174" s="243"/>
      <c r="F174" s="243"/>
      <c r="G174" s="243"/>
      <c r="H174" s="243"/>
      <c r="I174" s="243"/>
      <c r="J174" s="243"/>
      <c r="K174" s="243"/>
      <c r="L174" s="243"/>
      <c r="M174" s="243"/>
      <c r="N174" s="243"/>
    </row>
    <row r="175" spans="1:14" x14ac:dyDescent="0.2">
      <c r="A175" s="245" t="s">
        <v>837</v>
      </c>
      <c r="B175" s="244" t="s">
        <v>708</v>
      </c>
      <c r="C175" s="244" t="s">
        <v>443</v>
      </c>
      <c r="D175" s="244" t="s">
        <v>825</v>
      </c>
      <c r="E175" s="243">
        <v>5800</v>
      </c>
      <c r="F175" s="243">
        <v>4816</v>
      </c>
      <c r="G175" s="243">
        <v>5800</v>
      </c>
      <c r="H175" s="243">
        <v>5300</v>
      </c>
      <c r="I175" s="243">
        <v>3900</v>
      </c>
      <c r="J175" s="243">
        <v>2500</v>
      </c>
      <c r="K175" s="243">
        <v>2400</v>
      </c>
      <c r="L175" s="243">
        <v>3100</v>
      </c>
      <c r="M175" s="243">
        <v>3149.9300676938037</v>
      </c>
      <c r="N175" s="243">
        <v>3545.8473638692822</v>
      </c>
    </row>
    <row r="176" spans="1:14" x14ac:dyDescent="0.2">
      <c r="A176" s="245" t="s">
        <v>936</v>
      </c>
      <c r="B176" s="244" t="s">
        <v>829</v>
      </c>
      <c r="C176" s="244"/>
      <c r="D176" s="244" t="s">
        <v>825</v>
      </c>
      <c r="E176" s="243">
        <v>-800</v>
      </c>
      <c r="F176" s="243">
        <v>-1077</v>
      </c>
      <c r="G176" s="243">
        <v>-753</v>
      </c>
      <c r="H176" s="243">
        <v>-678</v>
      </c>
      <c r="I176" s="243">
        <v>-704</v>
      </c>
      <c r="J176" s="243">
        <v>-490</v>
      </c>
      <c r="K176" s="243">
        <v>-121</v>
      </c>
      <c r="L176" s="243">
        <v>413</v>
      </c>
      <c r="M176" s="243">
        <v>404.26739058075418</v>
      </c>
      <c r="N176" s="243">
        <v>419.52265031509648</v>
      </c>
    </row>
    <row r="177" spans="1:14" x14ac:dyDescent="0.2">
      <c r="A177" s="245" t="s">
        <v>856</v>
      </c>
      <c r="B177" s="244" t="s">
        <v>857</v>
      </c>
      <c r="C177" s="244" t="s">
        <v>938</v>
      </c>
      <c r="D177" s="244" t="s">
        <v>825</v>
      </c>
      <c r="E177" s="243">
        <v>-14.4</v>
      </c>
      <c r="F177" s="243">
        <v>-23</v>
      </c>
      <c r="G177" s="243">
        <v>-13.4</v>
      </c>
      <c r="H177" s="243">
        <v>-12.8</v>
      </c>
      <c r="I177" s="243">
        <v>-18.100000000000001</v>
      </c>
      <c r="J177" s="243">
        <v>-19.900000000000002</v>
      </c>
      <c r="K177" s="243">
        <v>-5.1000000000000005</v>
      </c>
      <c r="L177" s="243">
        <v>13.4</v>
      </c>
      <c r="M177" s="243">
        <v>13.252626221356223</v>
      </c>
      <c r="N177" s="243">
        <v>11.160910435309232</v>
      </c>
    </row>
    <row r="178" spans="1:14" x14ac:dyDescent="0.2">
      <c r="A178" s="245" t="s">
        <v>941</v>
      </c>
      <c r="B178" s="244"/>
      <c r="C178" s="244" t="s">
        <v>942</v>
      </c>
      <c r="D178" s="244"/>
      <c r="E178" s="243"/>
      <c r="F178" s="243"/>
      <c r="G178" s="243"/>
      <c r="H178" s="243"/>
      <c r="I178" s="243"/>
      <c r="J178" s="243"/>
      <c r="K178" s="243"/>
      <c r="L178" s="243"/>
      <c r="M178" s="243"/>
      <c r="N178" s="243"/>
    </row>
    <row r="179" spans="1:14" x14ac:dyDescent="0.2">
      <c r="A179" s="245" t="s">
        <v>837</v>
      </c>
      <c r="B179" s="244" t="s">
        <v>708</v>
      </c>
      <c r="C179" s="244" t="s">
        <v>443</v>
      </c>
      <c r="D179" s="244" t="s">
        <v>821</v>
      </c>
      <c r="E179" s="243">
        <v>28200</v>
      </c>
      <c r="F179" s="243">
        <v>28580</v>
      </c>
      <c r="G179" s="243">
        <v>29700</v>
      </c>
      <c r="H179" s="243">
        <v>31304.000000000004</v>
      </c>
      <c r="I179" s="243">
        <v>28600</v>
      </c>
      <c r="J179" s="243">
        <v>22600</v>
      </c>
      <c r="K179" s="243">
        <v>24500</v>
      </c>
      <c r="L179" s="243">
        <v>25600</v>
      </c>
      <c r="M179" s="243">
        <v>24878.807578843451</v>
      </c>
      <c r="N179" s="243">
        <v>25791.276108154794</v>
      </c>
    </row>
    <row r="180" spans="1:14" x14ac:dyDescent="0.2">
      <c r="A180" s="245" t="s">
        <v>936</v>
      </c>
      <c r="B180" s="244" t="s">
        <v>829</v>
      </c>
      <c r="C180" s="244"/>
      <c r="D180" s="244" t="s">
        <v>821</v>
      </c>
      <c r="E180" s="243">
        <v>350</v>
      </c>
      <c r="F180" s="243">
        <v>1318</v>
      </c>
      <c r="G180" s="243">
        <v>367</v>
      </c>
      <c r="H180" s="243">
        <v>-211</v>
      </c>
      <c r="I180" s="243">
        <v>-47</v>
      </c>
      <c r="J180" s="243">
        <v>-851</v>
      </c>
      <c r="K180" s="243">
        <v>-154</v>
      </c>
      <c r="L180" s="243">
        <v>47</v>
      </c>
      <c r="M180" s="243">
        <v>439.95082632585991</v>
      </c>
      <c r="N180" s="243">
        <v>584.10323411625041</v>
      </c>
    </row>
    <row r="181" spans="1:14" x14ac:dyDescent="0.2">
      <c r="A181" s="245" t="s">
        <v>856</v>
      </c>
      <c r="B181" s="244" t="s">
        <v>857</v>
      </c>
      <c r="C181" s="244" t="s">
        <v>938</v>
      </c>
      <c r="D181" s="244" t="s">
        <v>821</v>
      </c>
      <c r="E181" s="243">
        <v>0.9</v>
      </c>
      <c r="F181" s="243">
        <v>4.2</v>
      </c>
      <c r="G181" s="243">
        <v>0.8</v>
      </c>
      <c r="H181" s="243">
        <v>-1.3</v>
      </c>
      <c r="I181" s="243">
        <v>0.4</v>
      </c>
      <c r="J181" s="243">
        <v>-3.8000000000000003</v>
      </c>
      <c r="K181" s="243">
        <v>-0.6</v>
      </c>
      <c r="L181" s="243">
        <v>0.2</v>
      </c>
      <c r="M181" s="243">
        <v>0.86071791971122524</v>
      </c>
      <c r="N181" s="243">
        <v>2.168803810197935</v>
      </c>
    </row>
    <row r="182" spans="1:14" x14ac:dyDescent="0.2">
      <c r="A182" s="245" t="s">
        <v>943</v>
      </c>
      <c r="B182" s="244"/>
      <c r="C182" s="244" t="s">
        <v>944</v>
      </c>
      <c r="D182" s="244"/>
      <c r="E182" s="243"/>
      <c r="F182" s="243"/>
      <c r="G182" s="243"/>
      <c r="H182" s="243"/>
      <c r="I182" s="243"/>
      <c r="J182" s="243"/>
      <c r="K182" s="243"/>
      <c r="L182" s="243"/>
      <c r="M182" s="243"/>
      <c r="N182" s="243"/>
    </row>
    <row r="183" spans="1:14" x14ac:dyDescent="0.2">
      <c r="A183" s="245" t="s">
        <v>837</v>
      </c>
      <c r="B183" s="244" t="s">
        <v>708</v>
      </c>
      <c r="C183" s="244" t="s">
        <v>443</v>
      </c>
      <c r="D183" s="244" t="s">
        <v>823</v>
      </c>
      <c r="E183" s="243" t="s">
        <v>711</v>
      </c>
      <c r="F183" s="243" t="s">
        <v>711</v>
      </c>
      <c r="G183" s="243" t="s">
        <v>711</v>
      </c>
      <c r="H183" s="243" t="s">
        <v>711</v>
      </c>
      <c r="I183" s="243">
        <v>3600</v>
      </c>
      <c r="J183" s="243">
        <v>3294</v>
      </c>
      <c r="K183" s="243">
        <v>2500</v>
      </c>
      <c r="L183" s="243">
        <v>1800</v>
      </c>
      <c r="M183" s="243">
        <v>2382.2868190812778</v>
      </c>
      <c r="N183" s="243">
        <v>2368.223349566947</v>
      </c>
    </row>
    <row r="184" spans="1:14" x14ac:dyDescent="0.2">
      <c r="A184" s="245" t="s">
        <v>936</v>
      </c>
      <c r="B184" s="244" t="s">
        <v>829</v>
      </c>
      <c r="C184" s="244" t="s">
        <v>937</v>
      </c>
      <c r="D184" s="244" t="s">
        <v>823</v>
      </c>
      <c r="E184" s="243" t="s">
        <v>711</v>
      </c>
      <c r="F184" s="243" t="s">
        <v>711</v>
      </c>
      <c r="G184" s="243" t="s">
        <v>711</v>
      </c>
      <c r="H184" s="243">
        <v>-1545</v>
      </c>
      <c r="I184" s="243">
        <v>-771</v>
      </c>
      <c r="J184" s="243">
        <v>-499</v>
      </c>
      <c r="K184" s="243">
        <v>-327</v>
      </c>
      <c r="L184" s="243">
        <v>-572</v>
      </c>
      <c r="M184" s="243">
        <v>-556.24425105857324</v>
      </c>
      <c r="N184" s="243">
        <v>-402.09204999251779</v>
      </c>
    </row>
    <row r="185" spans="1:14" x14ac:dyDescent="0.2">
      <c r="A185" s="245" t="s">
        <v>856</v>
      </c>
      <c r="B185" s="244" t="s">
        <v>857</v>
      </c>
      <c r="C185" s="244" t="s">
        <v>938</v>
      </c>
      <c r="D185" s="244" t="s">
        <v>823</v>
      </c>
      <c r="E185" s="243" t="s">
        <v>711</v>
      </c>
      <c r="F185" s="243" t="s">
        <v>711</v>
      </c>
      <c r="G185" s="243" t="s">
        <v>711</v>
      </c>
      <c r="H185" s="243" t="s">
        <v>711</v>
      </c>
      <c r="I185" s="243">
        <v>-21.3</v>
      </c>
      <c r="J185" s="243">
        <v>-15.6</v>
      </c>
      <c r="K185" s="243">
        <v>-12.8</v>
      </c>
      <c r="L185" s="243">
        <v>-32.299999999999997</v>
      </c>
      <c r="M185" s="243">
        <v>-33.117968729310476</v>
      </c>
      <c r="N185" s="243">
        <v>-14.250802250480731</v>
      </c>
    </row>
    <row r="186" spans="1:14" x14ac:dyDescent="0.2">
      <c r="A186" s="245" t="s">
        <v>945</v>
      </c>
      <c r="B186" s="244"/>
      <c r="C186" s="244" t="s">
        <v>946</v>
      </c>
      <c r="D186" s="244"/>
      <c r="E186" s="243"/>
      <c r="F186" s="243"/>
      <c r="G186" s="243"/>
      <c r="H186" s="243"/>
      <c r="I186" s="243"/>
      <c r="J186" s="243"/>
      <c r="K186" s="243"/>
      <c r="L186" s="243"/>
      <c r="M186" s="243"/>
      <c r="N186" s="243"/>
    </row>
    <row r="187" spans="1:14" x14ac:dyDescent="0.2">
      <c r="A187" s="245" t="s">
        <v>837</v>
      </c>
      <c r="B187" s="244" t="s">
        <v>708</v>
      </c>
      <c r="C187" s="244" t="s">
        <v>443</v>
      </c>
      <c r="D187" s="244" t="s">
        <v>827</v>
      </c>
      <c r="E187" s="243" t="s">
        <v>711</v>
      </c>
      <c r="F187" s="243" t="s">
        <v>711</v>
      </c>
      <c r="G187" s="243" t="s">
        <v>711</v>
      </c>
      <c r="H187" s="243" t="s">
        <v>711</v>
      </c>
      <c r="I187" s="243" t="s">
        <v>711</v>
      </c>
      <c r="J187" s="243">
        <v>7500</v>
      </c>
      <c r="K187" s="243">
        <v>9000</v>
      </c>
      <c r="L187" s="243">
        <v>9800</v>
      </c>
      <c r="M187" s="243">
        <v>10161.522226853051</v>
      </c>
      <c r="N187" s="243">
        <v>10389.758000413947</v>
      </c>
    </row>
    <row r="188" spans="1:14" x14ac:dyDescent="0.2">
      <c r="A188" s="245" t="s">
        <v>936</v>
      </c>
      <c r="B188" s="244" t="s">
        <v>829</v>
      </c>
      <c r="C188" s="244" t="s">
        <v>937</v>
      </c>
      <c r="D188" s="244" t="s">
        <v>827</v>
      </c>
      <c r="E188" s="243" t="s">
        <v>711</v>
      </c>
      <c r="F188" s="243" t="s">
        <v>711</v>
      </c>
      <c r="G188" s="243" t="s">
        <v>711</v>
      </c>
      <c r="H188" s="243">
        <v>248</v>
      </c>
      <c r="I188" s="243">
        <v>-323</v>
      </c>
      <c r="J188" s="243">
        <v>-164</v>
      </c>
      <c r="K188" s="243">
        <v>622</v>
      </c>
      <c r="L188" s="243">
        <v>628</v>
      </c>
      <c r="M188" s="243">
        <v>650.13162986087036</v>
      </c>
      <c r="N188" s="243">
        <v>670.98522238384123</v>
      </c>
    </row>
    <row r="189" spans="1:14" x14ac:dyDescent="0.2">
      <c r="A189" s="245" t="s">
        <v>856</v>
      </c>
      <c r="B189" s="244" t="s">
        <v>857</v>
      </c>
      <c r="C189" s="244" t="s">
        <v>938</v>
      </c>
      <c r="D189" s="244" t="s">
        <v>827</v>
      </c>
      <c r="E189" s="243" t="s">
        <v>711</v>
      </c>
      <c r="F189" s="243" t="s">
        <v>711</v>
      </c>
      <c r="G189" s="243" t="s">
        <v>711</v>
      </c>
      <c r="H189" s="243" t="s">
        <v>711</v>
      </c>
      <c r="I189" s="243">
        <v>-3.4</v>
      </c>
      <c r="J189" s="243">
        <v>-2.2000000000000002</v>
      </c>
      <c r="K189" s="243">
        <v>6.9</v>
      </c>
      <c r="L189" s="243">
        <v>6.4</v>
      </c>
      <c r="M189" s="243">
        <v>6.3893577982632026</v>
      </c>
      <c r="N189" s="243">
        <v>6.4329439240110826</v>
      </c>
    </row>
    <row r="190" spans="1:14" x14ac:dyDescent="0.2">
      <c r="A190" s="245" t="s">
        <v>704</v>
      </c>
      <c r="B190" s="244"/>
      <c r="C190" s="244"/>
      <c r="D190" s="244"/>
      <c r="E190" s="243"/>
      <c r="F190" s="243"/>
      <c r="G190" s="243"/>
      <c r="H190" s="243"/>
      <c r="I190" s="243"/>
      <c r="J190" s="243"/>
      <c r="K190" s="243"/>
      <c r="L190" s="243"/>
      <c r="M190" s="243"/>
      <c r="N190" s="243"/>
    </row>
    <row r="191" spans="1:14" x14ac:dyDescent="0.2">
      <c r="A191" s="245" t="s">
        <v>947</v>
      </c>
      <c r="B191" s="244"/>
      <c r="C191" s="244" t="s">
        <v>442</v>
      </c>
      <c r="D191" s="244"/>
      <c r="E191" s="243"/>
      <c r="F191" s="243"/>
      <c r="G191" s="243"/>
      <c r="H191" s="243"/>
      <c r="I191" s="243"/>
      <c r="J191" s="243"/>
      <c r="K191" s="243"/>
      <c r="L191" s="243"/>
      <c r="M191" s="243"/>
      <c r="N191" s="243"/>
    </row>
    <row r="192" spans="1:14" x14ac:dyDescent="0.2">
      <c r="A192" s="245" t="s">
        <v>948</v>
      </c>
      <c r="B192" s="244" t="s">
        <v>708</v>
      </c>
      <c r="C192" s="244"/>
      <c r="D192" s="244"/>
      <c r="E192" s="243">
        <v>149558</v>
      </c>
      <c r="F192" s="243">
        <v>151800</v>
      </c>
      <c r="G192" s="243">
        <v>156776</v>
      </c>
      <c r="H192" s="243">
        <v>160338</v>
      </c>
      <c r="I192" s="243">
        <v>155900</v>
      </c>
      <c r="J192" s="243">
        <v>127144</v>
      </c>
      <c r="K192" s="243">
        <v>136341</v>
      </c>
      <c r="L192" s="243">
        <v>158057</v>
      </c>
      <c r="M192" s="243">
        <v>171555.28221932365</v>
      </c>
      <c r="N192" s="243">
        <v>181777.85249524491</v>
      </c>
    </row>
    <row r="193" spans="1:14" x14ac:dyDescent="0.2">
      <c r="A193" s="245" t="s">
        <v>949</v>
      </c>
      <c r="B193" s="244" t="s">
        <v>950</v>
      </c>
      <c r="C193" s="244"/>
      <c r="D193" s="244"/>
      <c r="E193" s="243">
        <v>8992</v>
      </c>
      <c r="F193" s="243">
        <v>10253</v>
      </c>
      <c r="G193" s="243">
        <v>11113</v>
      </c>
      <c r="H193" s="243">
        <v>12018</v>
      </c>
      <c r="I193" s="243">
        <v>12260</v>
      </c>
      <c r="J193" s="243">
        <v>11203</v>
      </c>
      <c r="K193" s="243">
        <v>10073</v>
      </c>
      <c r="L193" s="243">
        <v>8978</v>
      </c>
      <c r="M193" s="243">
        <v>10392.40988535219</v>
      </c>
      <c r="N193" s="243">
        <v>10946.450178473486</v>
      </c>
    </row>
    <row r="194" spans="1:14" x14ac:dyDescent="0.2">
      <c r="A194" s="245" t="s">
        <v>704</v>
      </c>
      <c r="B194" s="244"/>
      <c r="C194" s="244"/>
      <c r="D194" s="244"/>
      <c r="E194" s="243"/>
      <c r="F194" s="243"/>
      <c r="G194" s="243"/>
      <c r="H194" s="243"/>
      <c r="I194" s="243"/>
      <c r="J194" s="243"/>
      <c r="K194" s="243"/>
      <c r="L194" s="243"/>
      <c r="M194" s="243"/>
      <c r="N194" s="243"/>
    </row>
    <row r="195" spans="1:14" x14ac:dyDescent="0.2">
      <c r="A195" s="245" t="s">
        <v>951</v>
      </c>
      <c r="B195" s="244" t="s">
        <v>952</v>
      </c>
      <c r="C195" s="244" t="s">
        <v>447</v>
      </c>
      <c r="D195" s="244"/>
      <c r="E195" s="243">
        <v>124446</v>
      </c>
      <c r="F195" s="243">
        <v>126195</v>
      </c>
      <c r="G195" s="243">
        <v>131332</v>
      </c>
      <c r="H195" s="243">
        <v>136269</v>
      </c>
      <c r="I195" s="243">
        <v>134693</v>
      </c>
      <c r="J195" s="243">
        <v>112752</v>
      </c>
      <c r="K195" s="243">
        <v>114651</v>
      </c>
      <c r="L195" s="243">
        <v>134397</v>
      </c>
      <c r="M195" s="243">
        <v>148730.51445301203</v>
      </c>
      <c r="N195" s="243">
        <v>156891.09718271924</v>
      </c>
    </row>
    <row r="196" spans="1:14" x14ac:dyDescent="0.2">
      <c r="A196" s="245" t="s">
        <v>953</v>
      </c>
      <c r="B196" s="244" t="s">
        <v>954</v>
      </c>
      <c r="C196" s="244"/>
      <c r="D196" s="244"/>
      <c r="E196" s="243">
        <v>17743.999999999989</v>
      </c>
      <c r="F196" s="243">
        <v>16758.000000000007</v>
      </c>
      <c r="G196" s="243">
        <v>16407.999999999993</v>
      </c>
      <c r="H196" s="243">
        <v>14606.000000000005</v>
      </c>
      <c r="I196" s="243">
        <v>11735.000000000005</v>
      </c>
      <c r="J196" s="243">
        <v>5785.0000000000036</v>
      </c>
      <c r="K196" s="243">
        <v>16438.000000000007</v>
      </c>
      <c r="L196" s="243">
        <v>17164.000000000007</v>
      </c>
      <c r="M196" s="243">
        <v>25855.695682356309</v>
      </c>
      <c r="N196" s="243">
        <v>24988.637522130244</v>
      </c>
    </row>
    <row r="197" spans="1:14" x14ac:dyDescent="0.2">
      <c r="A197" s="245" t="s">
        <v>955</v>
      </c>
      <c r="B197" s="244" t="s">
        <v>956</v>
      </c>
      <c r="C197" s="244"/>
      <c r="D197" s="244"/>
      <c r="E197" s="243" t="s">
        <v>711</v>
      </c>
      <c r="F197" s="243" t="s">
        <v>711</v>
      </c>
      <c r="G197" s="243">
        <v>9.8291009999999996</v>
      </c>
      <c r="H197" s="243">
        <v>8.1088920000000009</v>
      </c>
      <c r="I197" s="243">
        <v>6.2019500000000001</v>
      </c>
      <c r="J197" s="243">
        <v>2.7035420000000001</v>
      </c>
      <c r="K197" s="243">
        <v>15.9</v>
      </c>
      <c r="L197" s="243">
        <v>14.97</v>
      </c>
      <c r="M197" s="243">
        <v>13.865026272659643</v>
      </c>
      <c r="N197" s="243">
        <v>14.224308935630958</v>
      </c>
    </row>
    <row r="198" spans="1:14" x14ac:dyDescent="0.2">
      <c r="A198" s="245" t="s">
        <v>704</v>
      </c>
      <c r="B198" s="244"/>
      <c r="C198" s="244"/>
      <c r="D198" s="244"/>
      <c r="E198" s="243"/>
      <c r="F198" s="243"/>
      <c r="G198" s="243"/>
      <c r="H198" s="243"/>
      <c r="I198" s="243"/>
      <c r="J198" s="243"/>
      <c r="K198" s="243"/>
      <c r="L198" s="243"/>
      <c r="M198" s="243"/>
      <c r="N198" s="243"/>
    </row>
    <row r="199" spans="1:14" x14ac:dyDescent="0.2">
      <c r="A199" s="245" t="s">
        <v>957</v>
      </c>
      <c r="B199" s="244" t="s">
        <v>958</v>
      </c>
      <c r="C199" s="244" t="s">
        <v>959</v>
      </c>
      <c r="D199" s="244"/>
      <c r="E199" s="243">
        <v>10763</v>
      </c>
      <c r="F199" s="243">
        <v>10972</v>
      </c>
      <c r="G199" s="243">
        <v>11527</v>
      </c>
      <c r="H199" s="243">
        <v>11403</v>
      </c>
      <c r="I199" s="243">
        <v>11161</v>
      </c>
      <c r="J199" s="243">
        <v>10193</v>
      </c>
      <c r="K199" s="243">
        <v>11915</v>
      </c>
      <c r="L199" s="243">
        <v>10888</v>
      </c>
      <c r="M199" s="243">
        <v>10417.10523996255</v>
      </c>
      <c r="N199" s="243">
        <v>11263.934110934659</v>
      </c>
    </row>
    <row r="200" spans="1:14" x14ac:dyDescent="0.2">
      <c r="A200" s="245" t="s">
        <v>722</v>
      </c>
      <c r="B200" s="244" t="s">
        <v>723</v>
      </c>
      <c r="C200" s="244"/>
      <c r="D200" s="244"/>
      <c r="E200" s="243">
        <v>0</v>
      </c>
      <c r="F200" s="243">
        <v>0</v>
      </c>
      <c r="G200" s="243">
        <v>8000</v>
      </c>
      <c r="H200" s="243">
        <v>0</v>
      </c>
      <c r="I200" s="243">
        <v>7400</v>
      </c>
      <c r="J200" s="243">
        <v>7100</v>
      </c>
      <c r="K200" s="243">
        <v>7600</v>
      </c>
      <c r="L200" s="243">
        <v>7800</v>
      </c>
      <c r="M200" s="243">
        <v>7800</v>
      </c>
      <c r="N200" s="243">
        <v>8034</v>
      </c>
    </row>
    <row r="201" spans="1:14" x14ac:dyDescent="0.2">
      <c r="A201" s="245" t="s">
        <v>960</v>
      </c>
      <c r="B201" s="244" t="s">
        <v>961</v>
      </c>
      <c r="C201" s="244"/>
      <c r="D201" s="244"/>
      <c r="E201" s="243">
        <v>7.1965391353187389</v>
      </c>
      <c r="F201" s="243">
        <v>7.2279314888010537</v>
      </c>
      <c r="G201" s="243">
        <v>7.3525284482318725</v>
      </c>
      <c r="H201" s="243">
        <v>7.1118512143097705</v>
      </c>
      <c r="I201" s="243">
        <v>7.1590763309813985</v>
      </c>
      <c r="J201" s="243">
        <v>8.0168942301642225</v>
      </c>
      <c r="K201" s="243">
        <v>8.7391173601484518</v>
      </c>
      <c r="L201" s="243">
        <v>6.8886540931436127</v>
      </c>
      <c r="M201" s="243">
        <v>6.0721565114182114</v>
      </c>
      <c r="N201" s="243">
        <v>6.1965382230650512</v>
      </c>
    </row>
    <row r="202" spans="1:14" x14ac:dyDescent="0.2">
      <c r="A202" s="245" t="s">
        <v>704</v>
      </c>
      <c r="B202" s="244"/>
      <c r="C202" s="244"/>
      <c r="D202" s="244"/>
      <c r="E202" s="243"/>
      <c r="F202" s="243"/>
      <c r="G202" s="243"/>
      <c r="H202" s="243"/>
      <c r="I202" s="243"/>
      <c r="J202" s="243"/>
      <c r="K202" s="243"/>
      <c r="L202" s="243"/>
      <c r="M202" s="243"/>
      <c r="N202" s="243"/>
    </row>
    <row r="203" spans="1:14" x14ac:dyDescent="0.2">
      <c r="A203" s="245" t="s">
        <v>962</v>
      </c>
      <c r="B203" s="244" t="s">
        <v>963</v>
      </c>
      <c r="C203" s="244"/>
      <c r="D203" s="244"/>
      <c r="E203" s="243" t="s">
        <v>711</v>
      </c>
      <c r="F203" s="243" t="s">
        <v>711</v>
      </c>
      <c r="G203" s="243">
        <v>4881</v>
      </c>
      <c r="H203" s="243">
        <v>3203</v>
      </c>
      <c r="I203" s="243">
        <v>574</v>
      </c>
      <c r="J203" s="243">
        <v>-4408</v>
      </c>
      <c r="K203" s="243">
        <v>4523</v>
      </c>
      <c r="L203" s="243">
        <v>6276</v>
      </c>
      <c r="M203" s="243">
        <v>6626.5870112044495</v>
      </c>
      <c r="N203" s="243">
        <v>7061.191588364698</v>
      </c>
    </row>
    <row r="204" spans="1:14" x14ac:dyDescent="0.2">
      <c r="A204" s="245" t="s">
        <v>704</v>
      </c>
      <c r="B204" s="244"/>
      <c r="C204" s="244"/>
      <c r="D204" s="244"/>
      <c r="E204" s="243"/>
      <c r="F204" s="243"/>
      <c r="G204" s="243"/>
      <c r="H204" s="243"/>
      <c r="I204" s="243"/>
      <c r="J204" s="243"/>
      <c r="K204" s="243"/>
      <c r="L204" s="243"/>
      <c r="M204" s="243"/>
      <c r="N204" s="243"/>
    </row>
    <row r="205" spans="1:14" x14ac:dyDescent="0.2">
      <c r="A205" s="245" t="s">
        <v>964</v>
      </c>
      <c r="B205" s="244" t="s">
        <v>965</v>
      </c>
      <c r="C205" s="244"/>
      <c r="D205" s="244"/>
      <c r="E205" s="243">
        <v>7966</v>
      </c>
      <c r="F205" s="243">
        <v>8717</v>
      </c>
      <c r="G205" s="243">
        <v>8572</v>
      </c>
      <c r="H205" s="243">
        <v>8413</v>
      </c>
      <c r="I205" s="243">
        <v>8490</v>
      </c>
      <c r="J205" s="243">
        <v>7457</v>
      </c>
      <c r="K205" s="243">
        <v>7318</v>
      </c>
      <c r="L205" s="243">
        <v>7642</v>
      </c>
      <c r="M205" s="243">
        <v>8891.5919288749992</v>
      </c>
      <c r="N205" s="243">
        <v>9522.9320877600003</v>
      </c>
    </row>
    <row r="206" spans="1:14" x14ac:dyDescent="0.2">
      <c r="A206" s="245" t="s">
        <v>704</v>
      </c>
      <c r="B206" s="244"/>
      <c r="C206" s="244"/>
      <c r="D206" s="244"/>
      <c r="E206" s="243"/>
      <c r="F206" s="243"/>
      <c r="G206" s="243"/>
      <c r="H206" s="243"/>
      <c r="I206" s="243"/>
      <c r="J206" s="243"/>
      <c r="K206" s="243"/>
      <c r="L206" s="243"/>
      <c r="M206" s="243"/>
      <c r="N206" s="243"/>
    </row>
    <row r="207" spans="1:14" x14ac:dyDescent="0.2">
      <c r="A207" s="245" t="s">
        <v>966</v>
      </c>
      <c r="B207" s="244" t="s">
        <v>967</v>
      </c>
      <c r="C207" s="244" t="s">
        <v>918</v>
      </c>
      <c r="D207" s="244"/>
      <c r="E207" s="243">
        <v>773</v>
      </c>
      <c r="F207" s="243">
        <v>951</v>
      </c>
      <c r="G207" s="243">
        <v>1190</v>
      </c>
      <c r="H207" s="243">
        <v>1228</v>
      </c>
      <c r="I207" s="243">
        <v>1020</v>
      </c>
      <c r="J207" s="243">
        <v>1649</v>
      </c>
      <c r="K207" s="243">
        <v>1803</v>
      </c>
      <c r="L207" s="243">
        <v>1259</v>
      </c>
      <c r="M207" s="243">
        <v>1250.3030000000001</v>
      </c>
      <c r="N207" s="243">
        <v>1304.7382080492796</v>
      </c>
    </row>
    <row r="208" spans="1:14" x14ac:dyDescent="0.2">
      <c r="A208" s="245" t="s">
        <v>968</v>
      </c>
      <c r="B208" s="244" t="s">
        <v>969</v>
      </c>
      <c r="C208" s="244" t="s">
        <v>970</v>
      </c>
      <c r="D208" s="244"/>
      <c r="E208" s="243">
        <v>1818</v>
      </c>
      <c r="F208" s="243">
        <v>1780</v>
      </c>
      <c r="G208" s="243">
        <v>1201</v>
      </c>
      <c r="H208" s="243">
        <v>123</v>
      </c>
      <c r="I208" s="243">
        <v>32</v>
      </c>
      <c r="J208" s="243">
        <v>42</v>
      </c>
      <c r="K208" s="243">
        <v>327</v>
      </c>
      <c r="L208" s="243">
        <v>-2883</v>
      </c>
      <c r="M208" s="243">
        <v>376.45848413231744</v>
      </c>
      <c r="N208" s="243">
        <v>325.49725504570677</v>
      </c>
    </row>
    <row r="209" spans="1:14" x14ac:dyDescent="0.2">
      <c r="A209" s="245" t="s">
        <v>971</v>
      </c>
      <c r="B209" s="244" t="s">
        <v>972</v>
      </c>
      <c r="C209" s="244" t="s">
        <v>973</v>
      </c>
      <c r="D209" s="244"/>
      <c r="E209" s="243">
        <v>10179</v>
      </c>
      <c r="F209" s="243">
        <v>6784</v>
      </c>
      <c r="G209" s="243">
        <v>8159</v>
      </c>
      <c r="H209" s="243">
        <v>4345</v>
      </c>
      <c r="I209" s="243">
        <v>-640</v>
      </c>
      <c r="J209" s="243">
        <v>-1116</v>
      </c>
      <c r="K209" s="243">
        <v>17780</v>
      </c>
      <c r="L209" s="243">
        <v>-3016</v>
      </c>
      <c r="M209" s="243">
        <v>6234.9142625543582</v>
      </c>
      <c r="N209" s="243">
        <v>8198.2359124278319</v>
      </c>
    </row>
    <row r="210" spans="1:14" x14ac:dyDescent="0.2">
      <c r="A210" s="245" t="s">
        <v>974</v>
      </c>
      <c r="B210" s="244" t="s">
        <v>975</v>
      </c>
      <c r="C210" s="244" t="s">
        <v>973</v>
      </c>
      <c r="D210" s="244"/>
      <c r="E210" s="243">
        <v>8224</v>
      </c>
      <c r="F210" s="243">
        <v>9422</v>
      </c>
      <c r="G210" s="243">
        <v>7259</v>
      </c>
      <c r="H210" s="243">
        <v>5422</v>
      </c>
      <c r="I210" s="243">
        <v>4926</v>
      </c>
      <c r="J210" s="243">
        <v>1633</v>
      </c>
      <c r="K210" s="243">
        <v>13063</v>
      </c>
      <c r="L210" s="243">
        <v>-5673</v>
      </c>
      <c r="M210" s="243">
        <v>10393.474642758087</v>
      </c>
      <c r="N210" s="243">
        <v>9293.0799783351486</v>
      </c>
    </row>
    <row r="211" spans="1:14" x14ac:dyDescent="0.2">
      <c r="A211" s="245" t="s">
        <v>704</v>
      </c>
      <c r="B211" s="244"/>
      <c r="C211" s="244"/>
      <c r="D211" s="244"/>
      <c r="E211" s="243"/>
      <c r="F211" s="243"/>
      <c r="G211" s="243"/>
      <c r="H211" s="243"/>
      <c r="I211" s="243"/>
      <c r="J211" s="243"/>
      <c r="K211" s="243"/>
      <c r="L211" s="243"/>
      <c r="M211" s="243"/>
      <c r="N211" s="243"/>
    </row>
    <row r="212" spans="1:14" x14ac:dyDescent="0.2">
      <c r="A212" s="245" t="s">
        <v>976</v>
      </c>
      <c r="B212" s="244" t="s">
        <v>977</v>
      </c>
      <c r="C212" s="244"/>
      <c r="D212" s="244"/>
      <c r="E212" s="243">
        <v>28.038117693290108</v>
      </c>
      <c r="F212" s="243">
        <v>32.193396226415096</v>
      </c>
      <c r="G212" s="243">
        <v>4.9270743963721042</v>
      </c>
      <c r="H212" s="243">
        <v>14.959723820483314</v>
      </c>
      <c r="I212" s="243" t="s">
        <v>711</v>
      </c>
      <c r="J212" s="243" t="s">
        <v>711</v>
      </c>
      <c r="K212" s="243" t="s">
        <v>711</v>
      </c>
      <c r="L212" s="243" t="s">
        <v>711</v>
      </c>
      <c r="M212" s="243">
        <v>18.396624643465792</v>
      </c>
      <c r="N212" s="243">
        <v>21.604381113384189</v>
      </c>
    </row>
    <row r="213" spans="1:14" x14ac:dyDescent="0.2">
      <c r="A213" s="245" t="s">
        <v>978</v>
      </c>
      <c r="B213" s="244" t="s">
        <v>869</v>
      </c>
      <c r="C213" s="244" t="s">
        <v>979</v>
      </c>
      <c r="D213" s="244"/>
      <c r="E213" s="243">
        <v>2854</v>
      </c>
      <c r="F213" s="243">
        <v>2184</v>
      </c>
      <c r="G213" s="243">
        <v>402</v>
      </c>
      <c r="H213" s="243">
        <v>650</v>
      </c>
      <c r="I213" s="243">
        <v>-724</v>
      </c>
      <c r="J213" s="243">
        <v>160</v>
      </c>
      <c r="K213" s="243">
        <v>-130</v>
      </c>
      <c r="L213" s="243">
        <v>-864</v>
      </c>
      <c r="M213" s="243">
        <v>1198.9845788825323</v>
      </c>
      <c r="N213" s="243">
        <v>1944.24516636568</v>
      </c>
    </row>
    <row r="214" spans="1:14" x14ac:dyDescent="0.2">
      <c r="A214" s="245" t="s">
        <v>704</v>
      </c>
      <c r="B214" s="244"/>
      <c r="C214" s="244"/>
      <c r="D214" s="244"/>
      <c r="E214" s="243"/>
      <c r="F214" s="243"/>
      <c r="G214" s="243"/>
      <c r="H214" s="243"/>
      <c r="I214" s="243"/>
      <c r="J214" s="243"/>
      <c r="K214" s="243"/>
      <c r="L214" s="243"/>
      <c r="M214" s="243"/>
      <c r="N214" s="243"/>
    </row>
    <row r="215" spans="1:14" x14ac:dyDescent="0.2">
      <c r="A215" s="245" t="s">
        <v>980</v>
      </c>
      <c r="B215" s="244" t="s">
        <v>981</v>
      </c>
      <c r="C215" s="244" t="s">
        <v>982</v>
      </c>
      <c r="D215" s="244"/>
      <c r="E215" s="243">
        <v>-2</v>
      </c>
      <c r="F215" s="243">
        <v>11</v>
      </c>
      <c r="G215" s="243">
        <v>26</v>
      </c>
      <c r="H215" s="243">
        <v>18</v>
      </c>
      <c r="I215" s="243">
        <v>37</v>
      </c>
      <c r="J215" s="243">
        <v>3</v>
      </c>
      <c r="K215" s="243">
        <v>-27</v>
      </c>
      <c r="L215" s="243">
        <v>-171</v>
      </c>
      <c r="M215" s="243">
        <v>-69</v>
      </c>
      <c r="N215" s="243">
        <v>-31.8</v>
      </c>
    </row>
    <row r="216" spans="1:14" x14ac:dyDescent="0.2">
      <c r="A216" s="245" t="s">
        <v>983</v>
      </c>
      <c r="B216" s="244" t="s">
        <v>984</v>
      </c>
      <c r="C216" s="244" t="s">
        <v>475</v>
      </c>
      <c r="D216" s="244"/>
      <c r="E216" s="243">
        <v>7400</v>
      </c>
      <c r="F216" s="243">
        <v>4596</v>
      </c>
      <c r="G216" s="243">
        <v>7602</v>
      </c>
      <c r="H216" s="243">
        <v>3677</v>
      </c>
      <c r="I216" s="243">
        <v>47</v>
      </c>
      <c r="J216" s="243">
        <v>-1279</v>
      </c>
      <c r="K216" s="243">
        <v>17937</v>
      </c>
      <c r="L216" s="243">
        <v>-1981</v>
      </c>
      <c r="M216" s="243">
        <v>5012.7142857142862</v>
      </c>
      <c r="N216" s="243">
        <v>6078.8571428571422</v>
      </c>
    </row>
    <row r="217" spans="1:14" x14ac:dyDescent="0.2">
      <c r="A217" s="245" t="s">
        <v>704</v>
      </c>
      <c r="B217" s="244"/>
      <c r="C217" s="244"/>
      <c r="D217" s="244"/>
      <c r="E217" s="243"/>
      <c r="F217" s="243"/>
      <c r="G217" s="243"/>
      <c r="H217" s="243"/>
      <c r="I217" s="243"/>
      <c r="J217" s="243"/>
      <c r="K217" s="243"/>
      <c r="L217" s="243"/>
      <c r="M217" s="243"/>
      <c r="N217" s="243"/>
    </row>
    <row r="218" spans="1:14" x14ac:dyDescent="0.2">
      <c r="A218" s="245" t="s">
        <v>985</v>
      </c>
      <c r="B218" s="244" t="s">
        <v>986</v>
      </c>
      <c r="C218" s="244" t="s">
        <v>987</v>
      </c>
      <c r="D218" s="244"/>
      <c r="E218" s="243">
        <v>3969</v>
      </c>
      <c r="F218" s="243">
        <v>3973</v>
      </c>
      <c r="G218" s="243">
        <v>3975</v>
      </c>
      <c r="H218" s="243">
        <v>3974</v>
      </c>
      <c r="I218" s="243">
        <v>3972</v>
      </c>
      <c r="J218" s="243">
        <v>3973</v>
      </c>
      <c r="K218" s="243">
        <v>3991</v>
      </c>
      <c r="L218" s="243">
        <v>4014</v>
      </c>
      <c r="M218" s="243">
        <v>4009.8214285714289</v>
      </c>
      <c r="N218" s="243">
        <v>4010.9285714285711</v>
      </c>
    </row>
    <row r="219" spans="1:14" x14ac:dyDescent="0.2">
      <c r="A219" s="245" t="s">
        <v>704</v>
      </c>
      <c r="B219" s="244"/>
      <c r="C219" s="244"/>
      <c r="D219" s="244"/>
      <c r="E219" s="243"/>
      <c r="F219" s="243"/>
      <c r="G219" s="243"/>
      <c r="H219" s="243"/>
      <c r="I219" s="243"/>
      <c r="J219" s="243"/>
      <c r="K219" s="243"/>
      <c r="L219" s="243"/>
      <c r="M219" s="243"/>
      <c r="N219" s="243"/>
    </row>
    <row r="220" spans="1:14" x14ac:dyDescent="0.2">
      <c r="A220" s="245" t="s">
        <v>988</v>
      </c>
      <c r="B220" s="244" t="s">
        <v>989</v>
      </c>
      <c r="C220" s="244" t="s">
        <v>990</v>
      </c>
      <c r="D220" s="244"/>
      <c r="E220" s="243">
        <v>4002</v>
      </c>
      <c r="F220" s="243">
        <v>3999</v>
      </c>
      <c r="G220" s="243">
        <v>3998</v>
      </c>
      <c r="H220" s="243">
        <v>3998</v>
      </c>
      <c r="I220" s="243">
        <v>4004</v>
      </c>
      <c r="J220" s="243">
        <v>4002</v>
      </c>
      <c r="K220" s="243">
        <v>4034</v>
      </c>
      <c r="L220" s="243">
        <v>4056</v>
      </c>
      <c r="M220" s="243">
        <v>4039.6666666666665</v>
      </c>
      <c r="N220" s="243">
        <v>4042.6111111111113</v>
      </c>
    </row>
    <row r="221" spans="1:14" x14ac:dyDescent="0.2">
      <c r="A221" s="245" t="s">
        <v>991</v>
      </c>
      <c r="B221" s="244" t="s">
        <v>992</v>
      </c>
      <c r="C221" s="244" t="s">
        <v>993</v>
      </c>
      <c r="D221" s="244"/>
      <c r="E221" s="243">
        <v>1.84</v>
      </c>
      <c r="F221" s="243">
        <v>1.1499999999999999</v>
      </c>
      <c r="G221" s="243">
        <v>1.9</v>
      </c>
      <c r="H221" s="243">
        <v>0.92</v>
      </c>
      <c r="I221" s="243">
        <v>0.01</v>
      </c>
      <c r="J221" s="243">
        <v>-0.32</v>
      </c>
      <c r="K221" s="243">
        <v>4.45</v>
      </c>
      <c r="L221" s="243">
        <v>-0.49</v>
      </c>
      <c r="M221" s="243">
        <v>1.4950000000000001</v>
      </c>
      <c r="N221" s="243">
        <v>1.6553846153846155</v>
      </c>
    </row>
    <row r="222" spans="1:14" x14ac:dyDescent="0.2">
      <c r="A222" s="245" t="s">
        <v>704</v>
      </c>
      <c r="B222" s="244"/>
      <c r="C222" s="244"/>
      <c r="D222" s="244"/>
      <c r="E222" s="243"/>
      <c r="F222" s="243"/>
      <c r="G222" s="243"/>
      <c r="H222" s="243"/>
      <c r="I222" s="243"/>
      <c r="J222" s="243"/>
      <c r="K222" s="243"/>
      <c r="L222" s="243"/>
      <c r="M222" s="243"/>
      <c r="N222" s="243"/>
    </row>
    <row r="223" spans="1:14" x14ac:dyDescent="0.2">
      <c r="A223" s="245" t="s">
        <v>994</v>
      </c>
      <c r="B223" s="244" t="s">
        <v>995</v>
      </c>
      <c r="C223" s="244" t="s">
        <v>996</v>
      </c>
      <c r="D223" s="244"/>
      <c r="E223" s="243">
        <v>0.6</v>
      </c>
      <c r="F223" s="243">
        <v>0.85</v>
      </c>
      <c r="G223" s="243">
        <v>0.6</v>
      </c>
      <c r="H223" s="243">
        <v>0.6</v>
      </c>
      <c r="I223" s="243">
        <v>0.6</v>
      </c>
      <c r="J223" s="243">
        <v>0.15</v>
      </c>
      <c r="K223" s="243">
        <v>0.1</v>
      </c>
      <c r="L223" s="243">
        <v>0.15</v>
      </c>
      <c r="M223" s="243">
        <v>1.25</v>
      </c>
      <c r="N223" s="243">
        <v>0.5976470588235292</v>
      </c>
    </row>
    <row r="224" spans="1:14" x14ac:dyDescent="0.2">
      <c r="A224" s="245" t="s">
        <v>704</v>
      </c>
      <c r="B224" s="244"/>
      <c r="C224" s="244"/>
      <c r="D224" s="244"/>
      <c r="E224" s="243"/>
      <c r="F224" s="243"/>
      <c r="G224" s="243"/>
      <c r="H224" s="243"/>
      <c r="I224" s="243"/>
      <c r="J224" s="243"/>
      <c r="K224" s="243"/>
      <c r="L224" s="243"/>
      <c r="M224" s="243"/>
      <c r="N224" s="243"/>
    </row>
    <row r="225" spans="1:14" x14ac:dyDescent="0.2">
      <c r="A225" s="245" t="s">
        <v>997</v>
      </c>
      <c r="B225" s="244"/>
      <c r="C225" s="244" t="s">
        <v>998</v>
      </c>
      <c r="D225" s="244"/>
      <c r="E225" s="243"/>
      <c r="F225" s="243"/>
      <c r="G225" s="243"/>
      <c r="H225" s="243"/>
      <c r="I225" s="243"/>
      <c r="J225" s="243"/>
      <c r="K225" s="243"/>
      <c r="L225" s="243"/>
      <c r="M225" s="243"/>
      <c r="N225" s="243"/>
    </row>
    <row r="226" spans="1:14" x14ac:dyDescent="0.2">
      <c r="A226" s="245" t="s">
        <v>999</v>
      </c>
      <c r="B226" s="244" t="s">
        <v>1000</v>
      </c>
      <c r="C226" s="244" t="s">
        <v>459</v>
      </c>
      <c r="D226" s="244"/>
      <c r="E226" s="243" t="s">
        <v>711</v>
      </c>
      <c r="F226" s="243" t="s">
        <v>711</v>
      </c>
      <c r="G226" s="243">
        <v>9626</v>
      </c>
      <c r="H226" s="243">
        <v>7002</v>
      </c>
      <c r="I226" s="243">
        <v>6379</v>
      </c>
      <c r="J226" s="243">
        <v>2779</v>
      </c>
      <c r="K226" s="243">
        <v>10000</v>
      </c>
      <c r="L226" s="243">
        <v>10415</v>
      </c>
      <c r="M226" s="243">
        <v>10016.714285714284</v>
      </c>
      <c r="N226" s="243">
        <v>9692.3571428571431</v>
      </c>
    </row>
    <row r="227" spans="1:14" x14ac:dyDescent="0.2">
      <c r="A227" s="245" t="s">
        <v>856</v>
      </c>
      <c r="B227" s="244" t="s">
        <v>1001</v>
      </c>
      <c r="C227" s="244" t="s">
        <v>938</v>
      </c>
      <c r="D227" s="244"/>
      <c r="E227" s="243" t="s">
        <v>711</v>
      </c>
      <c r="F227" s="243">
        <v>7.4604743083003955</v>
      </c>
      <c r="G227" s="243">
        <v>6.1476246364239424</v>
      </c>
      <c r="H227" s="243">
        <v>4.3670246604048941</v>
      </c>
      <c r="I227" s="243">
        <v>4.0917254650416934</v>
      </c>
      <c r="J227" s="243">
        <v>1.9945888126848297</v>
      </c>
      <c r="K227" s="243">
        <v>7.3345508687775505</v>
      </c>
      <c r="L227" s="243">
        <v>6.5893949651075241</v>
      </c>
      <c r="M227" s="243">
        <v>6.5616618272336282</v>
      </c>
      <c r="N227" s="243">
        <v>5.698144523512104</v>
      </c>
    </row>
    <row r="228" spans="1:14" x14ac:dyDescent="0.2">
      <c r="A228" s="245" t="s">
        <v>1002</v>
      </c>
      <c r="B228" s="244" t="s">
        <v>1003</v>
      </c>
      <c r="C228" s="244"/>
      <c r="D228" s="244"/>
      <c r="E228" s="243" t="s">
        <v>711</v>
      </c>
      <c r="F228" s="243" t="s">
        <v>711</v>
      </c>
      <c r="G228" s="243">
        <v>9627</v>
      </c>
      <c r="H228" s="243">
        <v>14320</v>
      </c>
      <c r="I228" s="243">
        <v>14869</v>
      </c>
      <c r="J228" s="243">
        <v>10236</v>
      </c>
      <c r="K228" s="243">
        <v>15960</v>
      </c>
      <c r="L228" s="243">
        <v>17642</v>
      </c>
      <c r="M228" s="243">
        <v>15250.428571428572</v>
      </c>
      <c r="N228" s="243">
        <v>15400.928571428572</v>
      </c>
    </row>
    <row r="229" spans="1:14" x14ac:dyDescent="0.2">
      <c r="A229" s="245" t="s">
        <v>1004</v>
      </c>
      <c r="B229" s="244" t="s">
        <v>1005</v>
      </c>
      <c r="C229" s="244" t="s">
        <v>973</v>
      </c>
      <c r="D229" s="244"/>
      <c r="E229" s="243">
        <v>8800</v>
      </c>
      <c r="F229" s="243">
        <v>10375</v>
      </c>
      <c r="G229" s="243">
        <v>8437</v>
      </c>
      <c r="H229" s="243">
        <v>5774</v>
      </c>
      <c r="I229" s="243">
        <v>5359</v>
      </c>
      <c r="J229" s="243">
        <v>1130</v>
      </c>
      <c r="K229" s="243">
        <v>8197</v>
      </c>
      <c r="L229" s="243">
        <v>9156</v>
      </c>
      <c r="M229" s="243">
        <v>9389.7999999999993</v>
      </c>
      <c r="N229" s="243">
        <v>8976.2666666666664</v>
      </c>
    </row>
    <row r="230" spans="1:14" x14ac:dyDescent="0.2">
      <c r="A230" s="245" t="s">
        <v>922</v>
      </c>
      <c r="B230" s="244" t="s">
        <v>1006</v>
      </c>
      <c r="C230" s="244" t="s">
        <v>475</v>
      </c>
      <c r="D230" s="244"/>
      <c r="E230" s="243">
        <v>7716</v>
      </c>
      <c r="F230" s="243">
        <v>7054</v>
      </c>
      <c r="G230" s="243">
        <v>7116</v>
      </c>
      <c r="H230" s="243">
        <v>5194</v>
      </c>
      <c r="I230" s="243">
        <v>4758</v>
      </c>
      <c r="J230" s="243">
        <v>1637</v>
      </c>
      <c r="K230" s="243">
        <v>8286.9189999999999</v>
      </c>
      <c r="L230" s="243">
        <v>7618</v>
      </c>
      <c r="M230" s="243">
        <v>7273.588235294118</v>
      </c>
      <c r="N230" s="243">
        <v>7027.0588235294117</v>
      </c>
    </row>
    <row r="231" spans="1:14" x14ac:dyDescent="0.2">
      <c r="A231" s="245" t="s">
        <v>1007</v>
      </c>
      <c r="B231" s="244" t="s">
        <v>700</v>
      </c>
      <c r="C231" s="244" t="s">
        <v>993</v>
      </c>
      <c r="D231" s="244"/>
      <c r="E231" s="243">
        <v>1.93</v>
      </c>
      <c r="F231" s="243">
        <v>1.76</v>
      </c>
      <c r="G231" s="243">
        <v>1.78</v>
      </c>
      <c r="H231" s="243">
        <v>1.3</v>
      </c>
      <c r="I231" s="243">
        <v>1.19</v>
      </c>
      <c r="J231" s="243">
        <v>0.41</v>
      </c>
      <c r="K231" s="243">
        <v>2.054268</v>
      </c>
      <c r="L231" s="243">
        <v>1.88</v>
      </c>
      <c r="M231" s="243">
        <v>1.8810526315789475</v>
      </c>
      <c r="N231" s="243">
        <v>1.7215</v>
      </c>
    </row>
    <row r="232" spans="1:14" x14ac:dyDescent="0.2">
      <c r="A232" s="245" t="s">
        <v>704</v>
      </c>
      <c r="B232" s="244"/>
      <c r="C232" s="244"/>
      <c r="D232" s="244"/>
      <c r="E232" s="243"/>
      <c r="F232" s="243"/>
      <c r="G232" s="243"/>
      <c r="H232" s="243"/>
      <c r="I232" s="243"/>
      <c r="J232" s="243"/>
      <c r="K232" s="243"/>
      <c r="L232" s="243"/>
      <c r="M232" s="243"/>
      <c r="N232" s="243"/>
    </row>
    <row r="233" spans="1:14" x14ac:dyDescent="0.2">
      <c r="A233" s="245" t="s">
        <v>1008</v>
      </c>
      <c r="B233" s="244"/>
      <c r="C233" s="244" t="s">
        <v>1009</v>
      </c>
      <c r="D233" s="244"/>
      <c r="E233" s="243"/>
      <c r="F233" s="243"/>
      <c r="G233" s="243"/>
      <c r="H233" s="243"/>
      <c r="I233" s="243"/>
      <c r="J233" s="243"/>
      <c r="K233" s="243"/>
      <c r="L233" s="243"/>
      <c r="M233" s="243"/>
      <c r="N233" s="243"/>
    </row>
    <row r="234" spans="1:14" x14ac:dyDescent="0.2">
      <c r="A234" s="245" t="s">
        <v>1010</v>
      </c>
      <c r="B234" s="244"/>
      <c r="C234" s="244" t="s">
        <v>1011</v>
      </c>
      <c r="D234" s="244"/>
      <c r="E234" s="243"/>
      <c r="F234" s="243"/>
      <c r="G234" s="243"/>
      <c r="H234" s="243"/>
      <c r="I234" s="243"/>
      <c r="J234" s="243"/>
      <c r="K234" s="243"/>
      <c r="L234" s="243"/>
      <c r="M234" s="243"/>
      <c r="N234" s="243"/>
    </row>
    <row r="235" spans="1:14" x14ac:dyDescent="0.2">
      <c r="A235" s="245" t="s">
        <v>872</v>
      </c>
      <c r="B235" s="244"/>
      <c r="C235" s="244" t="s">
        <v>874</v>
      </c>
      <c r="D235" s="244"/>
      <c r="E235" s="243"/>
      <c r="F235" s="243"/>
      <c r="G235" s="243"/>
      <c r="H235" s="243"/>
      <c r="I235" s="243"/>
      <c r="J235" s="243"/>
      <c r="K235" s="243"/>
      <c r="L235" s="243"/>
      <c r="M235" s="243"/>
      <c r="N235" s="243"/>
    </row>
    <row r="236" spans="1:14" x14ac:dyDescent="0.2">
      <c r="A236" s="245" t="s">
        <v>1012</v>
      </c>
      <c r="B236" s="244" t="s">
        <v>1013</v>
      </c>
      <c r="C236" s="244"/>
      <c r="D236" s="244"/>
      <c r="E236" s="243">
        <v>5386</v>
      </c>
      <c r="F236" s="243">
        <v>7820</v>
      </c>
      <c r="G236" s="243">
        <v>25687</v>
      </c>
      <c r="H236" s="243">
        <v>7111</v>
      </c>
      <c r="I236" s="243">
        <v>8437</v>
      </c>
      <c r="J236" s="243">
        <v>10894</v>
      </c>
      <c r="K236" s="243">
        <v>9577</v>
      </c>
      <c r="L236" s="243">
        <v>14741</v>
      </c>
      <c r="M236" s="243" t="s">
        <v>711</v>
      </c>
      <c r="N236" s="243" t="s">
        <v>711</v>
      </c>
    </row>
    <row r="237" spans="1:14" x14ac:dyDescent="0.2">
      <c r="A237" s="245" t="s">
        <v>875</v>
      </c>
      <c r="B237" s="244" t="s">
        <v>1014</v>
      </c>
      <c r="C237" s="244"/>
      <c r="D237" s="244"/>
      <c r="E237" s="243">
        <v>14272</v>
      </c>
      <c r="F237" s="243">
        <v>15905</v>
      </c>
      <c r="G237" s="243">
        <v>18492</v>
      </c>
      <c r="H237" s="243">
        <v>16718</v>
      </c>
      <c r="I237" s="243">
        <v>17504</v>
      </c>
      <c r="J237" s="243">
        <v>25243</v>
      </c>
      <c r="K237" s="243">
        <v>20540</v>
      </c>
      <c r="L237" s="243">
        <v>25134</v>
      </c>
      <c r="M237" s="243">
        <v>19903.299511344303</v>
      </c>
      <c r="N237" s="243">
        <v>12618.927378259419</v>
      </c>
    </row>
    <row r="238" spans="1:14" x14ac:dyDescent="0.2">
      <c r="A238" s="245" t="s">
        <v>876</v>
      </c>
      <c r="B238" s="244" t="s">
        <v>1015</v>
      </c>
      <c r="C238" s="244"/>
      <c r="D238" s="244"/>
      <c r="E238" s="243">
        <v>20904</v>
      </c>
      <c r="F238" s="243">
        <v>22922</v>
      </c>
      <c r="G238" s="243">
        <v>20435</v>
      </c>
      <c r="H238" s="243">
        <v>17233</v>
      </c>
      <c r="I238" s="243">
        <v>17147</v>
      </c>
      <c r="J238" s="243">
        <v>24718</v>
      </c>
      <c r="K238" s="243">
        <v>29053</v>
      </c>
      <c r="L238" s="243">
        <v>18936</v>
      </c>
      <c r="M238" s="243">
        <v>20046.5</v>
      </c>
      <c r="N238" s="243">
        <v>24788.5</v>
      </c>
    </row>
    <row r="239" spans="1:14" x14ac:dyDescent="0.2">
      <c r="A239" s="245" t="s">
        <v>879</v>
      </c>
      <c r="B239" s="244" t="s">
        <v>880</v>
      </c>
      <c r="C239" s="244" t="s">
        <v>222</v>
      </c>
      <c r="D239" s="244"/>
      <c r="E239" s="243">
        <v>8319</v>
      </c>
      <c r="F239" s="243">
        <v>8898</v>
      </c>
      <c r="G239" s="243">
        <v>11176</v>
      </c>
      <c r="H239" s="243">
        <v>11220</v>
      </c>
      <c r="I239" s="243">
        <v>10786</v>
      </c>
      <c r="J239" s="243">
        <v>10808</v>
      </c>
      <c r="K239" s="243">
        <v>12065</v>
      </c>
      <c r="L239" s="243">
        <v>14080</v>
      </c>
      <c r="M239" s="243">
        <v>15855.235608673536</v>
      </c>
      <c r="N239" s="243">
        <v>15638.932467093433</v>
      </c>
    </row>
    <row r="240" spans="1:14" x14ac:dyDescent="0.2">
      <c r="A240" s="245" t="s">
        <v>1016</v>
      </c>
      <c r="B240" s="244"/>
      <c r="C240" s="244" t="s">
        <v>1017</v>
      </c>
      <c r="D240" s="244"/>
      <c r="E240" s="243"/>
      <c r="F240" s="243"/>
      <c r="G240" s="243"/>
      <c r="H240" s="243"/>
      <c r="I240" s="243"/>
      <c r="J240" s="243"/>
      <c r="K240" s="243"/>
      <c r="L240" s="243"/>
      <c r="M240" s="243"/>
      <c r="N240" s="243"/>
    </row>
    <row r="241" spans="1:14" x14ac:dyDescent="0.2">
      <c r="A241" s="245" t="s">
        <v>1018</v>
      </c>
      <c r="B241" s="244" t="s">
        <v>1019</v>
      </c>
      <c r="C241" s="244"/>
      <c r="D241" s="244"/>
      <c r="E241" s="243">
        <v>27093</v>
      </c>
      <c r="F241" s="243">
        <v>28829</v>
      </c>
      <c r="G241" s="243">
        <v>28235</v>
      </c>
      <c r="H241" s="243">
        <v>29119</v>
      </c>
      <c r="I241" s="243">
        <v>29230</v>
      </c>
      <c r="J241" s="243">
        <v>27951</v>
      </c>
      <c r="K241" s="243">
        <v>26361</v>
      </c>
      <c r="L241" s="243">
        <v>22772</v>
      </c>
      <c r="M241" s="243">
        <v>22499</v>
      </c>
      <c r="N241" s="243">
        <v>23063</v>
      </c>
    </row>
    <row r="242" spans="1:14" x14ac:dyDescent="0.2">
      <c r="A242" s="245" t="s">
        <v>1020</v>
      </c>
      <c r="B242" s="244" t="s">
        <v>882</v>
      </c>
      <c r="C242" s="244"/>
      <c r="D242" s="244"/>
      <c r="E242" s="243">
        <v>30163</v>
      </c>
      <c r="F242" s="243">
        <v>32072</v>
      </c>
      <c r="G242" s="243">
        <v>35327</v>
      </c>
      <c r="H242" s="243">
        <v>36178</v>
      </c>
      <c r="I242" s="243">
        <v>36469</v>
      </c>
      <c r="J242" s="243">
        <v>37083</v>
      </c>
      <c r="K242" s="243">
        <v>37139</v>
      </c>
      <c r="L242" s="243">
        <v>37265</v>
      </c>
      <c r="M242" s="243">
        <v>40456.451014445083</v>
      </c>
      <c r="N242" s="243">
        <v>46818.19967801639</v>
      </c>
    </row>
    <row r="243" spans="1:14" x14ac:dyDescent="0.2">
      <c r="A243" s="245" t="s">
        <v>930</v>
      </c>
      <c r="B243" s="244" t="s">
        <v>888</v>
      </c>
      <c r="C243" s="244"/>
      <c r="D243" s="244"/>
      <c r="E243" s="243">
        <v>11509</v>
      </c>
      <c r="F243" s="243">
        <v>9705</v>
      </c>
      <c r="G243" s="243">
        <v>10762</v>
      </c>
      <c r="H243" s="243">
        <v>10412</v>
      </c>
      <c r="I243" s="243">
        <v>11863</v>
      </c>
      <c r="J243" s="243">
        <v>12423</v>
      </c>
      <c r="K243" s="243">
        <v>13796</v>
      </c>
      <c r="L243" s="243">
        <v>15552</v>
      </c>
      <c r="M243" s="243">
        <v>16137.333333333334</v>
      </c>
      <c r="N243" s="243">
        <v>16137.333333333334</v>
      </c>
    </row>
    <row r="244" spans="1:14" x14ac:dyDescent="0.2">
      <c r="A244" s="245" t="s">
        <v>891</v>
      </c>
      <c r="B244" s="244" t="s">
        <v>1021</v>
      </c>
      <c r="C244" s="244" t="s">
        <v>298</v>
      </c>
      <c r="D244" s="244"/>
      <c r="E244" s="243">
        <v>225491</v>
      </c>
      <c r="F244" s="243">
        <v>238510</v>
      </c>
      <c r="G244" s="243">
        <v>258496</v>
      </c>
      <c r="H244" s="243">
        <v>256540</v>
      </c>
      <c r="I244" s="243">
        <v>258537</v>
      </c>
      <c r="J244" s="243">
        <v>267261</v>
      </c>
      <c r="K244" s="243">
        <v>257035</v>
      </c>
      <c r="L244" s="243">
        <v>255884</v>
      </c>
      <c r="M244" s="243">
        <v>265328.33132649586</v>
      </c>
      <c r="N244" s="243">
        <v>270847.18849732587</v>
      </c>
    </row>
    <row r="245" spans="1:14" x14ac:dyDescent="0.2">
      <c r="A245" s="245" t="s">
        <v>704</v>
      </c>
      <c r="B245" s="244"/>
      <c r="C245" s="244"/>
      <c r="D245" s="244"/>
      <c r="E245" s="243"/>
      <c r="F245" s="243"/>
      <c r="G245" s="243"/>
      <c r="H245" s="243"/>
      <c r="I245" s="243"/>
      <c r="J245" s="243"/>
      <c r="K245" s="243"/>
      <c r="L245" s="243"/>
      <c r="M245" s="243"/>
      <c r="N245" s="243"/>
    </row>
    <row r="246" spans="1:14" x14ac:dyDescent="0.2">
      <c r="A246" s="245" t="s">
        <v>1022</v>
      </c>
      <c r="B246" s="244"/>
      <c r="C246" s="244" t="s">
        <v>1023</v>
      </c>
      <c r="D246" s="244"/>
      <c r="E246" s="243"/>
      <c r="F246" s="243"/>
      <c r="G246" s="243"/>
      <c r="H246" s="243"/>
      <c r="I246" s="243"/>
      <c r="J246" s="243"/>
      <c r="K246" s="243"/>
      <c r="L246" s="243"/>
      <c r="M246" s="243"/>
      <c r="N246" s="243"/>
    </row>
    <row r="247" spans="1:14" x14ac:dyDescent="0.2">
      <c r="A247" s="245" t="s">
        <v>893</v>
      </c>
      <c r="B247" s="244"/>
      <c r="C247" s="244" t="s">
        <v>895</v>
      </c>
      <c r="D247" s="244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</row>
    <row r="248" spans="1:14" x14ac:dyDescent="0.2">
      <c r="A248" s="245" t="s">
        <v>1024</v>
      </c>
      <c r="B248" s="244" t="s">
        <v>1025</v>
      </c>
      <c r="C248" s="244"/>
      <c r="D248" s="244"/>
      <c r="E248" s="243">
        <v>20272</v>
      </c>
      <c r="F248" s="243">
        <v>21296</v>
      </c>
      <c r="G248" s="243">
        <v>23282</v>
      </c>
      <c r="H248" s="243">
        <v>21520</v>
      </c>
      <c r="I248" s="243">
        <v>20673</v>
      </c>
      <c r="J248" s="243">
        <v>22204</v>
      </c>
      <c r="K248" s="243">
        <v>22349</v>
      </c>
      <c r="L248" s="243">
        <v>25605</v>
      </c>
      <c r="M248" s="243">
        <v>26874.5</v>
      </c>
      <c r="N248" s="243">
        <v>25374.5</v>
      </c>
    </row>
    <row r="249" spans="1:14" x14ac:dyDescent="0.2">
      <c r="A249" s="245" t="s">
        <v>1026</v>
      </c>
      <c r="B249" s="244"/>
      <c r="C249" s="244" t="s">
        <v>1027</v>
      </c>
      <c r="D249" s="244"/>
      <c r="E249" s="243"/>
      <c r="F249" s="243"/>
      <c r="G249" s="243"/>
      <c r="H249" s="243"/>
      <c r="I249" s="243"/>
      <c r="J249" s="243"/>
      <c r="K249" s="243"/>
      <c r="L249" s="243"/>
      <c r="M249" s="243"/>
      <c r="N249" s="243"/>
    </row>
    <row r="250" spans="1:14" x14ac:dyDescent="0.2">
      <c r="A250" s="245" t="s">
        <v>930</v>
      </c>
      <c r="B250" s="244" t="s">
        <v>931</v>
      </c>
      <c r="C250" s="244"/>
      <c r="D250" s="244"/>
      <c r="E250" s="243">
        <v>502</v>
      </c>
      <c r="F250" s="243">
        <v>691</v>
      </c>
      <c r="G250" s="243">
        <v>815</v>
      </c>
      <c r="H250" s="243">
        <v>597</v>
      </c>
      <c r="I250" s="243">
        <v>490</v>
      </c>
      <c r="J250" s="243">
        <v>538</v>
      </c>
      <c r="K250" s="243">
        <v>1581</v>
      </c>
      <c r="L250" s="243">
        <v>1549</v>
      </c>
      <c r="M250" s="243">
        <v>1764</v>
      </c>
      <c r="N250" s="243">
        <v>1995.5</v>
      </c>
    </row>
    <row r="251" spans="1:14" x14ac:dyDescent="0.2">
      <c r="A251" s="245" t="s">
        <v>1028</v>
      </c>
      <c r="B251" s="244" t="s">
        <v>1029</v>
      </c>
      <c r="C251" s="244"/>
      <c r="D251" s="244"/>
      <c r="E251" s="243">
        <v>11060</v>
      </c>
      <c r="F251" s="243">
        <v>13222</v>
      </c>
      <c r="G251" s="243">
        <v>12575</v>
      </c>
      <c r="H251" s="243">
        <v>11233</v>
      </c>
      <c r="I251" s="243">
        <v>13233</v>
      </c>
      <c r="J251" s="243">
        <v>22342</v>
      </c>
      <c r="K251" s="243">
        <v>17200</v>
      </c>
      <c r="L251" s="243">
        <v>19200</v>
      </c>
      <c r="M251" s="243" t="s">
        <v>711</v>
      </c>
      <c r="N251" s="243" t="s">
        <v>711</v>
      </c>
    </row>
    <row r="252" spans="1:14" x14ac:dyDescent="0.2">
      <c r="A252" s="245" t="s">
        <v>905</v>
      </c>
      <c r="B252" s="244" t="s">
        <v>1030</v>
      </c>
      <c r="C252" s="244" t="s">
        <v>319</v>
      </c>
      <c r="D252" s="244"/>
      <c r="E252" s="243">
        <v>196174</v>
      </c>
      <c r="F252" s="243">
        <v>208668</v>
      </c>
      <c r="G252" s="243">
        <v>222792</v>
      </c>
      <c r="H252" s="243">
        <v>220474</v>
      </c>
      <c r="I252" s="243">
        <v>225307</v>
      </c>
      <c r="J252" s="243">
        <v>236450</v>
      </c>
      <c r="K252" s="243">
        <v>208413</v>
      </c>
      <c r="L252" s="243">
        <v>212717</v>
      </c>
      <c r="M252" s="243">
        <v>227756.89758463288</v>
      </c>
      <c r="N252" s="243">
        <v>230415.41301776539</v>
      </c>
    </row>
    <row r="253" spans="1:14" x14ac:dyDescent="0.2">
      <c r="A253" s="245" t="s">
        <v>1031</v>
      </c>
      <c r="B253" s="244" t="s">
        <v>1032</v>
      </c>
      <c r="C253" s="244" t="s">
        <v>1033</v>
      </c>
      <c r="D253" s="244"/>
      <c r="E253" s="243">
        <v>28642</v>
      </c>
      <c r="F253" s="243">
        <v>29170</v>
      </c>
      <c r="G253" s="243">
        <v>35578</v>
      </c>
      <c r="H253" s="243">
        <v>35932</v>
      </c>
      <c r="I253" s="243">
        <v>33185</v>
      </c>
      <c r="J253" s="243">
        <v>30690</v>
      </c>
      <c r="K253" s="243">
        <v>48519</v>
      </c>
      <c r="L253" s="243">
        <v>43242</v>
      </c>
      <c r="M253" s="243">
        <v>44083.5</v>
      </c>
      <c r="N253" s="243">
        <v>45978.666666666664</v>
      </c>
    </row>
    <row r="254" spans="1:14" x14ac:dyDescent="0.2">
      <c r="A254" s="245" t="s">
        <v>1034</v>
      </c>
      <c r="B254" s="244" t="s">
        <v>1035</v>
      </c>
      <c r="C254" s="244" t="s">
        <v>1036</v>
      </c>
      <c r="D254" s="244"/>
      <c r="E254" s="243">
        <v>21421</v>
      </c>
      <c r="F254" s="243">
        <v>21630</v>
      </c>
      <c r="G254" s="243">
        <v>21843</v>
      </c>
      <c r="H254" s="243">
        <v>22006</v>
      </c>
      <c r="I254" s="243">
        <v>22165</v>
      </c>
      <c r="J254" s="243">
        <v>22290</v>
      </c>
      <c r="K254" s="243">
        <v>22611</v>
      </c>
      <c r="L254" s="243">
        <v>22832</v>
      </c>
      <c r="M254" s="243">
        <v>22826.997191011236</v>
      </c>
      <c r="N254" s="243">
        <v>22668.359606741575</v>
      </c>
    </row>
    <row r="255" spans="1:14" x14ac:dyDescent="0.2">
      <c r="A255" s="245" t="s">
        <v>1037</v>
      </c>
      <c r="B255" s="244" t="s">
        <v>1038</v>
      </c>
      <c r="C255" s="244" t="s">
        <v>1039</v>
      </c>
      <c r="D255" s="244"/>
      <c r="E255" s="243">
        <v>14414</v>
      </c>
      <c r="F255" s="243">
        <v>15634</v>
      </c>
      <c r="G255" s="243">
        <v>21906</v>
      </c>
      <c r="H255" s="243">
        <v>22668</v>
      </c>
      <c r="I255" s="243">
        <v>20320</v>
      </c>
      <c r="J255" s="243">
        <v>18243</v>
      </c>
      <c r="K255" s="243">
        <v>35769</v>
      </c>
      <c r="L255" s="243">
        <v>31754</v>
      </c>
      <c r="M255" s="243">
        <v>31966.487437192922</v>
      </c>
      <c r="N255" s="243">
        <v>34787.879256619235</v>
      </c>
    </row>
    <row r="256" spans="1:14" x14ac:dyDescent="0.2">
      <c r="A256" s="245" t="s">
        <v>1040</v>
      </c>
      <c r="B256" s="244" t="s">
        <v>1041</v>
      </c>
      <c r="C256" s="244" t="s">
        <v>1039</v>
      </c>
      <c r="D256" s="244"/>
      <c r="E256" s="243">
        <v>-6257</v>
      </c>
      <c r="F256" s="243">
        <v>-7013</v>
      </c>
      <c r="G256" s="243">
        <v>-6959</v>
      </c>
      <c r="H256" s="243">
        <v>-7366</v>
      </c>
      <c r="I256" s="243">
        <v>-7728</v>
      </c>
      <c r="J256" s="243">
        <v>-8294</v>
      </c>
      <c r="K256" s="243">
        <v>-8339</v>
      </c>
      <c r="L256" s="243">
        <v>-9339</v>
      </c>
      <c r="M256" s="243">
        <v>-9065.3333333333339</v>
      </c>
      <c r="N256" s="243">
        <v>-9065.3333333333339</v>
      </c>
    </row>
    <row r="257" spans="1:14" x14ac:dyDescent="0.2">
      <c r="A257" s="245" t="s">
        <v>1042</v>
      </c>
      <c r="B257" s="244" t="s">
        <v>1043</v>
      </c>
      <c r="C257" s="244"/>
      <c r="D257" s="244"/>
      <c r="E257" s="243">
        <v>0</v>
      </c>
      <c r="F257" s="243">
        <v>0</v>
      </c>
      <c r="G257" s="243">
        <v>1253</v>
      </c>
      <c r="H257" s="243">
        <v>1417</v>
      </c>
      <c r="I257" s="243">
        <v>1613</v>
      </c>
      <c r="J257" s="243">
        <v>1590</v>
      </c>
      <c r="K257" s="243">
        <v>1563</v>
      </c>
      <c r="L257" s="243">
        <v>2047</v>
      </c>
      <c r="M257" s="243">
        <v>1955</v>
      </c>
      <c r="N257" s="243">
        <v>1783.6666666666667</v>
      </c>
    </row>
    <row r="258" spans="1:14" x14ac:dyDescent="0.2">
      <c r="A258" s="245" t="s">
        <v>1044</v>
      </c>
      <c r="B258" s="244" t="s">
        <v>1045</v>
      </c>
      <c r="C258" s="244"/>
      <c r="D258" s="244"/>
      <c r="E258" s="243">
        <v>109</v>
      </c>
      <c r="F258" s="243">
        <v>113</v>
      </c>
      <c r="G258" s="243">
        <v>126</v>
      </c>
      <c r="H258" s="243">
        <v>134</v>
      </c>
      <c r="I258" s="243">
        <v>45</v>
      </c>
      <c r="J258" s="243">
        <v>121</v>
      </c>
      <c r="K258" s="243">
        <v>103</v>
      </c>
      <c r="L258" s="243">
        <v>-75</v>
      </c>
      <c r="M258" s="243">
        <v>-44.666666666666664</v>
      </c>
      <c r="N258" s="243">
        <v>-11.666666666666666</v>
      </c>
    </row>
    <row r="259" spans="1:14" x14ac:dyDescent="0.2">
      <c r="A259" s="245" t="s">
        <v>1046</v>
      </c>
      <c r="B259" s="244" t="s">
        <v>1021</v>
      </c>
      <c r="C259" s="244" t="s">
        <v>332</v>
      </c>
      <c r="D259" s="244"/>
      <c r="E259" s="243">
        <v>225491</v>
      </c>
      <c r="F259" s="243">
        <v>238510</v>
      </c>
      <c r="G259" s="243">
        <v>258496</v>
      </c>
      <c r="H259" s="243">
        <v>256540</v>
      </c>
      <c r="I259" s="243">
        <v>258537</v>
      </c>
      <c r="J259" s="243">
        <v>267261</v>
      </c>
      <c r="K259" s="243">
        <v>257035</v>
      </c>
      <c r="L259" s="243">
        <v>255884</v>
      </c>
      <c r="M259" s="243">
        <v>265328.33132649586</v>
      </c>
      <c r="N259" s="243">
        <v>270847.18849732587</v>
      </c>
    </row>
    <row r="260" spans="1:14" x14ac:dyDescent="0.2">
      <c r="A260" s="245" t="s">
        <v>704</v>
      </c>
      <c r="B260" s="244"/>
      <c r="C260" s="244"/>
      <c r="D260" s="244"/>
      <c r="E260" s="243"/>
      <c r="F260" s="243"/>
      <c r="G260" s="243"/>
      <c r="H260" s="243"/>
      <c r="I260" s="243"/>
      <c r="J260" s="243"/>
      <c r="K260" s="243"/>
      <c r="L260" s="243"/>
      <c r="M260" s="243"/>
      <c r="N260" s="243"/>
    </row>
    <row r="261" spans="1:14" x14ac:dyDescent="0.2">
      <c r="A261" s="245" t="s">
        <v>1047</v>
      </c>
      <c r="B261" s="244"/>
      <c r="C261" s="244" t="s">
        <v>1048</v>
      </c>
      <c r="D261" s="244"/>
      <c r="E261" s="243"/>
      <c r="F261" s="243"/>
      <c r="G261" s="243"/>
      <c r="H261" s="243"/>
      <c r="I261" s="243"/>
      <c r="J261" s="243"/>
      <c r="K261" s="243"/>
      <c r="L261" s="243"/>
      <c r="M261" s="243"/>
      <c r="N261" s="243"/>
    </row>
    <row r="262" spans="1:14" x14ac:dyDescent="0.2">
      <c r="A262" s="245" t="s">
        <v>1049</v>
      </c>
      <c r="B262" s="244" t="s">
        <v>1050</v>
      </c>
      <c r="C262" s="244" t="s">
        <v>1051</v>
      </c>
      <c r="D262" s="244"/>
      <c r="E262" s="243">
        <v>3.3756732226691177</v>
      </c>
      <c r="F262" s="243">
        <v>1.9780129784203051</v>
      </c>
      <c r="G262" s="243">
        <v>3.1110288406981002</v>
      </c>
      <c r="H262" s="243">
        <v>1.4278613533811229</v>
      </c>
      <c r="I262" s="243">
        <v>1.8249698588754689E-2</v>
      </c>
      <c r="J262" s="243">
        <v>-0.48649861733973887</v>
      </c>
      <c r="K262" s="243">
        <v>6.8423180798632828</v>
      </c>
      <c r="L262" s="243">
        <v>-0.77244165258062192</v>
      </c>
      <c r="M262" s="243">
        <v>2.9079999999999999</v>
      </c>
      <c r="N262" s="243">
        <v>2.6875</v>
      </c>
    </row>
    <row r="263" spans="1:14" x14ac:dyDescent="0.2">
      <c r="A263" s="245" t="s">
        <v>1052</v>
      </c>
      <c r="B263" s="244" t="s">
        <v>1053</v>
      </c>
      <c r="C263" s="244" t="s">
        <v>1051</v>
      </c>
      <c r="D263" s="244"/>
      <c r="E263" s="243">
        <v>3.4218660611731733</v>
      </c>
      <c r="F263" s="243">
        <v>2.957527986247956</v>
      </c>
      <c r="G263" s="243">
        <v>2.7555552116860609</v>
      </c>
      <c r="H263" s="243">
        <v>2.0246355344195837</v>
      </c>
      <c r="I263" s="243">
        <v>1.8403555390524375</v>
      </c>
      <c r="J263" s="243">
        <v>0.61250986863029022</v>
      </c>
      <c r="K263" s="243">
        <v>2.5016048398078086</v>
      </c>
      <c r="L263" s="243">
        <v>2.9771302621500366</v>
      </c>
      <c r="M263" s="243" t="s">
        <v>711</v>
      </c>
      <c r="N263" s="243" t="s">
        <v>711</v>
      </c>
    </row>
    <row r="264" spans="1:14" x14ac:dyDescent="0.2">
      <c r="A264" s="245" t="s">
        <v>1054</v>
      </c>
      <c r="B264" s="244" t="s">
        <v>1055</v>
      </c>
      <c r="C264" s="244"/>
      <c r="D264" s="244"/>
      <c r="E264" s="243">
        <v>27.108422590968793</v>
      </c>
      <c r="F264" s="243">
        <v>15.319390429136554</v>
      </c>
      <c r="G264" s="243">
        <v>23.473508425686958</v>
      </c>
      <c r="H264" s="243">
        <v>10.283876380925745</v>
      </c>
      <c r="I264" s="243">
        <v>0.13600127320340871</v>
      </c>
      <c r="J264" s="243">
        <v>-4.0046966731898239</v>
      </c>
      <c r="K264" s="243">
        <v>45.290307919554593</v>
      </c>
      <c r="L264" s="243">
        <v>-4.3177384727716568</v>
      </c>
      <c r="M264" s="243">
        <v>15.455454545454545</v>
      </c>
      <c r="N264" s="243">
        <v>14.928999999999998</v>
      </c>
    </row>
    <row r="265" spans="1:14" x14ac:dyDescent="0.2">
      <c r="A265" s="245" t="s">
        <v>1056</v>
      </c>
      <c r="B265" s="244" t="s">
        <v>1057</v>
      </c>
      <c r="C265" s="244" t="s">
        <v>1058</v>
      </c>
      <c r="D265" s="244"/>
      <c r="E265" s="243">
        <v>12839</v>
      </c>
      <c r="F265" s="243">
        <v>15907</v>
      </c>
      <c r="G265" s="243">
        <v>29164</v>
      </c>
      <c r="H265" s="243">
        <v>13547</v>
      </c>
      <c r="I265" s="243">
        <v>14678</v>
      </c>
      <c r="J265" s="243">
        <v>23536</v>
      </c>
      <c r="K265" s="243">
        <v>20375</v>
      </c>
      <c r="L265" s="243">
        <v>19930</v>
      </c>
      <c r="M265" s="243">
        <v>20430.25</v>
      </c>
      <c r="N265" s="243">
        <v>20293.375</v>
      </c>
    </row>
    <row r="266" spans="1:14" x14ac:dyDescent="0.2">
      <c r="A266" s="245" t="s">
        <v>1059</v>
      </c>
      <c r="B266" s="244" t="s">
        <v>1060</v>
      </c>
      <c r="C266" s="244" t="s">
        <v>1058</v>
      </c>
      <c r="D266" s="244"/>
      <c r="E266" s="243">
        <v>-10728</v>
      </c>
      <c r="F266" s="243">
        <v>-11563</v>
      </c>
      <c r="G266" s="243">
        <v>15039</v>
      </c>
      <c r="H266" s="243">
        <v>-9489</v>
      </c>
      <c r="I266" s="243">
        <v>-7610</v>
      </c>
      <c r="J266" s="243">
        <v>-7216</v>
      </c>
      <c r="K266" s="243">
        <v>-16082</v>
      </c>
      <c r="L266" s="243">
        <v>-12254</v>
      </c>
      <c r="M266" s="243">
        <v>-9411.9170246224257</v>
      </c>
      <c r="N266" s="243">
        <v>-10102.586462331745</v>
      </c>
    </row>
    <row r="267" spans="1:14" x14ac:dyDescent="0.2">
      <c r="A267" s="245" t="s">
        <v>1061</v>
      </c>
      <c r="B267" s="244" t="s">
        <v>1062</v>
      </c>
      <c r="C267" s="244" t="s">
        <v>1058</v>
      </c>
      <c r="D267" s="244"/>
      <c r="E267" s="243">
        <v>7.2154942331840131</v>
      </c>
      <c r="F267" s="243">
        <v>7.3396625263781328</v>
      </c>
      <c r="G267" s="243">
        <v>8.9541533396056412</v>
      </c>
      <c r="H267" s="243">
        <v>9.0169178940796844</v>
      </c>
      <c r="I267" s="243">
        <v>8.3696300514435897</v>
      </c>
      <c r="J267" s="243">
        <v>7.71358444637477</v>
      </c>
      <c r="K267" s="243">
        <v>12.116883227103738</v>
      </c>
      <c r="L267" s="243">
        <v>10.847974705587573</v>
      </c>
      <c r="M267" s="243">
        <v>11.067142857142857</v>
      </c>
      <c r="N267" s="243">
        <v>12.143333333333336</v>
      </c>
    </row>
    <row r="268" spans="1:14" x14ac:dyDescent="0.2">
      <c r="A268" s="245" t="s">
        <v>704</v>
      </c>
      <c r="B268" s="244"/>
      <c r="C268" s="244"/>
      <c r="D268" s="244"/>
      <c r="E268" s="243"/>
      <c r="F268" s="243"/>
      <c r="G268" s="243"/>
      <c r="H268" s="243"/>
      <c r="I268" s="243"/>
      <c r="J268" s="243"/>
      <c r="K268" s="243"/>
      <c r="L268" s="243"/>
      <c r="M268" s="243"/>
      <c r="N268" s="243"/>
    </row>
    <row r="269" spans="1:14" x14ac:dyDescent="0.2">
      <c r="A269" s="245" t="s">
        <v>1063</v>
      </c>
      <c r="B269" s="244"/>
      <c r="C269" s="244" t="s">
        <v>1064</v>
      </c>
      <c r="D269" s="244"/>
      <c r="E269" s="243"/>
      <c r="F269" s="243"/>
      <c r="G269" s="243"/>
      <c r="H269" s="243"/>
      <c r="I269" s="243"/>
      <c r="J269" s="243"/>
      <c r="K269" s="243"/>
      <c r="L269" s="243"/>
      <c r="M269" s="243"/>
      <c r="N269" s="243"/>
    </row>
    <row r="270" spans="1:14" x14ac:dyDescent="0.2">
      <c r="A270" s="245" t="s">
        <v>1065</v>
      </c>
      <c r="B270" s="244"/>
      <c r="C270" s="244" t="s">
        <v>225</v>
      </c>
      <c r="D270" s="244"/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</row>
    <row r="271" spans="1:14" x14ac:dyDescent="0.2">
      <c r="A271" s="245" t="s">
        <v>922</v>
      </c>
      <c r="B271" s="244" t="s">
        <v>984</v>
      </c>
      <c r="C271" s="244" t="s">
        <v>475</v>
      </c>
      <c r="D271" s="244"/>
      <c r="E271" s="243">
        <v>7400</v>
      </c>
      <c r="F271" s="243">
        <v>4596</v>
      </c>
      <c r="G271" s="243">
        <v>7602</v>
      </c>
      <c r="H271" s="243">
        <v>3677</v>
      </c>
      <c r="I271" s="243">
        <v>47</v>
      </c>
      <c r="J271" s="243">
        <v>-1279</v>
      </c>
      <c r="K271" s="243">
        <v>17937</v>
      </c>
      <c r="L271" s="243">
        <v>-1981</v>
      </c>
      <c r="M271" s="243">
        <v>5012.7142857142862</v>
      </c>
      <c r="N271" s="243">
        <v>6078.8571428571422</v>
      </c>
    </row>
    <row r="272" spans="1:14" x14ac:dyDescent="0.2">
      <c r="A272" s="245" t="s">
        <v>914</v>
      </c>
      <c r="B272" s="244" t="s">
        <v>965</v>
      </c>
      <c r="C272" s="244"/>
      <c r="D272" s="244"/>
      <c r="E272" s="243">
        <v>7966</v>
      </c>
      <c r="F272" s="243">
        <v>8717</v>
      </c>
      <c r="G272" s="243">
        <v>8572</v>
      </c>
      <c r="H272" s="243">
        <v>8413</v>
      </c>
      <c r="I272" s="243">
        <v>8490</v>
      </c>
      <c r="J272" s="243">
        <v>7457</v>
      </c>
      <c r="K272" s="243">
        <v>7318</v>
      </c>
      <c r="L272" s="243">
        <v>7642</v>
      </c>
      <c r="M272" s="243">
        <v>8891.5919288749992</v>
      </c>
      <c r="N272" s="243">
        <v>9522.9320877600003</v>
      </c>
    </row>
    <row r="273" spans="1:14" x14ac:dyDescent="0.2">
      <c r="A273" s="245" t="s">
        <v>1066</v>
      </c>
      <c r="B273" s="244" t="s">
        <v>1067</v>
      </c>
      <c r="C273" s="244"/>
      <c r="D273" s="244"/>
      <c r="E273" s="243" t="s">
        <v>711</v>
      </c>
      <c r="F273" s="243" t="s">
        <v>711</v>
      </c>
      <c r="G273" s="243" t="s">
        <v>711</v>
      </c>
      <c r="H273" s="243" t="s">
        <v>711</v>
      </c>
      <c r="I273" s="243">
        <v>-1199</v>
      </c>
      <c r="J273" s="243">
        <v>-1294</v>
      </c>
      <c r="K273" s="243">
        <v>-1358</v>
      </c>
      <c r="L273" s="243">
        <v>-1149</v>
      </c>
      <c r="M273" s="243">
        <v>-2950</v>
      </c>
      <c r="N273" s="243">
        <v>220.51654269393111</v>
      </c>
    </row>
    <row r="274" spans="1:14" x14ac:dyDescent="0.2">
      <c r="A274" s="245" t="s">
        <v>1068</v>
      </c>
      <c r="B274" s="244" t="s">
        <v>1069</v>
      </c>
      <c r="C274" s="244"/>
      <c r="D274" s="244"/>
      <c r="E274" s="243">
        <v>512</v>
      </c>
      <c r="F274" s="243">
        <v>2667</v>
      </c>
      <c r="G274" s="243">
        <v>-608</v>
      </c>
      <c r="H274" s="243">
        <v>400</v>
      </c>
      <c r="I274" s="243">
        <v>2625</v>
      </c>
      <c r="J274" s="243">
        <v>1027</v>
      </c>
      <c r="K274" s="243">
        <v>-4865</v>
      </c>
      <c r="L274" s="243">
        <v>-378</v>
      </c>
      <c r="M274" s="243">
        <v>509.60045114807014</v>
      </c>
      <c r="N274" s="243">
        <v>-392.17560923990959</v>
      </c>
    </row>
    <row r="275" spans="1:14" x14ac:dyDescent="0.2">
      <c r="A275" s="245" t="s">
        <v>1070</v>
      </c>
      <c r="B275" s="244"/>
      <c r="C275" s="244"/>
      <c r="D275" s="244"/>
      <c r="E275" s="243"/>
      <c r="F275" s="243"/>
      <c r="G275" s="243"/>
      <c r="H275" s="243"/>
      <c r="I275" s="243"/>
      <c r="J275" s="243"/>
      <c r="K275" s="243"/>
      <c r="L275" s="243"/>
      <c r="M275" s="243"/>
      <c r="N275" s="243"/>
    </row>
    <row r="276" spans="1:14" x14ac:dyDescent="0.2">
      <c r="A276" s="245" t="s">
        <v>879</v>
      </c>
      <c r="B276" s="244" t="s">
        <v>1071</v>
      </c>
      <c r="C276" s="244"/>
      <c r="D276" s="244"/>
      <c r="E276" s="243">
        <v>-1155</v>
      </c>
      <c r="F276" s="243">
        <v>-803</v>
      </c>
      <c r="G276" s="243">
        <v>-970</v>
      </c>
      <c r="H276" s="243">
        <v>-828</v>
      </c>
      <c r="I276" s="243">
        <v>206</v>
      </c>
      <c r="J276" s="243">
        <v>148</v>
      </c>
      <c r="K276" s="243">
        <v>-1778</v>
      </c>
      <c r="L276" s="243">
        <v>-2576</v>
      </c>
      <c r="M276" s="243">
        <v>-2385.1685090545693</v>
      </c>
      <c r="N276" s="243">
        <v>1885.7279625657313</v>
      </c>
    </row>
    <row r="277" spans="1:14" x14ac:dyDescent="0.2">
      <c r="A277" s="245" t="s">
        <v>1072</v>
      </c>
      <c r="B277" s="244" t="s">
        <v>1073</v>
      </c>
      <c r="C277" s="244"/>
      <c r="D277" s="244"/>
      <c r="E277" s="243">
        <v>12294</v>
      </c>
      <c r="F277" s="243">
        <v>11045</v>
      </c>
      <c r="G277" s="243">
        <v>15034</v>
      </c>
      <c r="H277" s="243">
        <v>6851</v>
      </c>
      <c r="I277" s="243">
        <v>6108</v>
      </c>
      <c r="J277" s="243">
        <v>3552</v>
      </c>
      <c r="K277" s="243">
        <v>494</v>
      </c>
      <c r="L277" s="243">
        <v>12269</v>
      </c>
      <c r="M277" s="243">
        <v>11115.842103107769</v>
      </c>
      <c r="N277" s="243">
        <v>10545.153502454095</v>
      </c>
    </row>
    <row r="278" spans="1:14" x14ac:dyDescent="0.2">
      <c r="A278" s="245" t="s">
        <v>704</v>
      </c>
      <c r="B278" s="244"/>
      <c r="C278" s="244"/>
      <c r="D278" s="244"/>
      <c r="E278" s="243"/>
      <c r="F278" s="243"/>
      <c r="G278" s="243"/>
      <c r="H278" s="243"/>
      <c r="I278" s="243"/>
      <c r="J278" s="243"/>
      <c r="K278" s="243"/>
      <c r="L278" s="243"/>
      <c r="M278" s="243"/>
      <c r="N278" s="243"/>
    </row>
    <row r="279" spans="1:14" x14ac:dyDescent="0.2">
      <c r="A279" s="245" t="s">
        <v>1074</v>
      </c>
      <c r="B279" s="244"/>
      <c r="C279" s="244"/>
      <c r="D279" s="244"/>
      <c r="E279" s="243"/>
      <c r="F279" s="243"/>
      <c r="G279" s="243"/>
      <c r="H279" s="243"/>
      <c r="I279" s="243"/>
      <c r="J279" s="243"/>
      <c r="K279" s="243"/>
      <c r="L279" s="243"/>
      <c r="M279" s="243"/>
      <c r="N279" s="243"/>
    </row>
    <row r="280" spans="1:14" x14ac:dyDescent="0.2">
      <c r="A280" s="245" t="s">
        <v>1075</v>
      </c>
      <c r="B280" s="244" t="s">
        <v>730</v>
      </c>
      <c r="C280" s="244"/>
      <c r="D280" s="244"/>
      <c r="E280" s="243">
        <v>-7196</v>
      </c>
      <c r="F280" s="243">
        <v>-6992</v>
      </c>
      <c r="G280" s="243">
        <v>-7049</v>
      </c>
      <c r="H280" s="243">
        <v>-7785</v>
      </c>
      <c r="I280" s="243">
        <v>-7632</v>
      </c>
      <c r="J280" s="243">
        <v>-5742</v>
      </c>
      <c r="K280" s="243">
        <v>-6227</v>
      </c>
      <c r="L280" s="243">
        <v>-6866</v>
      </c>
      <c r="M280" s="243">
        <v>-8253.8571428571431</v>
      </c>
      <c r="N280" s="243">
        <v>-9108.5714285714275</v>
      </c>
    </row>
    <row r="281" spans="1:14" x14ac:dyDescent="0.2">
      <c r="A281" s="245" t="s">
        <v>1076</v>
      </c>
      <c r="B281" s="244"/>
      <c r="C281" s="244" t="s">
        <v>1077</v>
      </c>
      <c r="D281" s="244"/>
      <c r="E281" s="243"/>
      <c r="F281" s="243"/>
      <c r="G281" s="243"/>
      <c r="H281" s="243"/>
      <c r="I281" s="243"/>
      <c r="J281" s="243"/>
      <c r="K281" s="243"/>
      <c r="L281" s="243"/>
      <c r="M281" s="243"/>
      <c r="N281" s="243"/>
    </row>
    <row r="282" spans="1:14" x14ac:dyDescent="0.2">
      <c r="A282" s="245" t="s">
        <v>704</v>
      </c>
      <c r="B282" s="244"/>
      <c r="C282" s="244"/>
      <c r="D282" s="244"/>
      <c r="E282" s="243"/>
      <c r="F282" s="243"/>
      <c r="G282" s="243"/>
      <c r="H282" s="243"/>
      <c r="I282" s="243"/>
      <c r="J282" s="243"/>
      <c r="K282" s="243"/>
      <c r="L282" s="243"/>
      <c r="M282" s="243"/>
      <c r="N282" s="243"/>
    </row>
    <row r="283" spans="1:14" x14ac:dyDescent="0.2">
      <c r="A283" s="245" t="s">
        <v>1078</v>
      </c>
      <c r="B283" s="244"/>
      <c r="C283" s="244" t="s">
        <v>250</v>
      </c>
      <c r="D283" s="244"/>
      <c r="E283" s="243"/>
      <c r="F283" s="243"/>
      <c r="G283" s="243"/>
      <c r="H283" s="243"/>
      <c r="I283" s="243"/>
      <c r="J283" s="243"/>
      <c r="K283" s="243"/>
      <c r="L283" s="243"/>
      <c r="M283" s="243"/>
      <c r="N283" s="243"/>
    </row>
    <row r="284" spans="1:14" x14ac:dyDescent="0.2">
      <c r="A284" s="245" t="s">
        <v>1079</v>
      </c>
      <c r="B284" s="244" t="s">
        <v>1080</v>
      </c>
      <c r="C284" s="244" t="s">
        <v>1081</v>
      </c>
      <c r="D284" s="244"/>
      <c r="E284" s="243">
        <v>-2380</v>
      </c>
      <c r="F284" s="243">
        <v>-3376</v>
      </c>
      <c r="G284" s="243">
        <v>-2584</v>
      </c>
      <c r="H284" s="243">
        <v>-2905</v>
      </c>
      <c r="I284" s="243">
        <v>-2389</v>
      </c>
      <c r="J284" s="243">
        <v>-596</v>
      </c>
      <c r="K284" s="243">
        <v>-403</v>
      </c>
      <c r="L284" s="243">
        <v>-2009</v>
      </c>
      <c r="M284" s="243">
        <v>-4549.1357142857141</v>
      </c>
      <c r="N284" s="243">
        <v>-2380.2602857142861</v>
      </c>
    </row>
    <row r="285" spans="1:14" x14ac:dyDescent="0.2">
      <c r="A285" s="245" t="s">
        <v>1082</v>
      </c>
      <c r="B285" s="244" t="s">
        <v>1083</v>
      </c>
      <c r="C285" s="244" t="s">
        <v>1084</v>
      </c>
      <c r="D285" s="244"/>
      <c r="E285" s="243">
        <v>-129</v>
      </c>
      <c r="F285" s="243">
        <v>-145</v>
      </c>
      <c r="G285" s="243">
        <v>-131</v>
      </c>
      <c r="H285" s="243">
        <v>-164</v>
      </c>
      <c r="I285" s="243">
        <v>-237</v>
      </c>
      <c r="J285" s="243">
        <v>0</v>
      </c>
      <c r="K285" s="243">
        <v>0</v>
      </c>
      <c r="L285" s="243">
        <v>-484</v>
      </c>
      <c r="M285" s="243">
        <v>-435.6</v>
      </c>
      <c r="N285" s="243">
        <v>-435.6</v>
      </c>
    </row>
    <row r="286" spans="1:14" x14ac:dyDescent="0.2">
      <c r="A286" s="245" t="s">
        <v>1085</v>
      </c>
      <c r="B286" s="244" t="s">
        <v>1086</v>
      </c>
      <c r="C286" s="244"/>
      <c r="D286" s="244"/>
      <c r="E286" s="243">
        <v>-373</v>
      </c>
      <c r="F286" s="243">
        <v>-107</v>
      </c>
      <c r="G286" s="243">
        <v>-151</v>
      </c>
      <c r="H286" s="243">
        <v>-192</v>
      </c>
      <c r="I286" s="243">
        <v>-226</v>
      </c>
      <c r="J286" s="243">
        <v>-184</v>
      </c>
      <c r="K286" s="243">
        <v>-105</v>
      </c>
      <c r="L286" s="243">
        <v>-271</v>
      </c>
      <c r="M286" s="243">
        <v>-231.82379519999998</v>
      </c>
      <c r="N286" s="243">
        <v>-280.10052052000003</v>
      </c>
    </row>
    <row r="287" spans="1:14" x14ac:dyDescent="0.2">
      <c r="A287" s="245" t="s">
        <v>1087</v>
      </c>
      <c r="B287" s="244"/>
      <c r="C287" s="244" t="s">
        <v>1088</v>
      </c>
      <c r="D287" s="244"/>
      <c r="E287" s="243"/>
      <c r="F287" s="243"/>
      <c r="G287" s="243"/>
      <c r="H287" s="243"/>
      <c r="I287" s="243"/>
      <c r="J287" s="243"/>
      <c r="K287" s="243"/>
      <c r="L287" s="243"/>
      <c r="M287" s="243"/>
      <c r="N287" s="243"/>
    </row>
    <row r="288" spans="1:14" x14ac:dyDescent="0.2">
      <c r="A288" s="245" t="s">
        <v>704</v>
      </c>
      <c r="B288" s="244"/>
      <c r="C288" s="244"/>
      <c r="D288" s="244"/>
      <c r="E288" s="243"/>
      <c r="F288" s="243"/>
      <c r="G288" s="243"/>
      <c r="H288" s="243"/>
      <c r="I288" s="243"/>
      <c r="J288" s="243"/>
      <c r="K288" s="243"/>
      <c r="L288" s="243"/>
      <c r="M288" s="243"/>
      <c r="N288" s="243"/>
    </row>
    <row r="289" spans="1:14" x14ac:dyDescent="0.2">
      <c r="A289" s="245" t="s">
        <v>1047</v>
      </c>
      <c r="B289" s="244"/>
      <c r="C289" s="244" t="s">
        <v>1088</v>
      </c>
      <c r="D289" s="244"/>
      <c r="E289" s="243"/>
      <c r="F289" s="243"/>
      <c r="G289" s="243"/>
      <c r="H289" s="243"/>
      <c r="I289" s="243"/>
      <c r="J289" s="243"/>
      <c r="K289" s="243"/>
      <c r="L289" s="243"/>
      <c r="M289" s="243"/>
      <c r="N289" s="243"/>
    </row>
    <row r="290" spans="1:14" x14ac:dyDescent="0.2">
      <c r="A290" s="245" t="s">
        <v>1089</v>
      </c>
      <c r="B290" s="244" t="s">
        <v>1090</v>
      </c>
      <c r="C290" s="244"/>
      <c r="D290" s="244"/>
      <c r="E290" s="243" t="s">
        <v>711</v>
      </c>
      <c r="F290" s="243" t="s">
        <v>711</v>
      </c>
      <c r="G290" s="243" t="s">
        <v>711</v>
      </c>
      <c r="H290" s="243">
        <v>2781</v>
      </c>
      <c r="I290" s="243">
        <v>2862</v>
      </c>
      <c r="J290" s="243">
        <v>1273</v>
      </c>
      <c r="K290" s="243">
        <v>4590</v>
      </c>
      <c r="L290" s="243">
        <v>9081</v>
      </c>
      <c r="M290" s="243">
        <v>5972.9093198531109</v>
      </c>
      <c r="N290" s="243">
        <v>4785.2964284284544</v>
      </c>
    </row>
    <row r="291" spans="1:14" x14ac:dyDescent="0.2">
      <c r="A291" s="242" t="s">
        <v>599</v>
      </c>
      <c r="B291" s="242"/>
      <c r="C291" s="242"/>
      <c r="D291" s="242"/>
      <c r="E291" s="242"/>
      <c r="F291" s="242"/>
      <c r="G291" s="242"/>
      <c r="H291" s="242"/>
      <c r="I291" s="242"/>
      <c r="J291" s="242"/>
      <c r="K291" s="242"/>
      <c r="L291" s="242"/>
      <c r="M291" s="242"/>
      <c r="N291" s="24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15</vt:i4>
      </vt:variant>
    </vt:vector>
  </HeadingPairs>
  <TitlesOfParts>
    <vt:vector size="28" baseType="lpstr">
      <vt:lpstr>WACC</vt:lpstr>
      <vt:lpstr>Ford-DCF</vt:lpstr>
      <vt:lpstr>Ford v. industry</vt:lpstr>
      <vt:lpstr>PE table</vt:lpstr>
      <vt:lpstr>PS table</vt:lpstr>
      <vt:lpstr>Ford Motor Co | Cash Flow </vt:lpstr>
      <vt:lpstr>Ford Motor Co | Balance Sheet </vt:lpstr>
      <vt:lpstr>Ford Motor Co | Income Statemen</vt:lpstr>
      <vt:lpstr>F_Analyst Recommendations</vt:lpstr>
      <vt:lpstr>Estimate Information</vt:lpstr>
      <vt:lpstr>Refinitive Stock Report</vt:lpstr>
      <vt:lpstr>Ford Motor Co | Ratios - Key Me</vt:lpstr>
      <vt:lpstr>Key metrics</vt:lpstr>
      <vt:lpstr>Company_Name</vt:lpstr>
      <vt:lpstr>Cost_of_Debt</vt:lpstr>
      <vt:lpstr>Cost_of_Preferred</vt:lpstr>
      <vt:lpstr>Diluted_Shares</vt:lpstr>
      <vt:lpstr>Discount_Rate</vt:lpstr>
      <vt:lpstr>Equity_Risk_Premium</vt:lpstr>
      <vt:lpstr>Multiples_Method</vt:lpstr>
      <vt:lpstr>'Ford-DCF'!Print_Area</vt:lpstr>
      <vt:lpstr>WACC!Print_Area</vt:lpstr>
      <vt:lpstr>Risk_Free_Rate</vt:lpstr>
      <vt:lpstr>Share_Price</vt:lpstr>
      <vt:lpstr>Tax_Rate</vt:lpstr>
      <vt:lpstr>Terminal_Growth_Rate</vt:lpstr>
      <vt:lpstr>Terminal_Multiple</vt:lpstr>
      <vt:lpstr>Ticker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Octavian Ionici</dc:creator>
  <cp:keywords/>
  <dc:description/>
  <cp:lastModifiedBy>Yangyang Li</cp:lastModifiedBy>
  <cp:revision/>
  <dcterms:created xsi:type="dcterms:W3CDTF">2018-02-28T13:30:54Z</dcterms:created>
  <dcterms:modified xsi:type="dcterms:W3CDTF">2023-12-13T18:48:11Z</dcterms:modified>
  <cp:category/>
  <cp:contentStatus/>
</cp:coreProperties>
</file>